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4.xml" ContentType="application/vnd.ms-office.chartcolorstyle+xml"/>
  <Override PartName="/xl/charts/style4.xml" ContentType="application/vnd.ms-office.chartstyle+xml"/>
  <Override PartName="/xl/worksheets/sheet1.xml" ContentType="application/vnd.openxmlformats-officedocument.spreadsheetml.worksheet+xml"/>
  <Override PartName="/xl/charts/colors3.xml" ContentType="application/vnd.ms-office.chartcolorstyle+xml"/>
  <Override PartName="/xl/charts/style3.xml" ContentType="application/vnd.ms-office.chartstyle+xml"/>
  <Override PartName="/xl/charts/chart4.xml" ContentType="application/vnd.openxmlformats-officedocument.drawingml.chart+xml"/>
  <Override PartName="/xl/charts/colors2.xml" ContentType="application/vnd.ms-office.chartcolor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charts/chart2.xml" ContentType="application/vnd.openxmlformats-officedocument.drawingml.chart+xml"/>
  <Override PartName="/xl/charts/colors1.xml" ContentType="application/vnd.ms-office.chartcolorstyle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ckeagep\OneDrive\SDVBD\SDVOB Attachments\Attachements for RFP\"/>
    </mc:Choice>
  </mc:AlternateContent>
  <bookViews>
    <workbookView xWindow="0" yWindow="0" windowWidth="18960" windowHeight="8670"/>
  </bookViews>
  <sheets>
    <sheet name="Agency Summary" sheetId="1" r:id="rId1"/>
    <sheet name="Vendor Summary" sheetId="3" r:id="rId2"/>
    <sheet name="Awards Summary" sheetId="2" r:id="rId3"/>
    <sheet name="Disbursements Summary" sheetId="5" r:id="rId4"/>
    <sheet name="Type of Contract and Industry S" sheetId="4" r:id="rId5"/>
    <sheet name="Waivers" sheetId="7" r:id="rId6"/>
    <sheet name="Other Reported Info" sheetId="6" r:id="rId7"/>
  </sheets>
  <definedNames>
    <definedName name="_xlnm._FilterDatabase" localSheetId="0" hidden="1">'Agency Summary'!$A$1:$A$102</definedName>
    <definedName name="_xlnm._FilterDatabase" localSheetId="2" hidden="1">'Awards Summary'!$A$1:$L$342</definedName>
    <definedName name="_xlnm._FilterDatabase" localSheetId="3" hidden="1">'Disbursements Summary'!$A$1:$H$1008</definedName>
    <definedName name="_xlnm._FilterDatabase" localSheetId="1" hidden="1">'Vendor Summary'!$1:$155</definedName>
    <definedName name="_xlnm._FilterDatabase" localSheetId="5" hidden="1">Waivers!$A$1:$G$16</definedName>
    <definedName name="_GoBack" localSheetId="1">'Vendor Summary'!$H$2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9" i="3" l="1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DC149" i="3"/>
  <c r="DD149" i="3"/>
  <c r="DE149" i="3"/>
  <c r="DF149" i="3"/>
  <c r="DG149" i="3"/>
  <c r="DH149" i="3"/>
  <c r="DI149" i="3"/>
  <c r="DJ149" i="3"/>
  <c r="DK149" i="3"/>
  <c r="DL149" i="3"/>
  <c r="DM149" i="3"/>
  <c r="DN149" i="3"/>
  <c r="DO149" i="3"/>
  <c r="DP149" i="3"/>
  <c r="DQ149" i="3"/>
  <c r="DR149" i="3"/>
  <c r="DS149" i="3"/>
  <c r="DT149" i="3"/>
  <c r="DU149" i="3"/>
  <c r="DV149" i="3"/>
  <c r="DW149" i="3"/>
  <c r="DX149" i="3"/>
  <c r="DY149" i="3"/>
  <c r="DZ149" i="3"/>
  <c r="EA149" i="3"/>
  <c r="EB149" i="3"/>
  <c r="EC149" i="3"/>
  <c r="ED149" i="3"/>
  <c r="EE149" i="3"/>
  <c r="EF149" i="3"/>
  <c r="EG149" i="3"/>
  <c r="EH149" i="3"/>
  <c r="EI149" i="3"/>
  <c r="EJ149" i="3"/>
  <c r="EK149" i="3"/>
  <c r="EL149" i="3"/>
  <c r="EM149" i="3"/>
  <c r="EN149" i="3"/>
  <c r="EO149" i="3"/>
  <c r="EP149" i="3"/>
  <c r="EQ149" i="3"/>
  <c r="ER149" i="3"/>
  <c r="ES149" i="3"/>
  <c r="ET149" i="3"/>
  <c r="EU149" i="3"/>
  <c r="EV149" i="3"/>
  <c r="EW149" i="3"/>
  <c r="EX149" i="3"/>
  <c r="EY149" i="3"/>
  <c r="EZ149" i="3"/>
  <c r="FA149" i="3"/>
  <c r="FB149" i="3"/>
  <c r="FC149" i="3"/>
  <c r="FD149" i="3"/>
  <c r="FE149" i="3"/>
  <c r="FF149" i="3"/>
  <c r="FG149" i="3"/>
  <c r="FH149" i="3"/>
  <c r="FI149" i="3"/>
  <c r="FJ149" i="3"/>
  <c r="FK149" i="3"/>
  <c r="FL149" i="3"/>
  <c r="FM149" i="3"/>
  <c r="FN149" i="3"/>
  <c r="FO149" i="3"/>
  <c r="FP149" i="3"/>
  <c r="FQ149" i="3"/>
  <c r="FR149" i="3"/>
  <c r="FS149" i="3"/>
  <c r="FT149" i="3"/>
  <c r="FU149" i="3"/>
  <c r="FV149" i="3"/>
  <c r="FW149" i="3"/>
  <c r="FX149" i="3"/>
  <c r="FY149" i="3"/>
  <c r="FZ149" i="3"/>
  <c r="GA149" i="3"/>
  <c r="GB149" i="3"/>
  <c r="GC149" i="3"/>
  <c r="GD149" i="3"/>
  <c r="GE149" i="3"/>
  <c r="GF149" i="3"/>
  <c r="GG149" i="3"/>
  <c r="GH149" i="3"/>
  <c r="GI149" i="3"/>
  <c r="GJ149" i="3"/>
  <c r="GK149" i="3"/>
  <c r="GL149" i="3"/>
  <c r="GM149" i="3"/>
  <c r="GN149" i="3"/>
  <c r="GO149" i="3"/>
  <c r="GP149" i="3"/>
  <c r="GQ149" i="3"/>
  <c r="GR149" i="3"/>
  <c r="GS149" i="3"/>
  <c r="GT149" i="3"/>
  <c r="GU149" i="3"/>
  <c r="H150" i="3"/>
  <c r="D149" i="3"/>
  <c r="A149" i="3" s="1"/>
  <c r="E149" i="3"/>
  <c r="F149" i="3"/>
  <c r="I150" i="3" l="1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DC150" i="3"/>
  <c r="DD150" i="3"/>
  <c r="DE150" i="3"/>
  <c r="DF150" i="3"/>
  <c r="DG150" i="3"/>
  <c r="DH150" i="3"/>
  <c r="DI150" i="3"/>
  <c r="DJ150" i="3"/>
  <c r="DK150" i="3"/>
  <c r="DL150" i="3"/>
  <c r="DM150" i="3"/>
  <c r="DN150" i="3"/>
  <c r="DO150" i="3"/>
  <c r="DP150" i="3"/>
  <c r="DQ150" i="3"/>
  <c r="DR150" i="3"/>
  <c r="DS150" i="3"/>
  <c r="DT150" i="3"/>
  <c r="DU150" i="3"/>
  <c r="DV150" i="3"/>
  <c r="DW150" i="3"/>
  <c r="DX150" i="3"/>
  <c r="DY150" i="3"/>
  <c r="DZ150" i="3"/>
  <c r="EA150" i="3"/>
  <c r="EB150" i="3"/>
  <c r="EC150" i="3"/>
  <c r="ED150" i="3"/>
  <c r="EE150" i="3"/>
  <c r="EF150" i="3"/>
  <c r="EG150" i="3"/>
  <c r="EH150" i="3"/>
  <c r="EI150" i="3"/>
  <c r="EJ150" i="3"/>
  <c r="EK150" i="3"/>
  <c r="EL150" i="3"/>
  <c r="EM150" i="3"/>
  <c r="EN150" i="3"/>
  <c r="EO150" i="3"/>
  <c r="EP150" i="3"/>
  <c r="EQ150" i="3"/>
  <c r="ER150" i="3"/>
  <c r="ES150" i="3"/>
  <c r="ET150" i="3"/>
  <c r="EU150" i="3"/>
  <c r="EV150" i="3"/>
  <c r="EW150" i="3"/>
  <c r="EX150" i="3"/>
  <c r="EY150" i="3"/>
  <c r="EZ150" i="3"/>
  <c r="FA150" i="3"/>
  <c r="FB150" i="3"/>
  <c r="FC150" i="3"/>
  <c r="FD150" i="3"/>
  <c r="FE150" i="3"/>
  <c r="FF150" i="3"/>
  <c r="FG150" i="3"/>
  <c r="FH150" i="3"/>
  <c r="FI150" i="3"/>
  <c r="FJ150" i="3"/>
  <c r="FK150" i="3"/>
  <c r="FL150" i="3"/>
  <c r="FM150" i="3"/>
  <c r="FN150" i="3"/>
  <c r="FO150" i="3"/>
  <c r="FP150" i="3"/>
  <c r="FQ150" i="3"/>
  <c r="FR150" i="3"/>
  <c r="FS150" i="3"/>
  <c r="FT150" i="3"/>
  <c r="FU150" i="3"/>
  <c r="FV150" i="3"/>
  <c r="FW150" i="3"/>
  <c r="FX150" i="3"/>
  <c r="FY150" i="3"/>
  <c r="FZ150" i="3"/>
  <c r="GA150" i="3"/>
  <c r="GB150" i="3"/>
  <c r="GC150" i="3"/>
  <c r="GD150" i="3"/>
  <c r="GE150" i="3"/>
  <c r="GF150" i="3"/>
  <c r="GG150" i="3"/>
  <c r="GH150" i="3"/>
  <c r="GI150" i="3"/>
  <c r="GJ150" i="3"/>
  <c r="GK150" i="3"/>
  <c r="GL150" i="3"/>
  <c r="GM150" i="3"/>
  <c r="GN150" i="3"/>
  <c r="GO150" i="3"/>
  <c r="GP150" i="3"/>
  <c r="GQ150" i="3"/>
  <c r="GR150" i="3"/>
  <c r="GS150" i="3"/>
  <c r="GT150" i="3"/>
  <c r="GU150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DC105" i="3"/>
  <c r="DD105" i="3"/>
  <c r="DE105" i="3"/>
  <c r="DF105" i="3"/>
  <c r="DG105" i="3"/>
  <c r="DH105" i="3"/>
  <c r="DI105" i="3"/>
  <c r="DJ105" i="3"/>
  <c r="DK105" i="3"/>
  <c r="DL105" i="3"/>
  <c r="DM105" i="3"/>
  <c r="DN105" i="3"/>
  <c r="DO105" i="3"/>
  <c r="DP105" i="3"/>
  <c r="DQ105" i="3"/>
  <c r="DR105" i="3"/>
  <c r="DS105" i="3"/>
  <c r="DT105" i="3"/>
  <c r="DU105" i="3"/>
  <c r="DV105" i="3"/>
  <c r="DW105" i="3"/>
  <c r="DX105" i="3"/>
  <c r="DY105" i="3"/>
  <c r="DZ105" i="3"/>
  <c r="EA105" i="3"/>
  <c r="EB105" i="3"/>
  <c r="EC105" i="3"/>
  <c r="ED105" i="3"/>
  <c r="EE105" i="3"/>
  <c r="EF105" i="3"/>
  <c r="EG105" i="3"/>
  <c r="EH105" i="3"/>
  <c r="EI105" i="3"/>
  <c r="EJ105" i="3"/>
  <c r="EK105" i="3"/>
  <c r="EL105" i="3"/>
  <c r="EM105" i="3"/>
  <c r="EN105" i="3"/>
  <c r="EO105" i="3"/>
  <c r="EP105" i="3"/>
  <c r="EQ105" i="3"/>
  <c r="ER105" i="3"/>
  <c r="ES105" i="3"/>
  <c r="ET105" i="3"/>
  <c r="EU105" i="3"/>
  <c r="EV105" i="3"/>
  <c r="EW105" i="3"/>
  <c r="EX105" i="3"/>
  <c r="EY105" i="3"/>
  <c r="EZ105" i="3"/>
  <c r="FA105" i="3"/>
  <c r="FB105" i="3"/>
  <c r="FC105" i="3"/>
  <c r="FD105" i="3"/>
  <c r="FE105" i="3"/>
  <c r="FF105" i="3"/>
  <c r="FG105" i="3"/>
  <c r="FH105" i="3"/>
  <c r="FI105" i="3"/>
  <c r="FJ105" i="3"/>
  <c r="FK105" i="3"/>
  <c r="FL105" i="3"/>
  <c r="FM105" i="3"/>
  <c r="FN105" i="3"/>
  <c r="FO105" i="3"/>
  <c r="FP105" i="3"/>
  <c r="FQ105" i="3"/>
  <c r="FR105" i="3"/>
  <c r="FS105" i="3"/>
  <c r="FT105" i="3"/>
  <c r="FU105" i="3"/>
  <c r="FV105" i="3"/>
  <c r="FW105" i="3"/>
  <c r="FX105" i="3"/>
  <c r="FY105" i="3"/>
  <c r="FZ105" i="3"/>
  <c r="GA105" i="3"/>
  <c r="GB105" i="3"/>
  <c r="GC105" i="3"/>
  <c r="GD105" i="3"/>
  <c r="GE105" i="3"/>
  <c r="GF105" i="3"/>
  <c r="GG105" i="3"/>
  <c r="GH105" i="3"/>
  <c r="GI105" i="3"/>
  <c r="GJ105" i="3"/>
  <c r="GK105" i="3"/>
  <c r="GL105" i="3"/>
  <c r="GM105" i="3"/>
  <c r="GN105" i="3"/>
  <c r="GO105" i="3"/>
  <c r="GP105" i="3"/>
  <c r="GQ105" i="3"/>
  <c r="GR105" i="3"/>
  <c r="GS105" i="3"/>
  <c r="GT105" i="3"/>
  <c r="GU105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DC106" i="3"/>
  <c r="DD106" i="3"/>
  <c r="DE106" i="3"/>
  <c r="DF106" i="3"/>
  <c r="DG106" i="3"/>
  <c r="DH106" i="3"/>
  <c r="DI106" i="3"/>
  <c r="DJ106" i="3"/>
  <c r="DK106" i="3"/>
  <c r="DL106" i="3"/>
  <c r="DM106" i="3"/>
  <c r="DN106" i="3"/>
  <c r="DO106" i="3"/>
  <c r="DP106" i="3"/>
  <c r="DQ106" i="3"/>
  <c r="DR106" i="3"/>
  <c r="DS106" i="3"/>
  <c r="DT106" i="3"/>
  <c r="DU106" i="3"/>
  <c r="DV106" i="3"/>
  <c r="DW106" i="3"/>
  <c r="DX106" i="3"/>
  <c r="DY106" i="3"/>
  <c r="DZ106" i="3"/>
  <c r="EA106" i="3"/>
  <c r="EB106" i="3"/>
  <c r="EC106" i="3"/>
  <c r="ED106" i="3"/>
  <c r="EE106" i="3"/>
  <c r="EF106" i="3"/>
  <c r="EG106" i="3"/>
  <c r="EH106" i="3"/>
  <c r="EI106" i="3"/>
  <c r="EJ106" i="3"/>
  <c r="EK106" i="3"/>
  <c r="EL106" i="3"/>
  <c r="EM106" i="3"/>
  <c r="EN106" i="3"/>
  <c r="EO106" i="3"/>
  <c r="EP106" i="3"/>
  <c r="EQ106" i="3"/>
  <c r="ER106" i="3"/>
  <c r="ES106" i="3"/>
  <c r="ET106" i="3"/>
  <c r="EU106" i="3"/>
  <c r="EV106" i="3"/>
  <c r="EW106" i="3"/>
  <c r="EX106" i="3"/>
  <c r="EY106" i="3"/>
  <c r="EZ106" i="3"/>
  <c r="FA106" i="3"/>
  <c r="FB106" i="3"/>
  <c r="FC106" i="3"/>
  <c r="FD106" i="3"/>
  <c r="FE106" i="3"/>
  <c r="FF106" i="3"/>
  <c r="FG106" i="3"/>
  <c r="FH106" i="3"/>
  <c r="FI106" i="3"/>
  <c r="FJ106" i="3"/>
  <c r="FK106" i="3"/>
  <c r="FL106" i="3"/>
  <c r="FM106" i="3"/>
  <c r="FN106" i="3"/>
  <c r="FO106" i="3"/>
  <c r="FP106" i="3"/>
  <c r="FQ106" i="3"/>
  <c r="FR106" i="3"/>
  <c r="FS106" i="3"/>
  <c r="FT106" i="3"/>
  <c r="FU106" i="3"/>
  <c r="FV106" i="3"/>
  <c r="FW106" i="3"/>
  <c r="FX106" i="3"/>
  <c r="FY106" i="3"/>
  <c r="FZ106" i="3"/>
  <c r="GA106" i="3"/>
  <c r="GB106" i="3"/>
  <c r="GC106" i="3"/>
  <c r="GD106" i="3"/>
  <c r="GE106" i="3"/>
  <c r="GF106" i="3"/>
  <c r="GG106" i="3"/>
  <c r="GH106" i="3"/>
  <c r="GI106" i="3"/>
  <c r="GJ106" i="3"/>
  <c r="GK106" i="3"/>
  <c r="GL106" i="3"/>
  <c r="GM106" i="3"/>
  <c r="GN106" i="3"/>
  <c r="GO106" i="3"/>
  <c r="GP106" i="3"/>
  <c r="GQ106" i="3"/>
  <c r="GR106" i="3"/>
  <c r="GS106" i="3"/>
  <c r="GT106" i="3"/>
  <c r="GU106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DC107" i="3"/>
  <c r="DD107" i="3"/>
  <c r="DE107" i="3"/>
  <c r="DF107" i="3"/>
  <c r="DG107" i="3"/>
  <c r="DH107" i="3"/>
  <c r="DI107" i="3"/>
  <c r="DJ107" i="3"/>
  <c r="DK107" i="3"/>
  <c r="DL107" i="3"/>
  <c r="DM107" i="3"/>
  <c r="DN107" i="3"/>
  <c r="DO107" i="3"/>
  <c r="DP107" i="3"/>
  <c r="DQ107" i="3"/>
  <c r="DR107" i="3"/>
  <c r="DS107" i="3"/>
  <c r="DT107" i="3"/>
  <c r="DU107" i="3"/>
  <c r="DV107" i="3"/>
  <c r="DW107" i="3"/>
  <c r="DX107" i="3"/>
  <c r="DY107" i="3"/>
  <c r="DZ107" i="3"/>
  <c r="EA107" i="3"/>
  <c r="EB107" i="3"/>
  <c r="EC107" i="3"/>
  <c r="ED107" i="3"/>
  <c r="EE107" i="3"/>
  <c r="EF107" i="3"/>
  <c r="EG107" i="3"/>
  <c r="EH107" i="3"/>
  <c r="EI107" i="3"/>
  <c r="EJ107" i="3"/>
  <c r="EK107" i="3"/>
  <c r="EL107" i="3"/>
  <c r="EM107" i="3"/>
  <c r="EN107" i="3"/>
  <c r="EO107" i="3"/>
  <c r="EP107" i="3"/>
  <c r="EQ107" i="3"/>
  <c r="ER107" i="3"/>
  <c r="ES107" i="3"/>
  <c r="ET107" i="3"/>
  <c r="EU107" i="3"/>
  <c r="EV107" i="3"/>
  <c r="EW107" i="3"/>
  <c r="EX107" i="3"/>
  <c r="EY107" i="3"/>
  <c r="EZ107" i="3"/>
  <c r="FA107" i="3"/>
  <c r="FB107" i="3"/>
  <c r="FC107" i="3"/>
  <c r="FD107" i="3"/>
  <c r="FE107" i="3"/>
  <c r="FF107" i="3"/>
  <c r="FG107" i="3"/>
  <c r="FH107" i="3"/>
  <c r="FI107" i="3"/>
  <c r="FJ107" i="3"/>
  <c r="FK107" i="3"/>
  <c r="FL107" i="3"/>
  <c r="FM107" i="3"/>
  <c r="FN107" i="3"/>
  <c r="FO107" i="3"/>
  <c r="FP107" i="3"/>
  <c r="FQ107" i="3"/>
  <c r="FR107" i="3"/>
  <c r="FS107" i="3"/>
  <c r="FT107" i="3"/>
  <c r="FU107" i="3"/>
  <c r="FV107" i="3"/>
  <c r="FW107" i="3"/>
  <c r="FX107" i="3"/>
  <c r="FY107" i="3"/>
  <c r="FZ107" i="3"/>
  <c r="GA107" i="3"/>
  <c r="GB107" i="3"/>
  <c r="GC107" i="3"/>
  <c r="GD107" i="3"/>
  <c r="GE107" i="3"/>
  <c r="GF107" i="3"/>
  <c r="GG107" i="3"/>
  <c r="GH107" i="3"/>
  <c r="GI107" i="3"/>
  <c r="GJ107" i="3"/>
  <c r="GK107" i="3"/>
  <c r="GL107" i="3"/>
  <c r="GM107" i="3"/>
  <c r="GN107" i="3"/>
  <c r="GO107" i="3"/>
  <c r="GP107" i="3"/>
  <c r="GQ107" i="3"/>
  <c r="GR107" i="3"/>
  <c r="GS107" i="3"/>
  <c r="GT107" i="3"/>
  <c r="GU107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DC108" i="3"/>
  <c r="DD108" i="3"/>
  <c r="DE108" i="3"/>
  <c r="DF108" i="3"/>
  <c r="DG108" i="3"/>
  <c r="DH108" i="3"/>
  <c r="DI108" i="3"/>
  <c r="DJ108" i="3"/>
  <c r="DK108" i="3"/>
  <c r="DL108" i="3"/>
  <c r="DM108" i="3"/>
  <c r="DN108" i="3"/>
  <c r="DO108" i="3"/>
  <c r="DP108" i="3"/>
  <c r="DQ108" i="3"/>
  <c r="DR108" i="3"/>
  <c r="DS108" i="3"/>
  <c r="DT108" i="3"/>
  <c r="DU108" i="3"/>
  <c r="DV108" i="3"/>
  <c r="DW108" i="3"/>
  <c r="DX108" i="3"/>
  <c r="DY108" i="3"/>
  <c r="DZ108" i="3"/>
  <c r="EA108" i="3"/>
  <c r="EB108" i="3"/>
  <c r="EC108" i="3"/>
  <c r="ED108" i="3"/>
  <c r="EE108" i="3"/>
  <c r="EF108" i="3"/>
  <c r="EG108" i="3"/>
  <c r="EH108" i="3"/>
  <c r="EI108" i="3"/>
  <c r="EJ108" i="3"/>
  <c r="EK108" i="3"/>
  <c r="EL108" i="3"/>
  <c r="EM108" i="3"/>
  <c r="EN108" i="3"/>
  <c r="EO108" i="3"/>
  <c r="EP108" i="3"/>
  <c r="EQ108" i="3"/>
  <c r="ER108" i="3"/>
  <c r="ES108" i="3"/>
  <c r="ET108" i="3"/>
  <c r="EU108" i="3"/>
  <c r="EV108" i="3"/>
  <c r="EW108" i="3"/>
  <c r="EX108" i="3"/>
  <c r="EY108" i="3"/>
  <c r="EZ108" i="3"/>
  <c r="FA108" i="3"/>
  <c r="FB108" i="3"/>
  <c r="FC108" i="3"/>
  <c r="FD108" i="3"/>
  <c r="FE108" i="3"/>
  <c r="FF108" i="3"/>
  <c r="FG108" i="3"/>
  <c r="FH108" i="3"/>
  <c r="FI108" i="3"/>
  <c r="FJ108" i="3"/>
  <c r="FK108" i="3"/>
  <c r="FL108" i="3"/>
  <c r="FM108" i="3"/>
  <c r="FN108" i="3"/>
  <c r="FO108" i="3"/>
  <c r="FP108" i="3"/>
  <c r="FQ108" i="3"/>
  <c r="FR108" i="3"/>
  <c r="FS108" i="3"/>
  <c r="FT108" i="3"/>
  <c r="FU108" i="3"/>
  <c r="FV108" i="3"/>
  <c r="FW108" i="3"/>
  <c r="FX108" i="3"/>
  <c r="FY108" i="3"/>
  <c r="FZ108" i="3"/>
  <c r="GA108" i="3"/>
  <c r="GB108" i="3"/>
  <c r="GC108" i="3"/>
  <c r="GD108" i="3"/>
  <c r="GE108" i="3"/>
  <c r="GF108" i="3"/>
  <c r="GG108" i="3"/>
  <c r="GH108" i="3"/>
  <c r="GI108" i="3"/>
  <c r="GJ108" i="3"/>
  <c r="GK108" i="3"/>
  <c r="GL108" i="3"/>
  <c r="GM108" i="3"/>
  <c r="GN108" i="3"/>
  <c r="GO108" i="3"/>
  <c r="GP108" i="3"/>
  <c r="GQ108" i="3"/>
  <c r="GR108" i="3"/>
  <c r="GS108" i="3"/>
  <c r="GT108" i="3"/>
  <c r="GU108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DC109" i="3"/>
  <c r="DD109" i="3"/>
  <c r="DE109" i="3"/>
  <c r="DF109" i="3"/>
  <c r="DG109" i="3"/>
  <c r="DH109" i="3"/>
  <c r="DI109" i="3"/>
  <c r="DJ109" i="3"/>
  <c r="DK109" i="3"/>
  <c r="DL109" i="3"/>
  <c r="DM109" i="3"/>
  <c r="DN109" i="3"/>
  <c r="DO109" i="3"/>
  <c r="DP109" i="3"/>
  <c r="DQ109" i="3"/>
  <c r="DR109" i="3"/>
  <c r="DS109" i="3"/>
  <c r="DT109" i="3"/>
  <c r="DU109" i="3"/>
  <c r="DV109" i="3"/>
  <c r="DW109" i="3"/>
  <c r="DX109" i="3"/>
  <c r="DY109" i="3"/>
  <c r="DZ109" i="3"/>
  <c r="EA109" i="3"/>
  <c r="EB109" i="3"/>
  <c r="EC109" i="3"/>
  <c r="ED109" i="3"/>
  <c r="EE109" i="3"/>
  <c r="EF109" i="3"/>
  <c r="EG109" i="3"/>
  <c r="EH109" i="3"/>
  <c r="EI109" i="3"/>
  <c r="EJ109" i="3"/>
  <c r="EK109" i="3"/>
  <c r="EL109" i="3"/>
  <c r="EM109" i="3"/>
  <c r="EN109" i="3"/>
  <c r="EO109" i="3"/>
  <c r="EP109" i="3"/>
  <c r="EQ109" i="3"/>
  <c r="ER109" i="3"/>
  <c r="ES109" i="3"/>
  <c r="ET109" i="3"/>
  <c r="EU109" i="3"/>
  <c r="EV109" i="3"/>
  <c r="EW109" i="3"/>
  <c r="EX109" i="3"/>
  <c r="EY109" i="3"/>
  <c r="EZ109" i="3"/>
  <c r="FA109" i="3"/>
  <c r="FB109" i="3"/>
  <c r="FC109" i="3"/>
  <c r="FD109" i="3"/>
  <c r="FE109" i="3"/>
  <c r="FF109" i="3"/>
  <c r="FG109" i="3"/>
  <c r="FH109" i="3"/>
  <c r="FI109" i="3"/>
  <c r="FJ109" i="3"/>
  <c r="FK109" i="3"/>
  <c r="FL109" i="3"/>
  <c r="FM109" i="3"/>
  <c r="FN109" i="3"/>
  <c r="FO109" i="3"/>
  <c r="FP109" i="3"/>
  <c r="FQ109" i="3"/>
  <c r="FR109" i="3"/>
  <c r="FS109" i="3"/>
  <c r="FT109" i="3"/>
  <c r="FU109" i="3"/>
  <c r="FV109" i="3"/>
  <c r="FW109" i="3"/>
  <c r="FX109" i="3"/>
  <c r="FY109" i="3"/>
  <c r="FZ109" i="3"/>
  <c r="GA109" i="3"/>
  <c r="GB109" i="3"/>
  <c r="GC109" i="3"/>
  <c r="GD109" i="3"/>
  <c r="GE109" i="3"/>
  <c r="GF109" i="3"/>
  <c r="GG109" i="3"/>
  <c r="GH109" i="3"/>
  <c r="GI109" i="3"/>
  <c r="GJ109" i="3"/>
  <c r="GK109" i="3"/>
  <c r="GL109" i="3"/>
  <c r="GM109" i="3"/>
  <c r="GN109" i="3"/>
  <c r="GO109" i="3"/>
  <c r="GP109" i="3"/>
  <c r="GQ109" i="3"/>
  <c r="GR109" i="3"/>
  <c r="GS109" i="3"/>
  <c r="GT109" i="3"/>
  <c r="GU109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DC110" i="3"/>
  <c r="DD110" i="3"/>
  <c r="DE110" i="3"/>
  <c r="DF110" i="3"/>
  <c r="DG110" i="3"/>
  <c r="DH110" i="3"/>
  <c r="DI110" i="3"/>
  <c r="DJ110" i="3"/>
  <c r="DK110" i="3"/>
  <c r="DL110" i="3"/>
  <c r="DM110" i="3"/>
  <c r="DN110" i="3"/>
  <c r="DO110" i="3"/>
  <c r="DP110" i="3"/>
  <c r="DQ110" i="3"/>
  <c r="DR110" i="3"/>
  <c r="DS110" i="3"/>
  <c r="DT110" i="3"/>
  <c r="DU110" i="3"/>
  <c r="DV110" i="3"/>
  <c r="DW110" i="3"/>
  <c r="DX110" i="3"/>
  <c r="DY110" i="3"/>
  <c r="DZ110" i="3"/>
  <c r="EA110" i="3"/>
  <c r="EB110" i="3"/>
  <c r="EC110" i="3"/>
  <c r="ED110" i="3"/>
  <c r="EE110" i="3"/>
  <c r="EF110" i="3"/>
  <c r="EG110" i="3"/>
  <c r="EH110" i="3"/>
  <c r="EI110" i="3"/>
  <c r="EJ110" i="3"/>
  <c r="EK110" i="3"/>
  <c r="EL110" i="3"/>
  <c r="EM110" i="3"/>
  <c r="EN110" i="3"/>
  <c r="EO110" i="3"/>
  <c r="EP110" i="3"/>
  <c r="EQ110" i="3"/>
  <c r="ER110" i="3"/>
  <c r="ES110" i="3"/>
  <c r="ET110" i="3"/>
  <c r="EU110" i="3"/>
  <c r="EV110" i="3"/>
  <c r="EW110" i="3"/>
  <c r="EX110" i="3"/>
  <c r="EY110" i="3"/>
  <c r="EZ110" i="3"/>
  <c r="FA110" i="3"/>
  <c r="FB110" i="3"/>
  <c r="FC110" i="3"/>
  <c r="FD110" i="3"/>
  <c r="FE110" i="3"/>
  <c r="FF110" i="3"/>
  <c r="FG110" i="3"/>
  <c r="FH110" i="3"/>
  <c r="FI110" i="3"/>
  <c r="FJ110" i="3"/>
  <c r="FK110" i="3"/>
  <c r="FL110" i="3"/>
  <c r="FM110" i="3"/>
  <c r="FN110" i="3"/>
  <c r="FO110" i="3"/>
  <c r="FP110" i="3"/>
  <c r="FQ110" i="3"/>
  <c r="FR110" i="3"/>
  <c r="FS110" i="3"/>
  <c r="FT110" i="3"/>
  <c r="FU110" i="3"/>
  <c r="FV110" i="3"/>
  <c r="FW110" i="3"/>
  <c r="FX110" i="3"/>
  <c r="FY110" i="3"/>
  <c r="FZ110" i="3"/>
  <c r="GA110" i="3"/>
  <c r="GB110" i="3"/>
  <c r="GC110" i="3"/>
  <c r="GD110" i="3"/>
  <c r="GE110" i="3"/>
  <c r="GF110" i="3"/>
  <c r="GG110" i="3"/>
  <c r="GH110" i="3"/>
  <c r="GI110" i="3"/>
  <c r="GJ110" i="3"/>
  <c r="GK110" i="3"/>
  <c r="GL110" i="3"/>
  <c r="GM110" i="3"/>
  <c r="GN110" i="3"/>
  <c r="GO110" i="3"/>
  <c r="GP110" i="3"/>
  <c r="GQ110" i="3"/>
  <c r="GR110" i="3"/>
  <c r="GS110" i="3"/>
  <c r="GT110" i="3"/>
  <c r="GU110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DC111" i="3"/>
  <c r="DD111" i="3"/>
  <c r="DE111" i="3"/>
  <c r="DF111" i="3"/>
  <c r="DG111" i="3"/>
  <c r="DH111" i="3"/>
  <c r="DI111" i="3"/>
  <c r="DJ111" i="3"/>
  <c r="DK111" i="3"/>
  <c r="DL111" i="3"/>
  <c r="DM111" i="3"/>
  <c r="DN111" i="3"/>
  <c r="DO111" i="3"/>
  <c r="DP111" i="3"/>
  <c r="DQ111" i="3"/>
  <c r="DR111" i="3"/>
  <c r="DS111" i="3"/>
  <c r="DT111" i="3"/>
  <c r="DU111" i="3"/>
  <c r="DV111" i="3"/>
  <c r="DW111" i="3"/>
  <c r="DX111" i="3"/>
  <c r="DY111" i="3"/>
  <c r="DZ111" i="3"/>
  <c r="EA111" i="3"/>
  <c r="EB111" i="3"/>
  <c r="EC111" i="3"/>
  <c r="ED111" i="3"/>
  <c r="EE111" i="3"/>
  <c r="EF111" i="3"/>
  <c r="EG111" i="3"/>
  <c r="EH111" i="3"/>
  <c r="EI111" i="3"/>
  <c r="EJ111" i="3"/>
  <c r="EK111" i="3"/>
  <c r="EL111" i="3"/>
  <c r="EM111" i="3"/>
  <c r="EN111" i="3"/>
  <c r="EO111" i="3"/>
  <c r="EP111" i="3"/>
  <c r="EQ111" i="3"/>
  <c r="ER111" i="3"/>
  <c r="ES111" i="3"/>
  <c r="ET111" i="3"/>
  <c r="EU111" i="3"/>
  <c r="EV111" i="3"/>
  <c r="EW111" i="3"/>
  <c r="EX111" i="3"/>
  <c r="EY111" i="3"/>
  <c r="EZ111" i="3"/>
  <c r="FA111" i="3"/>
  <c r="FB111" i="3"/>
  <c r="FC111" i="3"/>
  <c r="FD111" i="3"/>
  <c r="FE111" i="3"/>
  <c r="FF111" i="3"/>
  <c r="FG111" i="3"/>
  <c r="FH111" i="3"/>
  <c r="FI111" i="3"/>
  <c r="FJ111" i="3"/>
  <c r="FK111" i="3"/>
  <c r="FL111" i="3"/>
  <c r="FM111" i="3"/>
  <c r="FN111" i="3"/>
  <c r="FO111" i="3"/>
  <c r="FP111" i="3"/>
  <c r="FQ111" i="3"/>
  <c r="FR111" i="3"/>
  <c r="FS111" i="3"/>
  <c r="FT111" i="3"/>
  <c r="FU111" i="3"/>
  <c r="FV111" i="3"/>
  <c r="FW111" i="3"/>
  <c r="FX111" i="3"/>
  <c r="FY111" i="3"/>
  <c r="FZ111" i="3"/>
  <c r="GA111" i="3"/>
  <c r="GB111" i="3"/>
  <c r="GC111" i="3"/>
  <c r="GD111" i="3"/>
  <c r="GE111" i="3"/>
  <c r="GF111" i="3"/>
  <c r="GG111" i="3"/>
  <c r="GH111" i="3"/>
  <c r="GI111" i="3"/>
  <c r="GJ111" i="3"/>
  <c r="GK111" i="3"/>
  <c r="GL111" i="3"/>
  <c r="GM111" i="3"/>
  <c r="GN111" i="3"/>
  <c r="GO111" i="3"/>
  <c r="GP111" i="3"/>
  <c r="GQ111" i="3"/>
  <c r="GR111" i="3"/>
  <c r="GS111" i="3"/>
  <c r="GT111" i="3"/>
  <c r="GU111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DC112" i="3"/>
  <c r="DD112" i="3"/>
  <c r="DE112" i="3"/>
  <c r="DF112" i="3"/>
  <c r="DG112" i="3"/>
  <c r="DH112" i="3"/>
  <c r="DI112" i="3"/>
  <c r="DJ112" i="3"/>
  <c r="DK112" i="3"/>
  <c r="DL112" i="3"/>
  <c r="DM112" i="3"/>
  <c r="DN112" i="3"/>
  <c r="DO112" i="3"/>
  <c r="DP112" i="3"/>
  <c r="DQ112" i="3"/>
  <c r="DR112" i="3"/>
  <c r="DS112" i="3"/>
  <c r="DT112" i="3"/>
  <c r="DU112" i="3"/>
  <c r="DV112" i="3"/>
  <c r="DW112" i="3"/>
  <c r="DX112" i="3"/>
  <c r="DY112" i="3"/>
  <c r="DZ112" i="3"/>
  <c r="EA112" i="3"/>
  <c r="EB112" i="3"/>
  <c r="EC112" i="3"/>
  <c r="ED112" i="3"/>
  <c r="EE112" i="3"/>
  <c r="EF112" i="3"/>
  <c r="EG112" i="3"/>
  <c r="EH112" i="3"/>
  <c r="EI112" i="3"/>
  <c r="EJ112" i="3"/>
  <c r="EK112" i="3"/>
  <c r="EL112" i="3"/>
  <c r="EM112" i="3"/>
  <c r="EN112" i="3"/>
  <c r="EO112" i="3"/>
  <c r="EP112" i="3"/>
  <c r="EQ112" i="3"/>
  <c r="ER112" i="3"/>
  <c r="ES112" i="3"/>
  <c r="ET112" i="3"/>
  <c r="EU112" i="3"/>
  <c r="EV112" i="3"/>
  <c r="EW112" i="3"/>
  <c r="EX112" i="3"/>
  <c r="EY112" i="3"/>
  <c r="EZ112" i="3"/>
  <c r="FA112" i="3"/>
  <c r="FB112" i="3"/>
  <c r="FC112" i="3"/>
  <c r="FD112" i="3"/>
  <c r="FE112" i="3"/>
  <c r="FF112" i="3"/>
  <c r="FG112" i="3"/>
  <c r="FH112" i="3"/>
  <c r="FI112" i="3"/>
  <c r="FJ112" i="3"/>
  <c r="FK112" i="3"/>
  <c r="FL112" i="3"/>
  <c r="FM112" i="3"/>
  <c r="FN112" i="3"/>
  <c r="FO112" i="3"/>
  <c r="FP112" i="3"/>
  <c r="FQ112" i="3"/>
  <c r="FR112" i="3"/>
  <c r="FS112" i="3"/>
  <c r="FT112" i="3"/>
  <c r="FU112" i="3"/>
  <c r="FV112" i="3"/>
  <c r="FW112" i="3"/>
  <c r="FX112" i="3"/>
  <c r="FY112" i="3"/>
  <c r="FZ112" i="3"/>
  <c r="GA112" i="3"/>
  <c r="GB112" i="3"/>
  <c r="GC112" i="3"/>
  <c r="GD112" i="3"/>
  <c r="GE112" i="3"/>
  <c r="GF112" i="3"/>
  <c r="GG112" i="3"/>
  <c r="GH112" i="3"/>
  <c r="GI112" i="3"/>
  <c r="GJ112" i="3"/>
  <c r="GK112" i="3"/>
  <c r="GL112" i="3"/>
  <c r="GM112" i="3"/>
  <c r="GN112" i="3"/>
  <c r="GO112" i="3"/>
  <c r="GP112" i="3"/>
  <c r="GQ112" i="3"/>
  <c r="GR112" i="3"/>
  <c r="GS112" i="3"/>
  <c r="GT112" i="3"/>
  <c r="GU112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DC113" i="3"/>
  <c r="DD113" i="3"/>
  <c r="DE113" i="3"/>
  <c r="DF113" i="3"/>
  <c r="DG113" i="3"/>
  <c r="DH113" i="3"/>
  <c r="DI113" i="3"/>
  <c r="DJ113" i="3"/>
  <c r="DK113" i="3"/>
  <c r="DL113" i="3"/>
  <c r="DM113" i="3"/>
  <c r="DN113" i="3"/>
  <c r="DO113" i="3"/>
  <c r="DP113" i="3"/>
  <c r="DQ113" i="3"/>
  <c r="DR113" i="3"/>
  <c r="DS113" i="3"/>
  <c r="DT113" i="3"/>
  <c r="DU113" i="3"/>
  <c r="DV113" i="3"/>
  <c r="DW113" i="3"/>
  <c r="DX113" i="3"/>
  <c r="DY113" i="3"/>
  <c r="DZ113" i="3"/>
  <c r="EA113" i="3"/>
  <c r="EB113" i="3"/>
  <c r="EC113" i="3"/>
  <c r="ED113" i="3"/>
  <c r="EE113" i="3"/>
  <c r="EF113" i="3"/>
  <c r="EG113" i="3"/>
  <c r="EH113" i="3"/>
  <c r="EI113" i="3"/>
  <c r="EJ113" i="3"/>
  <c r="EK113" i="3"/>
  <c r="EL113" i="3"/>
  <c r="EM113" i="3"/>
  <c r="EN113" i="3"/>
  <c r="EO113" i="3"/>
  <c r="EP113" i="3"/>
  <c r="EQ113" i="3"/>
  <c r="ER113" i="3"/>
  <c r="ES113" i="3"/>
  <c r="ET113" i="3"/>
  <c r="EU113" i="3"/>
  <c r="EV113" i="3"/>
  <c r="EW113" i="3"/>
  <c r="EX113" i="3"/>
  <c r="EY113" i="3"/>
  <c r="EZ113" i="3"/>
  <c r="FA113" i="3"/>
  <c r="FB113" i="3"/>
  <c r="FC113" i="3"/>
  <c r="FD113" i="3"/>
  <c r="FE113" i="3"/>
  <c r="FF113" i="3"/>
  <c r="FG113" i="3"/>
  <c r="FH113" i="3"/>
  <c r="FI113" i="3"/>
  <c r="FJ113" i="3"/>
  <c r="FK113" i="3"/>
  <c r="FL113" i="3"/>
  <c r="FM113" i="3"/>
  <c r="FN113" i="3"/>
  <c r="FO113" i="3"/>
  <c r="FP113" i="3"/>
  <c r="FQ113" i="3"/>
  <c r="FR113" i="3"/>
  <c r="FS113" i="3"/>
  <c r="FT113" i="3"/>
  <c r="FU113" i="3"/>
  <c r="FV113" i="3"/>
  <c r="FW113" i="3"/>
  <c r="FX113" i="3"/>
  <c r="FY113" i="3"/>
  <c r="FZ113" i="3"/>
  <c r="GA113" i="3"/>
  <c r="GB113" i="3"/>
  <c r="GC113" i="3"/>
  <c r="GD113" i="3"/>
  <c r="GE113" i="3"/>
  <c r="GF113" i="3"/>
  <c r="GG113" i="3"/>
  <c r="GH113" i="3"/>
  <c r="GI113" i="3"/>
  <c r="GJ113" i="3"/>
  <c r="GK113" i="3"/>
  <c r="GL113" i="3"/>
  <c r="GM113" i="3"/>
  <c r="GN113" i="3"/>
  <c r="GO113" i="3"/>
  <c r="GP113" i="3"/>
  <c r="GQ113" i="3"/>
  <c r="GR113" i="3"/>
  <c r="GS113" i="3"/>
  <c r="GT113" i="3"/>
  <c r="GU113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DC114" i="3"/>
  <c r="DD114" i="3"/>
  <c r="DE114" i="3"/>
  <c r="DF114" i="3"/>
  <c r="DG114" i="3"/>
  <c r="DH114" i="3"/>
  <c r="DI114" i="3"/>
  <c r="DJ114" i="3"/>
  <c r="DK114" i="3"/>
  <c r="DL114" i="3"/>
  <c r="DM114" i="3"/>
  <c r="DN114" i="3"/>
  <c r="DO114" i="3"/>
  <c r="DP114" i="3"/>
  <c r="DQ114" i="3"/>
  <c r="DR114" i="3"/>
  <c r="DS114" i="3"/>
  <c r="DT114" i="3"/>
  <c r="DU114" i="3"/>
  <c r="DV114" i="3"/>
  <c r="DW114" i="3"/>
  <c r="DX114" i="3"/>
  <c r="DY114" i="3"/>
  <c r="DZ114" i="3"/>
  <c r="EA114" i="3"/>
  <c r="EB114" i="3"/>
  <c r="EC114" i="3"/>
  <c r="ED114" i="3"/>
  <c r="EE114" i="3"/>
  <c r="EF114" i="3"/>
  <c r="EG114" i="3"/>
  <c r="EH114" i="3"/>
  <c r="EI114" i="3"/>
  <c r="EJ114" i="3"/>
  <c r="EK114" i="3"/>
  <c r="EL114" i="3"/>
  <c r="EM114" i="3"/>
  <c r="EN114" i="3"/>
  <c r="EO114" i="3"/>
  <c r="EP114" i="3"/>
  <c r="EQ114" i="3"/>
  <c r="ER114" i="3"/>
  <c r="ES114" i="3"/>
  <c r="ET114" i="3"/>
  <c r="EU114" i="3"/>
  <c r="EV114" i="3"/>
  <c r="EW114" i="3"/>
  <c r="EX114" i="3"/>
  <c r="EY114" i="3"/>
  <c r="EZ114" i="3"/>
  <c r="FA114" i="3"/>
  <c r="FB114" i="3"/>
  <c r="FC114" i="3"/>
  <c r="FD114" i="3"/>
  <c r="FE114" i="3"/>
  <c r="FF114" i="3"/>
  <c r="FG114" i="3"/>
  <c r="FH114" i="3"/>
  <c r="FI114" i="3"/>
  <c r="FJ114" i="3"/>
  <c r="FK114" i="3"/>
  <c r="FL114" i="3"/>
  <c r="FM114" i="3"/>
  <c r="FN114" i="3"/>
  <c r="FO114" i="3"/>
  <c r="FP114" i="3"/>
  <c r="FQ114" i="3"/>
  <c r="FR114" i="3"/>
  <c r="FS114" i="3"/>
  <c r="FT114" i="3"/>
  <c r="FU114" i="3"/>
  <c r="FV114" i="3"/>
  <c r="FW114" i="3"/>
  <c r="FX114" i="3"/>
  <c r="FY114" i="3"/>
  <c r="FZ114" i="3"/>
  <c r="GA114" i="3"/>
  <c r="GB114" i="3"/>
  <c r="GC114" i="3"/>
  <c r="GD114" i="3"/>
  <c r="GE114" i="3"/>
  <c r="GF114" i="3"/>
  <c r="GG114" i="3"/>
  <c r="GH114" i="3"/>
  <c r="GI114" i="3"/>
  <c r="GJ114" i="3"/>
  <c r="GK114" i="3"/>
  <c r="GL114" i="3"/>
  <c r="GM114" i="3"/>
  <c r="GN114" i="3"/>
  <c r="GO114" i="3"/>
  <c r="GP114" i="3"/>
  <c r="GQ114" i="3"/>
  <c r="GR114" i="3"/>
  <c r="GS114" i="3"/>
  <c r="GT114" i="3"/>
  <c r="GU114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DC115" i="3"/>
  <c r="DD115" i="3"/>
  <c r="DE115" i="3"/>
  <c r="DF115" i="3"/>
  <c r="DG115" i="3"/>
  <c r="DH115" i="3"/>
  <c r="DI115" i="3"/>
  <c r="DJ115" i="3"/>
  <c r="DK115" i="3"/>
  <c r="DL115" i="3"/>
  <c r="DM115" i="3"/>
  <c r="DN115" i="3"/>
  <c r="DO115" i="3"/>
  <c r="DP115" i="3"/>
  <c r="DQ115" i="3"/>
  <c r="DR115" i="3"/>
  <c r="DS115" i="3"/>
  <c r="DT115" i="3"/>
  <c r="DU115" i="3"/>
  <c r="DV115" i="3"/>
  <c r="DW115" i="3"/>
  <c r="DX115" i="3"/>
  <c r="DY115" i="3"/>
  <c r="DZ115" i="3"/>
  <c r="EA115" i="3"/>
  <c r="EB115" i="3"/>
  <c r="EC115" i="3"/>
  <c r="ED115" i="3"/>
  <c r="EE115" i="3"/>
  <c r="EF115" i="3"/>
  <c r="EG115" i="3"/>
  <c r="EH115" i="3"/>
  <c r="EI115" i="3"/>
  <c r="EJ115" i="3"/>
  <c r="EK115" i="3"/>
  <c r="EL115" i="3"/>
  <c r="EM115" i="3"/>
  <c r="EN115" i="3"/>
  <c r="EO115" i="3"/>
  <c r="EP115" i="3"/>
  <c r="EQ115" i="3"/>
  <c r="ER115" i="3"/>
  <c r="ES115" i="3"/>
  <c r="ET115" i="3"/>
  <c r="EU115" i="3"/>
  <c r="EV115" i="3"/>
  <c r="EW115" i="3"/>
  <c r="EX115" i="3"/>
  <c r="EY115" i="3"/>
  <c r="EZ115" i="3"/>
  <c r="FA115" i="3"/>
  <c r="FB115" i="3"/>
  <c r="FC115" i="3"/>
  <c r="FD115" i="3"/>
  <c r="FE115" i="3"/>
  <c r="FF115" i="3"/>
  <c r="FG115" i="3"/>
  <c r="FH115" i="3"/>
  <c r="FI115" i="3"/>
  <c r="FJ115" i="3"/>
  <c r="FK115" i="3"/>
  <c r="FL115" i="3"/>
  <c r="FM115" i="3"/>
  <c r="FN115" i="3"/>
  <c r="FO115" i="3"/>
  <c r="FP115" i="3"/>
  <c r="FQ115" i="3"/>
  <c r="FR115" i="3"/>
  <c r="FS115" i="3"/>
  <c r="FT115" i="3"/>
  <c r="FU115" i="3"/>
  <c r="FV115" i="3"/>
  <c r="FW115" i="3"/>
  <c r="FX115" i="3"/>
  <c r="FY115" i="3"/>
  <c r="FZ115" i="3"/>
  <c r="GA115" i="3"/>
  <c r="GB115" i="3"/>
  <c r="GC115" i="3"/>
  <c r="GD115" i="3"/>
  <c r="GE115" i="3"/>
  <c r="GF115" i="3"/>
  <c r="GG115" i="3"/>
  <c r="GH115" i="3"/>
  <c r="GI115" i="3"/>
  <c r="GJ115" i="3"/>
  <c r="GK115" i="3"/>
  <c r="GL115" i="3"/>
  <c r="GM115" i="3"/>
  <c r="GN115" i="3"/>
  <c r="GO115" i="3"/>
  <c r="GP115" i="3"/>
  <c r="GQ115" i="3"/>
  <c r="GR115" i="3"/>
  <c r="GS115" i="3"/>
  <c r="GT115" i="3"/>
  <c r="GU115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DC116" i="3"/>
  <c r="DD116" i="3"/>
  <c r="DE116" i="3"/>
  <c r="DF116" i="3"/>
  <c r="DG116" i="3"/>
  <c r="DH116" i="3"/>
  <c r="DI116" i="3"/>
  <c r="DJ116" i="3"/>
  <c r="DK116" i="3"/>
  <c r="DL116" i="3"/>
  <c r="DM116" i="3"/>
  <c r="DN116" i="3"/>
  <c r="DO116" i="3"/>
  <c r="DP116" i="3"/>
  <c r="DQ116" i="3"/>
  <c r="DR116" i="3"/>
  <c r="DS116" i="3"/>
  <c r="DT116" i="3"/>
  <c r="DU116" i="3"/>
  <c r="DV116" i="3"/>
  <c r="DW116" i="3"/>
  <c r="DX116" i="3"/>
  <c r="DY116" i="3"/>
  <c r="DZ116" i="3"/>
  <c r="EA116" i="3"/>
  <c r="EB116" i="3"/>
  <c r="EC116" i="3"/>
  <c r="ED116" i="3"/>
  <c r="EE116" i="3"/>
  <c r="EF116" i="3"/>
  <c r="EG116" i="3"/>
  <c r="EH116" i="3"/>
  <c r="EI116" i="3"/>
  <c r="EJ116" i="3"/>
  <c r="EK116" i="3"/>
  <c r="EL116" i="3"/>
  <c r="EM116" i="3"/>
  <c r="EN116" i="3"/>
  <c r="EO116" i="3"/>
  <c r="EP116" i="3"/>
  <c r="EQ116" i="3"/>
  <c r="ER116" i="3"/>
  <c r="ES116" i="3"/>
  <c r="ET116" i="3"/>
  <c r="EU116" i="3"/>
  <c r="EV116" i="3"/>
  <c r="EW116" i="3"/>
  <c r="EX116" i="3"/>
  <c r="EY116" i="3"/>
  <c r="EZ116" i="3"/>
  <c r="FA116" i="3"/>
  <c r="FB116" i="3"/>
  <c r="FC116" i="3"/>
  <c r="FD116" i="3"/>
  <c r="FE116" i="3"/>
  <c r="FF116" i="3"/>
  <c r="FG116" i="3"/>
  <c r="FH116" i="3"/>
  <c r="FI116" i="3"/>
  <c r="FJ116" i="3"/>
  <c r="FK116" i="3"/>
  <c r="FL116" i="3"/>
  <c r="FM116" i="3"/>
  <c r="FN116" i="3"/>
  <c r="FO116" i="3"/>
  <c r="FP116" i="3"/>
  <c r="FQ116" i="3"/>
  <c r="FR116" i="3"/>
  <c r="FS116" i="3"/>
  <c r="FT116" i="3"/>
  <c r="FU116" i="3"/>
  <c r="FV116" i="3"/>
  <c r="FW116" i="3"/>
  <c r="FX116" i="3"/>
  <c r="FY116" i="3"/>
  <c r="FZ116" i="3"/>
  <c r="GA116" i="3"/>
  <c r="GB116" i="3"/>
  <c r="GC116" i="3"/>
  <c r="GD116" i="3"/>
  <c r="GE116" i="3"/>
  <c r="GF116" i="3"/>
  <c r="GG116" i="3"/>
  <c r="GH116" i="3"/>
  <c r="GI116" i="3"/>
  <c r="GJ116" i="3"/>
  <c r="GK116" i="3"/>
  <c r="GL116" i="3"/>
  <c r="GM116" i="3"/>
  <c r="GN116" i="3"/>
  <c r="GO116" i="3"/>
  <c r="GP116" i="3"/>
  <c r="GQ116" i="3"/>
  <c r="GR116" i="3"/>
  <c r="GS116" i="3"/>
  <c r="GT116" i="3"/>
  <c r="GU116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DC117" i="3"/>
  <c r="DD117" i="3"/>
  <c r="DE117" i="3"/>
  <c r="DF117" i="3"/>
  <c r="DG117" i="3"/>
  <c r="DH117" i="3"/>
  <c r="DI117" i="3"/>
  <c r="DJ117" i="3"/>
  <c r="DK117" i="3"/>
  <c r="DL117" i="3"/>
  <c r="DM117" i="3"/>
  <c r="DN117" i="3"/>
  <c r="DO117" i="3"/>
  <c r="DP117" i="3"/>
  <c r="DQ117" i="3"/>
  <c r="DR117" i="3"/>
  <c r="DS117" i="3"/>
  <c r="DT117" i="3"/>
  <c r="DU117" i="3"/>
  <c r="DV117" i="3"/>
  <c r="DW117" i="3"/>
  <c r="DX117" i="3"/>
  <c r="DY117" i="3"/>
  <c r="DZ117" i="3"/>
  <c r="EA117" i="3"/>
  <c r="EB117" i="3"/>
  <c r="EC117" i="3"/>
  <c r="ED117" i="3"/>
  <c r="EE117" i="3"/>
  <c r="EF117" i="3"/>
  <c r="EG117" i="3"/>
  <c r="EH117" i="3"/>
  <c r="EI117" i="3"/>
  <c r="EJ117" i="3"/>
  <c r="EK117" i="3"/>
  <c r="EL117" i="3"/>
  <c r="EM117" i="3"/>
  <c r="EN117" i="3"/>
  <c r="EO117" i="3"/>
  <c r="EP117" i="3"/>
  <c r="EQ117" i="3"/>
  <c r="ER117" i="3"/>
  <c r="ES117" i="3"/>
  <c r="ET117" i="3"/>
  <c r="EU117" i="3"/>
  <c r="EV117" i="3"/>
  <c r="EW117" i="3"/>
  <c r="EX117" i="3"/>
  <c r="EY117" i="3"/>
  <c r="EZ117" i="3"/>
  <c r="FA117" i="3"/>
  <c r="FB117" i="3"/>
  <c r="FC117" i="3"/>
  <c r="FD117" i="3"/>
  <c r="FE117" i="3"/>
  <c r="FF117" i="3"/>
  <c r="FG117" i="3"/>
  <c r="FH117" i="3"/>
  <c r="FI117" i="3"/>
  <c r="FJ117" i="3"/>
  <c r="FK117" i="3"/>
  <c r="FL117" i="3"/>
  <c r="FM117" i="3"/>
  <c r="FN117" i="3"/>
  <c r="FO117" i="3"/>
  <c r="FP117" i="3"/>
  <c r="FQ117" i="3"/>
  <c r="FR117" i="3"/>
  <c r="FS117" i="3"/>
  <c r="FT117" i="3"/>
  <c r="FU117" i="3"/>
  <c r="FV117" i="3"/>
  <c r="FW117" i="3"/>
  <c r="FX117" i="3"/>
  <c r="FY117" i="3"/>
  <c r="FZ117" i="3"/>
  <c r="GA117" i="3"/>
  <c r="GB117" i="3"/>
  <c r="GC117" i="3"/>
  <c r="GD117" i="3"/>
  <c r="GE117" i="3"/>
  <c r="GF117" i="3"/>
  <c r="GG117" i="3"/>
  <c r="GH117" i="3"/>
  <c r="GI117" i="3"/>
  <c r="GJ117" i="3"/>
  <c r="GK117" i="3"/>
  <c r="GL117" i="3"/>
  <c r="GM117" i="3"/>
  <c r="GN117" i="3"/>
  <c r="GO117" i="3"/>
  <c r="GP117" i="3"/>
  <c r="GQ117" i="3"/>
  <c r="GR117" i="3"/>
  <c r="GS117" i="3"/>
  <c r="GT117" i="3"/>
  <c r="GU117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DC118" i="3"/>
  <c r="DD118" i="3"/>
  <c r="DE118" i="3"/>
  <c r="DF118" i="3"/>
  <c r="DG118" i="3"/>
  <c r="DH118" i="3"/>
  <c r="DI118" i="3"/>
  <c r="DJ118" i="3"/>
  <c r="DK118" i="3"/>
  <c r="DL118" i="3"/>
  <c r="DM118" i="3"/>
  <c r="DN118" i="3"/>
  <c r="DO118" i="3"/>
  <c r="DP118" i="3"/>
  <c r="DQ118" i="3"/>
  <c r="DR118" i="3"/>
  <c r="DS118" i="3"/>
  <c r="DT118" i="3"/>
  <c r="DU118" i="3"/>
  <c r="DV118" i="3"/>
  <c r="DW118" i="3"/>
  <c r="DX118" i="3"/>
  <c r="DY118" i="3"/>
  <c r="DZ118" i="3"/>
  <c r="EA118" i="3"/>
  <c r="EB118" i="3"/>
  <c r="EC118" i="3"/>
  <c r="ED118" i="3"/>
  <c r="EE118" i="3"/>
  <c r="EF118" i="3"/>
  <c r="EG118" i="3"/>
  <c r="EH118" i="3"/>
  <c r="EI118" i="3"/>
  <c r="EJ118" i="3"/>
  <c r="EK118" i="3"/>
  <c r="EL118" i="3"/>
  <c r="EM118" i="3"/>
  <c r="EN118" i="3"/>
  <c r="EO118" i="3"/>
  <c r="EP118" i="3"/>
  <c r="EQ118" i="3"/>
  <c r="ER118" i="3"/>
  <c r="ES118" i="3"/>
  <c r="ET118" i="3"/>
  <c r="EU118" i="3"/>
  <c r="EV118" i="3"/>
  <c r="EW118" i="3"/>
  <c r="EX118" i="3"/>
  <c r="EY118" i="3"/>
  <c r="EZ118" i="3"/>
  <c r="FA118" i="3"/>
  <c r="FB118" i="3"/>
  <c r="FC118" i="3"/>
  <c r="FD118" i="3"/>
  <c r="FE118" i="3"/>
  <c r="FF118" i="3"/>
  <c r="FG118" i="3"/>
  <c r="FH118" i="3"/>
  <c r="FI118" i="3"/>
  <c r="FJ118" i="3"/>
  <c r="FK118" i="3"/>
  <c r="FL118" i="3"/>
  <c r="FM118" i="3"/>
  <c r="FN118" i="3"/>
  <c r="FO118" i="3"/>
  <c r="FP118" i="3"/>
  <c r="FQ118" i="3"/>
  <c r="FR118" i="3"/>
  <c r="FS118" i="3"/>
  <c r="FT118" i="3"/>
  <c r="FU118" i="3"/>
  <c r="FV118" i="3"/>
  <c r="FW118" i="3"/>
  <c r="FX118" i="3"/>
  <c r="FY118" i="3"/>
  <c r="FZ118" i="3"/>
  <c r="GA118" i="3"/>
  <c r="GB118" i="3"/>
  <c r="GC118" i="3"/>
  <c r="GD118" i="3"/>
  <c r="GE118" i="3"/>
  <c r="GF118" i="3"/>
  <c r="GG118" i="3"/>
  <c r="GH118" i="3"/>
  <c r="GI118" i="3"/>
  <c r="GJ118" i="3"/>
  <c r="GK118" i="3"/>
  <c r="GL118" i="3"/>
  <c r="GM118" i="3"/>
  <c r="GN118" i="3"/>
  <c r="GO118" i="3"/>
  <c r="GP118" i="3"/>
  <c r="GQ118" i="3"/>
  <c r="GR118" i="3"/>
  <c r="GS118" i="3"/>
  <c r="GT118" i="3"/>
  <c r="GU118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DC119" i="3"/>
  <c r="DD119" i="3"/>
  <c r="DE119" i="3"/>
  <c r="DF119" i="3"/>
  <c r="DG119" i="3"/>
  <c r="DH119" i="3"/>
  <c r="DI119" i="3"/>
  <c r="DJ119" i="3"/>
  <c r="DK119" i="3"/>
  <c r="DL119" i="3"/>
  <c r="DM119" i="3"/>
  <c r="DN119" i="3"/>
  <c r="DO119" i="3"/>
  <c r="DP119" i="3"/>
  <c r="DQ119" i="3"/>
  <c r="DR119" i="3"/>
  <c r="DS119" i="3"/>
  <c r="DT119" i="3"/>
  <c r="DU119" i="3"/>
  <c r="DV119" i="3"/>
  <c r="DW119" i="3"/>
  <c r="DX119" i="3"/>
  <c r="DY119" i="3"/>
  <c r="DZ119" i="3"/>
  <c r="EA119" i="3"/>
  <c r="EB119" i="3"/>
  <c r="EC119" i="3"/>
  <c r="ED119" i="3"/>
  <c r="EE119" i="3"/>
  <c r="EF119" i="3"/>
  <c r="EG119" i="3"/>
  <c r="EH119" i="3"/>
  <c r="EI119" i="3"/>
  <c r="EJ119" i="3"/>
  <c r="EK119" i="3"/>
  <c r="EL119" i="3"/>
  <c r="EM119" i="3"/>
  <c r="EN119" i="3"/>
  <c r="EO119" i="3"/>
  <c r="EP119" i="3"/>
  <c r="EQ119" i="3"/>
  <c r="ER119" i="3"/>
  <c r="ES119" i="3"/>
  <c r="ET119" i="3"/>
  <c r="EU119" i="3"/>
  <c r="EV119" i="3"/>
  <c r="EW119" i="3"/>
  <c r="EX119" i="3"/>
  <c r="EY119" i="3"/>
  <c r="EZ119" i="3"/>
  <c r="FA119" i="3"/>
  <c r="FB119" i="3"/>
  <c r="FC119" i="3"/>
  <c r="FD119" i="3"/>
  <c r="FE119" i="3"/>
  <c r="FF119" i="3"/>
  <c r="FG119" i="3"/>
  <c r="FH119" i="3"/>
  <c r="FI119" i="3"/>
  <c r="FJ119" i="3"/>
  <c r="FK119" i="3"/>
  <c r="FL119" i="3"/>
  <c r="FM119" i="3"/>
  <c r="FN119" i="3"/>
  <c r="FO119" i="3"/>
  <c r="FP119" i="3"/>
  <c r="FQ119" i="3"/>
  <c r="FR119" i="3"/>
  <c r="FS119" i="3"/>
  <c r="FT119" i="3"/>
  <c r="FU119" i="3"/>
  <c r="FV119" i="3"/>
  <c r="FW119" i="3"/>
  <c r="FX119" i="3"/>
  <c r="FY119" i="3"/>
  <c r="FZ119" i="3"/>
  <c r="GA119" i="3"/>
  <c r="GB119" i="3"/>
  <c r="GC119" i="3"/>
  <c r="GD119" i="3"/>
  <c r="GE119" i="3"/>
  <c r="GF119" i="3"/>
  <c r="GG119" i="3"/>
  <c r="GH119" i="3"/>
  <c r="GI119" i="3"/>
  <c r="GJ119" i="3"/>
  <c r="GK119" i="3"/>
  <c r="GL119" i="3"/>
  <c r="GM119" i="3"/>
  <c r="GN119" i="3"/>
  <c r="GO119" i="3"/>
  <c r="GP119" i="3"/>
  <c r="GQ119" i="3"/>
  <c r="GR119" i="3"/>
  <c r="GS119" i="3"/>
  <c r="GT119" i="3"/>
  <c r="GU119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DC120" i="3"/>
  <c r="DD120" i="3"/>
  <c r="DE120" i="3"/>
  <c r="DF120" i="3"/>
  <c r="DG120" i="3"/>
  <c r="DH120" i="3"/>
  <c r="DI120" i="3"/>
  <c r="DJ120" i="3"/>
  <c r="DK120" i="3"/>
  <c r="DL120" i="3"/>
  <c r="DM120" i="3"/>
  <c r="DN120" i="3"/>
  <c r="DO120" i="3"/>
  <c r="DP120" i="3"/>
  <c r="DQ120" i="3"/>
  <c r="DR120" i="3"/>
  <c r="DS120" i="3"/>
  <c r="DT120" i="3"/>
  <c r="DU120" i="3"/>
  <c r="DV120" i="3"/>
  <c r="DW120" i="3"/>
  <c r="DX120" i="3"/>
  <c r="DY120" i="3"/>
  <c r="DZ120" i="3"/>
  <c r="EA120" i="3"/>
  <c r="EB120" i="3"/>
  <c r="EC120" i="3"/>
  <c r="ED120" i="3"/>
  <c r="EE120" i="3"/>
  <c r="EF120" i="3"/>
  <c r="EG120" i="3"/>
  <c r="EH120" i="3"/>
  <c r="EI120" i="3"/>
  <c r="EJ120" i="3"/>
  <c r="EK120" i="3"/>
  <c r="EL120" i="3"/>
  <c r="EM120" i="3"/>
  <c r="EN120" i="3"/>
  <c r="EO120" i="3"/>
  <c r="EP120" i="3"/>
  <c r="EQ120" i="3"/>
  <c r="ER120" i="3"/>
  <c r="ES120" i="3"/>
  <c r="ET120" i="3"/>
  <c r="EU120" i="3"/>
  <c r="EV120" i="3"/>
  <c r="EW120" i="3"/>
  <c r="EX120" i="3"/>
  <c r="EY120" i="3"/>
  <c r="EZ120" i="3"/>
  <c r="FA120" i="3"/>
  <c r="FB120" i="3"/>
  <c r="FC120" i="3"/>
  <c r="FD120" i="3"/>
  <c r="FE120" i="3"/>
  <c r="FF120" i="3"/>
  <c r="FG120" i="3"/>
  <c r="FH120" i="3"/>
  <c r="FI120" i="3"/>
  <c r="FJ120" i="3"/>
  <c r="FK120" i="3"/>
  <c r="FL120" i="3"/>
  <c r="FM120" i="3"/>
  <c r="FN120" i="3"/>
  <c r="FO120" i="3"/>
  <c r="FP120" i="3"/>
  <c r="FQ120" i="3"/>
  <c r="FR120" i="3"/>
  <c r="FS120" i="3"/>
  <c r="FT120" i="3"/>
  <c r="FU120" i="3"/>
  <c r="FV120" i="3"/>
  <c r="FW120" i="3"/>
  <c r="FX120" i="3"/>
  <c r="FY120" i="3"/>
  <c r="FZ120" i="3"/>
  <c r="GA120" i="3"/>
  <c r="GB120" i="3"/>
  <c r="GC120" i="3"/>
  <c r="GD120" i="3"/>
  <c r="GE120" i="3"/>
  <c r="GF120" i="3"/>
  <c r="GG120" i="3"/>
  <c r="GH120" i="3"/>
  <c r="GI120" i="3"/>
  <c r="GJ120" i="3"/>
  <c r="GK120" i="3"/>
  <c r="GL120" i="3"/>
  <c r="GM120" i="3"/>
  <c r="GN120" i="3"/>
  <c r="GO120" i="3"/>
  <c r="GP120" i="3"/>
  <c r="GQ120" i="3"/>
  <c r="GR120" i="3"/>
  <c r="GS120" i="3"/>
  <c r="GT120" i="3"/>
  <c r="GU120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DC121" i="3"/>
  <c r="DD121" i="3"/>
  <c r="DE121" i="3"/>
  <c r="DF121" i="3"/>
  <c r="DG121" i="3"/>
  <c r="DH121" i="3"/>
  <c r="DI121" i="3"/>
  <c r="DJ121" i="3"/>
  <c r="DK121" i="3"/>
  <c r="DL121" i="3"/>
  <c r="DM121" i="3"/>
  <c r="DN121" i="3"/>
  <c r="DO121" i="3"/>
  <c r="DP121" i="3"/>
  <c r="DQ121" i="3"/>
  <c r="DR121" i="3"/>
  <c r="DS121" i="3"/>
  <c r="DT121" i="3"/>
  <c r="DU121" i="3"/>
  <c r="DV121" i="3"/>
  <c r="DW121" i="3"/>
  <c r="DX121" i="3"/>
  <c r="DY121" i="3"/>
  <c r="DZ121" i="3"/>
  <c r="EA121" i="3"/>
  <c r="EB121" i="3"/>
  <c r="EC121" i="3"/>
  <c r="ED121" i="3"/>
  <c r="EE121" i="3"/>
  <c r="EF121" i="3"/>
  <c r="EG121" i="3"/>
  <c r="EH121" i="3"/>
  <c r="EI121" i="3"/>
  <c r="EJ121" i="3"/>
  <c r="EK121" i="3"/>
  <c r="EL121" i="3"/>
  <c r="EM121" i="3"/>
  <c r="EN121" i="3"/>
  <c r="EO121" i="3"/>
  <c r="EP121" i="3"/>
  <c r="EQ121" i="3"/>
  <c r="ER121" i="3"/>
  <c r="ES121" i="3"/>
  <c r="ET121" i="3"/>
  <c r="EU121" i="3"/>
  <c r="EV121" i="3"/>
  <c r="EW121" i="3"/>
  <c r="EX121" i="3"/>
  <c r="EY121" i="3"/>
  <c r="EZ121" i="3"/>
  <c r="FA121" i="3"/>
  <c r="FB121" i="3"/>
  <c r="FC121" i="3"/>
  <c r="FD121" i="3"/>
  <c r="FE121" i="3"/>
  <c r="FF121" i="3"/>
  <c r="FG121" i="3"/>
  <c r="FH121" i="3"/>
  <c r="FI121" i="3"/>
  <c r="FJ121" i="3"/>
  <c r="FK121" i="3"/>
  <c r="FL121" i="3"/>
  <c r="FM121" i="3"/>
  <c r="FN121" i="3"/>
  <c r="FO121" i="3"/>
  <c r="FP121" i="3"/>
  <c r="FQ121" i="3"/>
  <c r="FR121" i="3"/>
  <c r="FS121" i="3"/>
  <c r="FT121" i="3"/>
  <c r="FU121" i="3"/>
  <c r="FV121" i="3"/>
  <c r="FW121" i="3"/>
  <c r="FX121" i="3"/>
  <c r="FY121" i="3"/>
  <c r="FZ121" i="3"/>
  <c r="GA121" i="3"/>
  <c r="GB121" i="3"/>
  <c r="GC121" i="3"/>
  <c r="GD121" i="3"/>
  <c r="GE121" i="3"/>
  <c r="GF121" i="3"/>
  <c r="GG121" i="3"/>
  <c r="GH121" i="3"/>
  <c r="GI121" i="3"/>
  <c r="GJ121" i="3"/>
  <c r="GK121" i="3"/>
  <c r="GL121" i="3"/>
  <c r="GM121" i="3"/>
  <c r="GN121" i="3"/>
  <c r="GO121" i="3"/>
  <c r="GP121" i="3"/>
  <c r="GQ121" i="3"/>
  <c r="GR121" i="3"/>
  <c r="GS121" i="3"/>
  <c r="GT121" i="3"/>
  <c r="GU121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DC122" i="3"/>
  <c r="DD122" i="3"/>
  <c r="DE122" i="3"/>
  <c r="DF122" i="3"/>
  <c r="DG122" i="3"/>
  <c r="DH122" i="3"/>
  <c r="DI122" i="3"/>
  <c r="DJ122" i="3"/>
  <c r="DK122" i="3"/>
  <c r="DL122" i="3"/>
  <c r="DM122" i="3"/>
  <c r="DN122" i="3"/>
  <c r="DO122" i="3"/>
  <c r="DP122" i="3"/>
  <c r="DQ122" i="3"/>
  <c r="DR122" i="3"/>
  <c r="DS122" i="3"/>
  <c r="DT122" i="3"/>
  <c r="DU122" i="3"/>
  <c r="DV122" i="3"/>
  <c r="DW122" i="3"/>
  <c r="DX122" i="3"/>
  <c r="DY122" i="3"/>
  <c r="DZ122" i="3"/>
  <c r="EA122" i="3"/>
  <c r="EB122" i="3"/>
  <c r="EC122" i="3"/>
  <c r="ED122" i="3"/>
  <c r="EE122" i="3"/>
  <c r="EF122" i="3"/>
  <c r="EG122" i="3"/>
  <c r="EH122" i="3"/>
  <c r="EI122" i="3"/>
  <c r="EJ122" i="3"/>
  <c r="EK122" i="3"/>
  <c r="EL122" i="3"/>
  <c r="EM122" i="3"/>
  <c r="EN122" i="3"/>
  <c r="EO122" i="3"/>
  <c r="EP122" i="3"/>
  <c r="EQ122" i="3"/>
  <c r="ER122" i="3"/>
  <c r="ES122" i="3"/>
  <c r="ET122" i="3"/>
  <c r="EU122" i="3"/>
  <c r="EV122" i="3"/>
  <c r="EW122" i="3"/>
  <c r="EX122" i="3"/>
  <c r="EY122" i="3"/>
  <c r="EZ122" i="3"/>
  <c r="FA122" i="3"/>
  <c r="FB122" i="3"/>
  <c r="FC122" i="3"/>
  <c r="FD122" i="3"/>
  <c r="FE122" i="3"/>
  <c r="FF122" i="3"/>
  <c r="FG122" i="3"/>
  <c r="FH122" i="3"/>
  <c r="FI122" i="3"/>
  <c r="FJ122" i="3"/>
  <c r="FK122" i="3"/>
  <c r="FL122" i="3"/>
  <c r="FM122" i="3"/>
  <c r="FN122" i="3"/>
  <c r="FO122" i="3"/>
  <c r="FP122" i="3"/>
  <c r="FQ122" i="3"/>
  <c r="FR122" i="3"/>
  <c r="FS122" i="3"/>
  <c r="FT122" i="3"/>
  <c r="FU122" i="3"/>
  <c r="FV122" i="3"/>
  <c r="FW122" i="3"/>
  <c r="FX122" i="3"/>
  <c r="FY122" i="3"/>
  <c r="FZ122" i="3"/>
  <c r="GA122" i="3"/>
  <c r="GB122" i="3"/>
  <c r="GC122" i="3"/>
  <c r="GD122" i="3"/>
  <c r="GE122" i="3"/>
  <c r="GF122" i="3"/>
  <c r="GG122" i="3"/>
  <c r="GH122" i="3"/>
  <c r="GI122" i="3"/>
  <c r="GJ122" i="3"/>
  <c r="GK122" i="3"/>
  <c r="GL122" i="3"/>
  <c r="GM122" i="3"/>
  <c r="GN122" i="3"/>
  <c r="GO122" i="3"/>
  <c r="GP122" i="3"/>
  <c r="GQ122" i="3"/>
  <c r="GR122" i="3"/>
  <c r="GS122" i="3"/>
  <c r="GT122" i="3"/>
  <c r="GU122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DC123" i="3"/>
  <c r="DD123" i="3"/>
  <c r="DE123" i="3"/>
  <c r="DF123" i="3"/>
  <c r="DG123" i="3"/>
  <c r="DH123" i="3"/>
  <c r="DI123" i="3"/>
  <c r="DJ123" i="3"/>
  <c r="DK123" i="3"/>
  <c r="DL123" i="3"/>
  <c r="DM123" i="3"/>
  <c r="DN123" i="3"/>
  <c r="DO123" i="3"/>
  <c r="DP123" i="3"/>
  <c r="DQ123" i="3"/>
  <c r="DR123" i="3"/>
  <c r="DS123" i="3"/>
  <c r="DT123" i="3"/>
  <c r="DU123" i="3"/>
  <c r="DV123" i="3"/>
  <c r="DW123" i="3"/>
  <c r="DX123" i="3"/>
  <c r="DY123" i="3"/>
  <c r="DZ123" i="3"/>
  <c r="EA123" i="3"/>
  <c r="EB123" i="3"/>
  <c r="EC123" i="3"/>
  <c r="ED123" i="3"/>
  <c r="EE123" i="3"/>
  <c r="EF123" i="3"/>
  <c r="EG123" i="3"/>
  <c r="EH123" i="3"/>
  <c r="EI123" i="3"/>
  <c r="EJ123" i="3"/>
  <c r="EK123" i="3"/>
  <c r="EL123" i="3"/>
  <c r="EM123" i="3"/>
  <c r="EN123" i="3"/>
  <c r="EO123" i="3"/>
  <c r="EP123" i="3"/>
  <c r="EQ123" i="3"/>
  <c r="ER123" i="3"/>
  <c r="ES123" i="3"/>
  <c r="ET123" i="3"/>
  <c r="EU123" i="3"/>
  <c r="EV123" i="3"/>
  <c r="EW123" i="3"/>
  <c r="EX123" i="3"/>
  <c r="EY123" i="3"/>
  <c r="EZ123" i="3"/>
  <c r="FA123" i="3"/>
  <c r="FB123" i="3"/>
  <c r="FC123" i="3"/>
  <c r="FD123" i="3"/>
  <c r="FE123" i="3"/>
  <c r="FF123" i="3"/>
  <c r="FG123" i="3"/>
  <c r="FH123" i="3"/>
  <c r="FI123" i="3"/>
  <c r="FJ123" i="3"/>
  <c r="FK123" i="3"/>
  <c r="FL123" i="3"/>
  <c r="FM123" i="3"/>
  <c r="FN123" i="3"/>
  <c r="FO123" i="3"/>
  <c r="FP123" i="3"/>
  <c r="FQ123" i="3"/>
  <c r="FR123" i="3"/>
  <c r="FS123" i="3"/>
  <c r="FT123" i="3"/>
  <c r="FU123" i="3"/>
  <c r="FV123" i="3"/>
  <c r="FW123" i="3"/>
  <c r="FX123" i="3"/>
  <c r="FY123" i="3"/>
  <c r="FZ123" i="3"/>
  <c r="GA123" i="3"/>
  <c r="GB123" i="3"/>
  <c r="GC123" i="3"/>
  <c r="GD123" i="3"/>
  <c r="GE123" i="3"/>
  <c r="GF123" i="3"/>
  <c r="GG123" i="3"/>
  <c r="GH123" i="3"/>
  <c r="GI123" i="3"/>
  <c r="GJ123" i="3"/>
  <c r="GK123" i="3"/>
  <c r="GL123" i="3"/>
  <c r="GM123" i="3"/>
  <c r="GN123" i="3"/>
  <c r="GO123" i="3"/>
  <c r="GP123" i="3"/>
  <c r="GQ123" i="3"/>
  <c r="GR123" i="3"/>
  <c r="GS123" i="3"/>
  <c r="GT123" i="3"/>
  <c r="GU123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DC124" i="3"/>
  <c r="DD124" i="3"/>
  <c r="DE124" i="3"/>
  <c r="DF124" i="3"/>
  <c r="DG124" i="3"/>
  <c r="DH124" i="3"/>
  <c r="DI124" i="3"/>
  <c r="DJ124" i="3"/>
  <c r="DK124" i="3"/>
  <c r="DL124" i="3"/>
  <c r="DM124" i="3"/>
  <c r="DN124" i="3"/>
  <c r="DO124" i="3"/>
  <c r="DP124" i="3"/>
  <c r="DQ124" i="3"/>
  <c r="DR124" i="3"/>
  <c r="DS124" i="3"/>
  <c r="DT124" i="3"/>
  <c r="DU124" i="3"/>
  <c r="DV124" i="3"/>
  <c r="DW124" i="3"/>
  <c r="DX124" i="3"/>
  <c r="DY124" i="3"/>
  <c r="DZ124" i="3"/>
  <c r="EA124" i="3"/>
  <c r="EB124" i="3"/>
  <c r="EC124" i="3"/>
  <c r="ED124" i="3"/>
  <c r="EE124" i="3"/>
  <c r="EF124" i="3"/>
  <c r="EG124" i="3"/>
  <c r="EH124" i="3"/>
  <c r="EI124" i="3"/>
  <c r="EJ124" i="3"/>
  <c r="EK124" i="3"/>
  <c r="EL124" i="3"/>
  <c r="EM124" i="3"/>
  <c r="EN124" i="3"/>
  <c r="EO124" i="3"/>
  <c r="EP124" i="3"/>
  <c r="EQ124" i="3"/>
  <c r="ER124" i="3"/>
  <c r="ES124" i="3"/>
  <c r="ET124" i="3"/>
  <c r="EU124" i="3"/>
  <c r="EV124" i="3"/>
  <c r="EW124" i="3"/>
  <c r="EX124" i="3"/>
  <c r="EY124" i="3"/>
  <c r="EZ124" i="3"/>
  <c r="FA124" i="3"/>
  <c r="FB124" i="3"/>
  <c r="FC124" i="3"/>
  <c r="FD124" i="3"/>
  <c r="FE124" i="3"/>
  <c r="FF124" i="3"/>
  <c r="FG124" i="3"/>
  <c r="FH124" i="3"/>
  <c r="FI124" i="3"/>
  <c r="FJ124" i="3"/>
  <c r="FK124" i="3"/>
  <c r="FL124" i="3"/>
  <c r="FM124" i="3"/>
  <c r="FN124" i="3"/>
  <c r="FO124" i="3"/>
  <c r="FP124" i="3"/>
  <c r="FQ124" i="3"/>
  <c r="FR124" i="3"/>
  <c r="FS124" i="3"/>
  <c r="FT124" i="3"/>
  <c r="FU124" i="3"/>
  <c r="FV124" i="3"/>
  <c r="FW124" i="3"/>
  <c r="FX124" i="3"/>
  <c r="FY124" i="3"/>
  <c r="FZ124" i="3"/>
  <c r="GA124" i="3"/>
  <c r="GB124" i="3"/>
  <c r="GC124" i="3"/>
  <c r="GD124" i="3"/>
  <c r="GE124" i="3"/>
  <c r="GF124" i="3"/>
  <c r="GG124" i="3"/>
  <c r="GH124" i="3"/>
  <c r="GI124" i="3"/>
  <c r="GJ124" i="3"/>
  <c r="GK124" i="3"/>
  <c r="GL124" i="3"/>
  <c r="GM124" i="3"/>
  <c r="GN124" i="3"/>
  <c r="GO124" i="3"/>
  <c r="GP124" i="3"/>
  <c r="GQ124" i="3"/>
  <c r="GR124" i="3"/>
  <c r="GS124" i="3"/>
  <c r="GT124" i="3"/>
  <c r="GU124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DC125" i="3"/>
  <c r="DD125" i="3"/>
  <c r="DE125" i="3"/>
  <c r="DF125" i="3"/>
  <c r="DG125" i="3"/>
  <c r="DH125" i="3"/>
  <c r="DI125" i="3"/>
  <c r="DJ125" i="3"/>
  <c r="DK125" i="3"/>
  <c r="DL125" i="3"/>
  <c r="DM125" i="3"/>
  <c r="DN125" i="3"/>
  <c r="DO125" i="3"/>
  <c r="DP125" i="3"/>
  <c r="DQ125" i="3"/>
  <c r="DR125" i="3"/>
  <c r="DS125" i="3"/>
  <c r="DT125" i="3"/>
  <c r="DU125" i="3"/>
  <c r="DV125" i="3"/>
  <c r="DW125" i="3"/>
  <c r="DX125" i="3"/>
  <c r="DY125" i="3"/>
  <c r="DZ125" i="3"/>
  <c r="EA125" i="3"/>
  <c r="EB125" i="3"/>
  <c r="EC125" i="3"/>
  <c r="ED125" i="3"/>
  <c r="EE125" i="3"/>
  <c r="EF125" i="3"/>
  <c r="EG125" i="3"/>
  <c r="EH125" i="3"/>
  <c r="EI125" i="3"/>
  <c r="EJ125" i="3"/>
  <c r="EK125" i="3"/>
  <c r="EL125" i="3"/>
  <c r="EM125" i="3"/>
  <c r="EN125" i="3"/>
  <c r="EO125" i="3"/>
  <c r="EP125" i="3"/>
  <c r="EQ125" i="3"/>
  <c r="ER125" i="3"/>
  <c r="ES125" i="3"/>
  <c r="ET125" i="3"/>
  <c r="EU125" i="3"/>
  <c r="EV125" i="3"/>
  <c r="EW125" i="3"/>
  <c r="EX125" i="3"/>
  <c r="EY125" i="3"/>
  <c r="EZ125" i="3"/>
  <c r="FA125" i="3"/>
  <c r="FB125" i="3"/>
  <c r="FC125" i="3"/>
  <c r="FD125" i="3"/>
  <c r="FE125" i="3"/>
  <c r="FF125" i="3"/>
  <c r="FG125" i="3"/>
  <c r="FH125" i="3"/>
  <c r="FI125" i="3"/>
  <c r="FJ125" i="3"/>
  <c r="FK125" i="3"/>
  <c r="FL125" i="3"/>
  <c r="FM125" i="3"/>
  <c r="FN125" i="3"/>
  <c r="FO125" i="3"/>
  <c r="FP125" i="3"/>
  <c r="FQ125" i="3"/>
  <c r="FR125" i="3"/>
  <c r="FS125" i="3"/>
  <c r="FT125" i="3"/>
  <c r="FU125" i="3"/>
  <c r="FV125" i="3"/>
  <c r="FW125" i="3"/>
  <c r="FX125" i="3"/>
  <c r="FY125" i="3"/>
  <c r="FZ125" i="3"/>
  <c r="GA125" i="3"/>
  <c r="GB125" i="3"/>
  <c r="GC125" i="3"/>
  <c r="GD125" i="3"/>
  <c r="GE125" i="3"/>
  <c r="GF125" i="3"/>
  <c r="GG125" i="3"/>
  <c r="GH125" i="3"/>
  <c r="GI125" i="3"/>
  <c r="GJ125" i="3"/>
  <c r="GK125" i="3"/>
  <c r="GL125" i="3"/>
  <c r="GM125" i="3"/>
  <c r="GN125" i="3"/>
  <c r="GO125" i="3"/>
  <c r="GP125" i="3"/>
  <c r="GQ125" i="3"/>
  <c r="GR125" i="3"/>
  <c r="GS125" i="3"/>
  <c r="GT125" i="3"/>
  <c r="GU125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DC126" i="3"/>
  <c r="DD126" i="3"/>
  <c r="DE126" i="3"/>
  <c r="DF126" i="3"/>
  <c r="DG126" i="3"/>
  <c r="DH126" i="3"/>
  <c r="DI126" i="3"/>
  <c r="DJ126" i="3"/>
  <c r="DK126" i="3"/>
  <c r="DL126" i="3"/>
  <c r="DM126" i="3"/>
  <c r="DN126" i="3"/>
  <c r="DO126" i="3"/>
  <c r="DP126" i="3"/>
  <c r="DQ126" i="3"/>
  <c r="DR126" i="3"/>
  <c r="DS126" i="3"/>
  <c r="DT126" i="3"/>
  <c r="DU126" i="3"/>
  <c r="DV126" i="3"/>
  <c r="DW126" i="3"/>
  <c r="DX126" i="3"/>
  <c r="DY126" i="3"/>
  <c r="DZ126" i="3"/>
  <c r="EA126" i="3"/>
  <c r="EB126" i="3"/>
  <c r="EC126" i="3"/>
  <c r="ED126" i="3"/>
  <c r="EE126" i="3"/>
  <c r="EF126" i="3"/>
  <c r="EG126" i="3"/>
  <c r="EH126" i="3"/>
  <c r="EI126" i="3"/>
  <c r="EJ126" i="3"/>
  <c r="EK126" i="3"/>
  <c r="EL126" i="3"/>
  <c r="EM126" i="3"/>
  <c r="EN126" i="3"/>
  <c r="EO126" i="3"/>
  <c r="EP126" i="3"/>
  <c r="EQ126" i="3"/>
  <c r="ER126" i="3"/>
  <c r="ES126" i="3"/>
  <c r="ET126" i="3"/>
  <c r="EU126" i="3"/>
  <c r="EV126" i="3"/>
  <c r="EW126" i="3"/>
  <c r="EX126" i="3"/>
  <c r="EY126" i="3"/>
  <c r="EZ126" i="3"/>
  <c r="FA126" i="3"/>
  <c r="FB126" i="3"/>
  <c r="FC126" i="3"/>
  <c r="FD126" i="3"/>
  <c r="FE126" i="3"/>
  <c r="FF126" i="3"/>
  <c r="FG126" i="3"/>
  <c r="FH126" i="3"/>
  <c r="FI126" i="3"/>
  <c r="FJ126" i="3"/>
  <c r="FK126" i="3"/>
  <c r="FL126" i="3"/>
  <c r="FM126" i="3"/>
  <c r="FN126" i="3"/>
  <c r="FO126" i="3"/>
  <c r="FP126" i="3"/>
  <c r="FQ126" i="3"/>
  <c r="FR126" i="3"/>
  <c r="FS126" i="3"/>
  <c r="FT126" i="3"/>
  <c r="FU126" i="3"/>
  <c r="FV126" i="3"/>
  <c r="FW126" i="3"/>
  <c r="FX126" i="3"/>
  <c r="FY126" i="3"/>
  <c r="FZ126" i="3"/>
  <c r="GA126" i="3"/>
  <c r="GB126" i="3"/>
  <c r="GC126" i="3"/>
  <c r="GD126" i="3"/>
  <c r="GE126" i="3"/>
  <c r="GF126" i="3"/>
  <c r="GG126" i="3"/>
  <c r="GH126" i="3"/>
  <c r="GI126" i="3"/>
  <c r="GJ126" i="3"/>
  <c r="GK126" i="3"/>
  <c r="GL126" i="3"/>
  <c r="GM126" i="3"/>
  <c r="GN126" i="3"/>
  <c r="GO126" i="3"/>
  <c r="GP126" i="3"/>
  <c r="GQ126" i="3"/>
  <c r="GR126" i="3"/>
  <c r="GS126" i="3"/>
  <c r="GT126" i="3"/>
  <c r="GU126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DC127" i="3"/>
  <c r="DD127" i="3"/>
  <c r="DE127" i="3"/>
  <c r="DF127" i="3"/>
  <c r="DG127" i="3"/>
  <c r="DH127" i="3"/>
  <c r="DI127" i="3"/>
  <c r="DJ127" i="3"/>
  <c r="DK127" i="3"/>
  <c r="DL127" i="3"/>
  <c r="DM127" i="3"/>
  <c r="DN127" i="3"/>
  <c r="DO127" i="3"/>
  <c r="DP127" i="3"/>
  <c r="DQ127" i="3"/>
  <c r="DR127" i="3"/>
  <c r="DS127" i="3"/>
  <c r="DT127" i="3"/>
  <c r="DU127" i="3"/>
  <c r="DV127" i="3"/>
  <c r="DW127" i="3"/>
  <c r="DX127" i="3"/>
  <c r="DY127" i="3"/>
  <c r="DZ127" i="3"/>
  <c r="EA127" i="3"/>
  <c r="EB127" i="3"/>
  <c r="EC127" i="3"/>
  <c r="ED127" i="3"/>
  <c r="EE127" i="3"/>
  <c r="EF127" i="3"/>
  <c r="EG127" i="3"/>
  <c r="EH127" i="3"/>
  <c r="EI127" i="3"/>
  <c r="EJ127" i="3"/>
  <c r="EK127" i="3"/>
  <c r="EL127" i="3"/>
  <c r="EM127" i="3"/>
  <c r="EN127" i="3"/>
  <c r="EO127" i="3"/>
  <c r="EP127" i="3"/>
  <c r="EQ127" i="3"/>
  <c r="ER127" i="3"/>
  <c r="ES127" i="3"/>
  <c r="ET127" i="3"/>
  <c r="EU127" i="3"/>
  <c r="EV127" i="3"/>
  <c r="EW127" i="3"/>
  <c r="EX127" i="3"/>
  <c r="EY127" i="3"/>
  <c r="EZ127" i="3"/>
  <c r="FA127" i="3"/>
  <c r="FB127" i="3"/>
  <c r="FC127" i="3"/>
  <c r="FD127" i="3"/>
  <c r="FE127" i="3"/>
  <c r="FF127" i="3"/>
  <c r="FG127" i="3"/>
  <c r="FH127" i="3"/>
  <c r="FI127" i="3"/>
  <c r="FJ127" i="3"/>
  <c r="FK127" i="3"/>
  <c r="FL127" i="3"/>
  <c r="FM127" i="3"/>
  <c r="FN127" i="3"/>
  <c r="FO127" i="3"/>
  <c r="FP127" i="3"/>
  <c r="FQ127" i="3"/>
  <c r="FR127" i="3"/>
  <c r="FS127" i="3"/>
  <c r="FT127" i="3"/>
  <c r="FU127" i="3"/>
  <c r="FV127" i="3"/>
  <c r="FW127" i="3"/>
  <c r="FX127" i="3"/>
  <c r="FY127" i="3"/>
  <c r="FZ127" i="3"/>
  <c r="GA127" i="3"/>
  <c r="GB127" i="3"/>
  <c r="GC127" i="3"/>
  <c r="GD127" i="3"/>
  <c r="GE127" i="3"/>
  <c r="GF127" i="3"/>
  <c r="GG127" i="3"/>
  <c r="GH127" i="3"/>
  <c r="GI127" i="3"/>
  <c r="GJ127" i="3"/>
  <c r="GK127" i="3"/>
  <c r="GL127" i="3"/>
  <c r="GM127" i="3"/>
  <c r="GN127" i="3"/>
  <c r="GO127" i="3"/>
  <c r="GP127" i="3"/>
  <c r="GQ127" i="3"/>
  <c r="GR127" i="3"/>
  <c r="GS127" i="3"/>
  <c r="GT127" i="3"/>
  <c r="GU127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DC128" i="3"/>
  <c r="DD128" i="3"/>
  <c r="DE128" i="3"/>
  <c r="DF128" i="3"/>
  <c r="DG128" i="3"/>
  <c r="DH128" i="3"/>
  <c r="DI128" i="3"/>
  <c r="DJ128" i="3"/>
  <c r="DK128" i="3"/>
  <c r="DL128" i="3"/>
  <c r="DM128" i="3"/>
  <c r="DN128" i="3"/>
  <c r="DO128" i="3"/>
  <c r="DP128" i="3"/>
  <c r="DQ128" i="3"/>
  <c r="DR128" i="3"/>
  <c r="DS128" i="3"/>
  <c r="DT128" i="3"/>
  <c r="DU128" i="3"/>
  <c r="DV128" i="3"/>
  <c r="DW128" i="3"/>
  <c r="DX128" i="3"/>
  <c r="DY128" i="3"/>
  <c r="DZ128" i="3"/>
  <c r="EA128" i="3"/>
  <c r="EB128" i="3"/>
  <c r="EC128" i="3"/>
  <c r="ED128" i="3"/>
  <c r="EE128" i="3"/>
  <c r="EF128" i="3"/>
  <c r="EG128" i="3"/>
  <c r="EH128" i="3"/>
  <c r="EI128" i="3"/>
  <c r="EJ128" i="3"/>
  <c r="EK128" i="3"/>
  <c r="EL128" i="3"/>
  <c r="EM128" i="3"/>
  <c r="EN128" i="3"/>
  <c r="EO128" i="3"/>
  <c r="EP128" i="3"/>
  <c r="EQ128" i="3"/>
  <c r="ER128" i="3"/>
  <c r="ES128" i="3"/>
  <c r="ET128" i="3"/>
  <c r="EU128" i="3"/>
  <c r="EV128" i="3"/>
  <c r="EW128" i="3"/>
  <c r="EX128" i="3"/>
  <c r="EY128" i="3"/>
  <c r="EZ128" i="3"/>
  <c r="FA128" i="3"/>
  <c r="FB128" i="3"/>
  <c r="FC128" i="3"/>
  <c r="FD128" i="3"/>
  <c r="FE128" i="3"/>
  <c r="FF128" i="3"/>
  <c r="FG128" i="3"/>
  <c r="FH128" i="3"/>
  <c r="FI128" i="3"/>
  <c r="FJ128" i="3"/>
  <c r="FK128" i="3"/>
  <c r="FL128" i="3"/>
  <c r="FM128" i="3"/>
  <c r="FN128" i="3"/>
  <c r="FO128" i="3"/>
  <c r="FP128" i="3"/>
  <c r="FQ128" i="3"/>
  <c r="FR128" i="3"/>
  <c r="FS128" i="3"/>
  <c r="FT128" i="3"/>
  <c r="FU128" i="3"/>
  <c r="FV128" i="3"/>
  <c r="FW128" i="3"/>
  <c r="FX128" i="3"/>
  <c r="FY128" i="3"/>
  <c r="FZ128" i="3"/>
  <c r="GA128" i="3"/>
  <c r="GB128" i="3"/>
  <c r="GC128" i="3"/>
  <c r="GD128" i="3"/>
  <c r="GE128" i="3"/>
  <c r="GF128" i="3"/>
  <c r="GG128" i="3"/>
  <c r="GH128" i="3"/>
  <c r="GI128" i="3"/>
  <c r="GJ128" i="3"/>
  <c r="GK128" i="3"/>
  <c r="GL128" i="3"/>
  <c r="GM128" i="3"/>
  <c r="GN128" i="3"/>
  <c r="GO128" i="3"/>
  <c r="GP128" i="3"/>
  <c r="GQ128" i="3"/>
  <c r="GR128" i="3"/>
  <c r="GS128" i="3"/>
  <c r="GT128" i="3"/>
  <c r="GU128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DC129" i="3"/>
  <c r="DD129" i="3"/>
  <c r="DE129" i="3"/>
  <c r="DF129" i="3"/>
  <c r="DG129" i="3"/>
  <c r="DH129" i="3"/>
  <c r="DI129" i="3"/>
  <c r="DJ129" i="3"/>
  <c r="DK129" i="3"/>
  <c r="DL129" i="3"/>
  <c r="DM129" i="3"/>
  <c r="DN129" i="3"/>
  <c r="DO129" i="3"/>
  <c r="DP129" i="3"/>
  <c r="DQ129" i="3"/>
  <c r="DR129" i="3"/>
  <c r="DS129" i="3"/>
  <c r="DT129" i="3"/>
  <c r="DU129" i="3"/>
  <c r="DV129" i="3"/>
  <c r="DW129" i="3"/>
  <c r="DX129" i="3"/>
  <c r="DY129" i="3"/>
  <c r="DZ129" i="3"/>
  <c r="EA129" i="3"/>
  <c r="EB129" i="3"/>
  <c r="EC129" i="3"/>
  <c r="ED129" i="3"/>
  <c r="EE129" i="3"/>
  <c r="EF129" i="3"/>
  <c r="EG129" i="3"/>
  <c r="EH129" i="3"/>
  <c r="EI129" i="3"/>
  <c r="EJ129" i="3"/>
  <c r="EK129" i="3"/>
  <c r="EL129" i="3"/>
  <c r="EM129" i="3"/>
  <c r="EN129" i="3"/>
  <c r="EO129" i="3"/>
  <c r="EP129" i="3"/>
  <c r="EQ129" i="3"/>
  <c r="ER129" i="3"/>
  <c r="ES129" i="3"/>
  <c r="ET129" i="3"/>
  <c r="EU129" i="3"/>
  <c r="EV129" i="3"/>
  <c r="EW129" i="3"/>
  <c r="EX129" i="3"/>
  <c r="EY129" i="3"/>
  <c r="EZ129" i="3"/>
  <c r="FA129" i="3"/>
  <c r="FB129" i="3"/>
  <c r="FC129" i="3"/>
  <c r="FD129" i="3"/>
  <c r="FE129" i="3"/>
  <c r="FF129" i="3"/>
  <c r="FG129" i="3"/>
  <c r="FH129" i="3"/>
  <c r="FI129" i="3"/>
  <c r="FJ129" i="3"/>
  <c r="FK129" i="3"/>
  <c r="FL129" i="3"/>
  <c r="FM129" i="3"/>
  <c r="FN129" i="3"/>
  <c r="FO129" i="3"/>
  <c r="FP129" i="3"/>
  <c r="FQ129" i="3"/>
  <c r="FR129" i="3"/>
  <c r="FS129" i="3"/>
  <c r="FT129" i="3"/>
  <c r="FU129" i="3"/>
  <c r="FV129" i="3"/>
  <c r="FW129" i="3"/>
  <c r="FX129" i="3"/>
  <c r="FY129" i="3"/>
  <c r="FZ129" i="3"/>
  <c r="GA129" i="3"/>
  <c r="GB129" i="3"/>
  <c r="GC129" i="3"/>
  <c r="GD129" i="3"/>
  <c r="GE129" i="3"/>
  <c r="GF129" i="3"/>
  <c r="GG129" i="3"/>
  <c r="GH129" i="3"/>
  <c r="GI129" i="3"/>
  <c r="GJ129" i="3"/>
  <c r="GK129" i="3"/>
  <c r="GL129" i="3"/>
  <c r="GM129" i="3"/>
  <c r="GN129" i="3"/>
  <c r="GO129" i="3"/>
  <c r="GP129" i="3"/>
  <c r="GQ129" i="3"/>
  <c r="GR129" i="3"/>
  <c r="GS129" i="3"/>
  <c r="GT129" i="3"/>
  <c r="GU129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DC130" i="3"/>
  <c r="DD130" i="3"/>
  <c r="DE130" i="3"/>
  <c r="DF130" i="3"/>
  <c r="DG130" i="3"/>
  <c r="DH130" i="3"/>
  <c r="DI130" i="3"/>
  <c r="DJ130" i="3"/>
  <c r="DK130" i="3"/>
  <c r="DL130" i="3"/>
  <c r="DM130" i="3"/>
  <c r="DN130" i="3"/>
  <c r="DO130" i="3"/>
  <c r="DP130" i="3"/>
  <c r="DQ130" i="3"/>
  <c r="DR130" i="3"/>
  <c r="DS130" i="3"/>
  <c r="DT130" i="3"/>
  <c r="DU130" i="3"/>
  <c r="DV130" i="3"/>
  <c r="DW130" i="3"/>
  <c r="DX130" i="3"/>
  <c r="DY130" i="3"/>
  <c r="DZ130" i="3"/>
  <c r="EA130" i="3"/>
  <c r="EB130" i="3"/>
  <c r="EC130" i="3"/>
  <c r="ED130" i="3"/>
  <c r="EE130" i="3"/>
  <c r="EF130" i="3"/>
  <c r="EG130" i="3"/>
  <c r="EH130" i="3"/>
  <c r="EI130" i="3"/>
  <c r="EJ130" i="3"/>
  <c r="EK130" i="3"/>
  <c r="EL130" i="3"/>
  <c r="EM130" i="3"/>
  <c r="EN130" i="3"/>
  <c r="EO130" i="3"/>
  <c r="EP130" i="3"/>
  <c r="EQ130" i="3"/>
  <c r="ER130" i="3"/>
  <c r="ES130" i="3"/>
  <c r="ET130" i="3"/>
  <c r="EU130" i="3"/>
  <c r="EV130" i="3"/>
  <c r="EW130" i="3"/>
  <c r="EX130" i="3"/>
  <c r="EY130" i="3"/>
  <c r="EZ130" i="3"/>
  <c r="FA130" i="3"/>
  <c r="FB130" i="3"/>
  <c r="FC130" i="3"/>
  <c r="FD130" i="3"/>
  <c r="FE130" i="3"/>
  <c r="FF130" i="3"/>
  <c r="FG130" i="3"/>
  <c r="FH130" i="3"/>
  <c r="FI130" i="3"/>
  <c r="FJ130" i="3"/>
  <c r="FK130" i="3"/>
  <c r="FL130" i="3"/>
  <c r="FM130" i="3"/>
  <c r="FN130" i="3"/>
  <c r="FO130" i="3"/>
  <c r="FP130" i="3"/>
  <c r="FQ130" i="3"/>
  <c r="FR130" i="3"/>
  <c r="FS130" i="3"/>
  <c r="FT130" i="3"/>
  <c r="FU130" i="3"/>
  <c r="FV130" i="3"/>
  <c r="FW130" i="3"/>
  <c r="FX130" i="3"/>
  <c r="FY130" i="3"/>
  <c r="FZ130" i="3"/>
  <c r="GA130" i="3"/>
  <c r="GB130" i="3"/>
  <c r="GC130" i="3"/>
  <c r="GD130" i="3"/>
  <c r="GE130" i="3"/>
  <c r="GF130" i="3"/>
  <c r="GG130" i="3"/>
  <c r="GH130" i="3"/>
  <c r="GI130" i="3"/>
  <c r="GJ130" i="3"/>
  <c r="GK130" i="3"/>
  <c r="GL130" i="3"/>
  <c r="GM130" i="3"/>
  <c r="GN130" i="3"/>
  <c r="GO130" i="3"/>
  <c r="GP130" i="3"/>
  <c r="GQ130" i="3"/>
  <c r="GR130" i="3"/>
  <c r="GS130" i="3"/>
  <c r="GT130" i="3"/>
  <c r="GU130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DC131" i="3"/>
  <c r="DD131" i="3"/>
  <c r="DE131" i="3"/>
  <c r="DF131" i="3"/>
  <c r="DG131" i="3"/>
  <c r="DH131" i="3"/>
  <c r="DI131" i="3"/>
  <c r="DJ131" i="3"/>
  <c r="DK131" i="3"/>
  <c r="DL131" i="3"/>
  <c r="DM131" i="3"/>
  <c r="DN131" i="3"/>
  <c r="DO131" i="3"/>
  <c r="DP131" i="3"/>
  <c r="DQ131" i="3"/>
  <c r="DR131" i="3"/>
  <c r="DS131" i="3"/>
  <c r="DT131" i="3"/>
  <c r="DU131" i="3"/>
  <c r="DV131" i="3"/>
  <c r="DW131" i="3"/>
  <c r="DX131" i="3"/>
  <c r="DY131" i="3"/>
  <c r="DZ131" i="3"/>
  <c r="EA131" i="3"/>
  <c r="EB131" i="3"/>
  <c r="EC131" i="3"/>
  <c r="ED131" i="3"/>
  <c r="EE131" i="3"/>
  <c r="EF131" i="3"/>
  <c r="EG131" i="3"/>
  <c r="EH131" i="3"/>
  <c r="EI131" i="3"/>
  <c r="EJ131" i="3"/>
  <c r="EK131" i="3"/>
  <c r="EL131" i="3"/>
  <c r="EM131" i="3"/>
  <c r="EN131" i="3"/>
  <c r="EO131" i="3"/>
  <c r="EP131" i="3"/>
  <c r="EQ131" i="3"/>
  <c r="ER131" i="3"/>
  <c r="ES131" i="3"/>
  <c r="ET131" i="3"/>
  <c r="EU131" i="3"/>
  <c r="EV131" i="3"/>
  <c r="EW131" i="3"/>
  <c r="EX131" i="3"/>
  <c r="EY131" i="3"/>
  <c r="EZ131" i="3"/>
  <c r="FA131" i="3"/>
  <c r="FB131" i="3"/>
  <c r="FC131" i="3"/>
  <c r="FD131" i="3"/>
  <c r="FE131" i="3"/>
  <c r="FF131" i="3"/>
  <c r="FG131" i="3"/>
  <c r="FH131" i="3"/>
  <c r="FI131" i="3"/>
  <c r="FJ131" i="3"/>
  <c r="FK131" i="3"/>
  <c r="FL131" i="3"/>
  <c r="FM131" i="3"/>
  <c r="FN131" i="3"/>
  <c r="FO131" i="3"/>
  <c r="FP131" i="3"/>
  <c r="FQ131" i="3"/>
  <c r="FR131" i="3"/>
  <c r="FS131" i="3"/>
  <c r="FT131" i="3"/>
  <c r="FU131" i="3"/>
  <c r="FV131" i="3"/>
  <c r="FW131" i="3"/>
  <c r="FX131" i="3"/>
  <c r="FY131" i="3"/>
  <c r="FZ131" i="3"/>
  <c r="GA131" i="3"/>
  <c r="GB131" i="3"/>
  <c r="GC131" i="3"/>
  <c r="GD131" i="3"/>
  <c r="GE131" i="3"/>
  <c r="GF131" i="3"/>
  <c r="GG131" i="3"/>
  <c r="GH131" i="3"/>
  <c r="GI131" i="3"/>
  <c r="GJ131" i="3"/>
  <c r="GK131" i="3"/>
  <c r="GL131" i="3"/>
  <c r="GM131" i="3"/>
  <c r="GN131" i="3"/>
  <c r="GO131" i="3"/>
  <c r="GP131" i="3"/>
  <c r="GQ131" i="3"/>
  <c r="GR131" i="3"/>
  <c r="GS131" i="3"/>
  <c r="GT131" i="3"/>
  <c r="GU131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DC132" i="3"/>
  <c r="DD132" i="3"/>
  <c r="DE132" i="3"/>
  <c r="DF132" i="3"/>
  <c r="DG132" i="3"/>
  <c r="DH132" i="3"/>
  <c r="DI132" i="3"/>
  <c r="DJ132" i="3"/>
  <c r="DK132" i="3"/>
  <c r="DL132" i="3"/>
  <c r="DM132" i="3"/>
  <c r="DN132" i="3"/>
  <c r="DO132" i="3"/>
  <c r="DP132" i="3"/>
  <c r="DQ132" i="3"/>
  <c r="DR132" i="3"/>
  <c r="DS132" i="3"/>
  <c r="DT132" i="3"/>
  <c r="DU132" i="3"/>
  <c r="DV132" i="3"/>
  <c r="DW132" i="3"/>
  <c r="DX132" i="3"/>
  <c r="DY132" i="3"/>
  <c r="DZ132" i="3"/>
  <c r="EA132" i="3"/>
  <c r="EB132" i="3"/>
  <c r="EC132" i="3"/>
  <c r="ED132" i="3"/>
  <c r="EE132" i="3"/>
  <c r="EF132" i="3"/>
  <c r="EG132" i="3"/>
  <c r="EH132" i="3"/>
  <c r="EI132" i="3"/>
  <c r="EJ132" i="3"/>
  <c r="EK132" i="3"/>
  <c r="EL132" i="3"/>
  <c r="EM132" i="3"/>
  <c r="EN132" i="3"/>
  <c r="EO132" i="3"/>
  <c r="EP132" i="3"/>
  <c r="EQ132" i="3"/>
  <c r="ER132" i="3"/>
  <c r="ES132" i="3"/>
  <c r="ET132" i="3"/>
  <c r="EU132" i="3"/>
  <c r="EV132" i="3"/>
  <c r="EW132" i="3"/>
  <c r="EX132" i="3"/>
  <c r="EY132" i="3"/>
  <c r="EZ132" i="3"/>
  <c r="FA132" i="3"/>
  <c r="FB132" i="3"/>
  <c r="FC132" i="3"/>
  <c r="FD132" i="3"/>
  <c r="FE132" i="3"/>
  <c r="FF132" i="3"/>
  <c r="FG132" i="3"/>
  <c r="FH132" i="3"/>
  <c r="FI132" i="3"/>
  <c r="FJ132" i="3"/>
  <c r="FK132" i="3"/>
  <c r="FL132" i="3"/>
  <c r="FM132" i="3"/>
  <c r="FN132" i="3"/>
  <c r="FO132" i="3"/>
  <c r="FP132" i="3"/>
  <c r="FQ132" i="3"/>
  <c r="FR132" i="3"/>
  <c r="FS132" i="3"/>
  <c r="FT132" i="3"/>
  <c r="FU132" i="3"/>
  <c r="FV132" i="3"/>
  <c r="FW132" i="3"/>
  <c r="FX132" i="3"/>
  <c r="FY132" i="3"/>
  <c r="FZ132" i="3"/>
  <c r="GA132" i="3"/>
  <c r="GB132" i="3"/>
  <c r="GC132" i="3"/>
  <c r="GD132" i="3"/>
  <c r="GE132" i="3"/>
  <c r="GF132" i="3"/>
  <c r="GG132" i="3"/>
  <c r="GH132" i="3"/>
  <c r="GI132" i="3"/>
  <c r="GJ132" i="3"/>
  <c r="GK132" i="3"/>
  <c r="GL132" i="3"/>
  <c r="GM132" i="3"/>
  <c r="GN132" i="3"/>
  <c r="GO132" i="3"/>
  <c r="GP132" i="3"/>
  <c r="GQ132" i="3"/>
  <c r="GR132" i="3"/>
  <c r="GS132" i="3"/>
  <c r="GT132" i="3"/>
  <c r="GU132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DC133" i="3"/>
  <c r="DD133" i="3"/>
  <c r="DE133" i="3"/>
  <c r="DF133" i="3"/>
  <c r="DG133" i="3"/>
  <c r="DH133" i="3"/>
  <c r="DI133" i="3"/>
  <c r="DJ133" i="3"/>
  <c r="DK133" i="3"/>
  <c r="DL133" i="3"/>
  <c r="DM133" i="3"/>
  <c r="DN133" i="3"/>
  <c r="DO133" i="3"/>
  <c r="DP133" i="3"/>
  <c r="DQ133" i="3"/>
  <c r="DR133" i="3"/>
  <c r="DS133" i="3"/>
  <c r="DT133" i="3"/>
  <c r="DU133" i="3"/>
  <c r="DV133" i="3"/>
  <c r="DW133" i="3"/>
  <c r="DX133" i="3"/>
  <c r="DY133" i="3"/>
  <c r="DZ133" i="3"/>
  <c r="EA133" i="3"/>
  <c r="EB133" i="3"/>
  <c r="EC133" i="3"/>
  <c r="ED133" i="3"/>
  <c r="EE133" i="3"/>
  <c r="EF133" i="3"/>
  <c r="EG133" i="3"/>
  <c r="EH133" i="3"/>
  <c r="EI133" i="3"/>
  <c r="EJ133" i="3"/>
  <c r="EK133" i="3"/>
  <c r="EL133" i="3"/>
  <c r="EM133" i="3"/>
  <c r="EN133" i="3"/>
  <c r="EO133" i="3"/>
  <c r="EP133" i="3"/>
  <c r="EQ133" i="3"/>
  <c r="ER133" i="3"/>
  <c r="ES133" i="3"/>
  <c r="ET133" i="3"/>
  <c r="EU133" i="3"/>
  <c r="EV133" i="3"/>
  <c r="EW133" i="3"/>
  <c r="EX133" i="3"/>
  <c r="EY133" i="3"/>
  <c r="EZ133" i="3"/>
  <c r="FA133" i="3"/>
  <c r="FB133" i="3"/>
  <c r="FC133" i="3"/>
  <c r="FD133" i="3"/>
  <c r="FE133" i="3"/>
  <c r="FF133" i="3"/>
  <c r="FG133" i="3"/>
  <c r="FH133" i="3"/>
  <c r="FI133" i="3"/>
  <c r="FJ133" i="3"/>
  <c r="FK133" i="3"/>
  <c r="FL133" i="3"/>
  <c r="FM133" i="3"/>
  <c r="FN133" i="3"/>
  <c r="FO133" i="3"/>
  <c r="FP133" i="3"/>
  <c r="FQ133" i="3"/>
  <c r="FR133" i="3"/>
  <c r="FS133" i="3"/>
  <c r="FT133" i="3"/>
  <c r="FU133" i="3"/>
  <c r="FV133" i="3"/>
  <c r="FW133" i="3"/>
  <c r="FX133" i="3"/>
  <c r="FY133" i="3"/>
  <c r="FZ133" i="3"/>
  <c r="GA133" i="3"/>
  <c r="GB133" i="3"/>
  <c r="GC133" i="3"/>
  <c r="GD133" i="3"/>
  <c r="GE133" i="3"/>
  <c r="GF133" i="3"/>
  <c r="GG133" i="3"/>
  <c r="GH133" i="3"/>
  <c r="GI133" i="3"/>
  <c r="GJ133" i="3"/>
  <c r="GK133" i="3"/>
  <c r="GL133" i="3"/>
  <c r="GM133" i="3"/>
  <c r="GN133" i="3"/>
  <c r="GO133" i="3"/>
  <c r="GP133" i="3"/>
  <c r="GQ133" i="3"/>
  <c r="GR133" i="3"/>
  <c r="GS133" i="3"/>
  <c r="GT133" i="3"/>
  <c r="GU133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DC134" i="3"/>
  <c r="DD134" i="3"/>
  <c r="DE134" i="3"/>
  <c r="DF134" i="3"/>
  <c r="DG134" i="3"/>
  <c r="DH134" i="3"/>
  <c r="DI134" i="3"/>
  <c r="DJ134" i="3"/>
  <c r="DK134" i="3"/>
  <c r="DL134" i="3"/>
  <c r="DM134" i="3"/>
  <c r="DN134" i="3"/>
  <c r="DO134" i="3"/>
  <c r="DP134" i="3"/>
  <c r="DQ134" i="3"/>
  <c r="DR134" i="3"/>
  <c r="DS134" i="3"/>
  <c r="DT134" i="3"/>
  <c r="DU134" i="3"/>
  <c r="DV134" i="3"/>
  <c r="DW134" i="3"/>
  <c r="DX134" i="3"/>
  <c r="DY134" i="3"/>
  <c r="DZ134" i="3"/>
  <c r="EA134" i="3"/>
  <c r="EB134" i="3"/>
  <c r="EC134" i="3"/>
  <c r="ED134" i="3"/>
  <c r="EE134" i="3"/>
  <c r="EF134" i="3"/>
  <c r="EG134" i="3"/>
  <c r="EH134" i="3"/>
  <c r="EI134" i="3"/>
  <c r="EJ134" i="3"/>
  <c r="EK134" i="3"/>
  <c r="EL134" i="3"/>
  <c r="EM134" i="3"/>
  <c r="EN134" i="3"/>
  <c r="EO134" i="3"/>
  <c r="EP134" i="3"/>
  <c r="EQ134" i="3"/>
  <c r="ER134" i="3"/>
  <c r="ES134" i="3"/>
  <c r="ET134" i="3"/>
  <c r="EU134" i="3"/>
  <c r="EV134" i="3"/>
  <c r="EW134" i="3"/>
  <c r="EX134" i="3"/>
  <c r="EY134" i="3"/>
  <c r="EZ134" i="3"/>
  <c r="FA134" i="3"/>
  <c r="FB134" i="3"/>
  <c r="FC134" i="3"/>
  <c r="FD134" i="3"/>
  <c r="FE134" i="3"/>
  <c r="FF134" i="3"/>
  <c r="FG134" i="3"/>
  <c r="FH134" i="3"/>
  <c r="FI134" i="3"/>
  <c r="FJ134" i="3"/>
  <c r="FK134" i="3"/>
  <c r="FL134" i="3"/>
  <c r="FM134" i="3"/>
  <c r="FN134" i="3"/>
  <c r="FO134" i="3"/>
  <c r="FP134" i="3"/>
  <c r="FQ134" i="3"/>
  <c r="FR134" i="3"/>
  <c r="FS134" i="3"/>
  <c r="FT134" i="3"/>
  <c r="FU134" i="3"/>
  <c r="FV134" i="3"/>
  <c r="FW134" i="3"/>
  <c r="FX134" i="3"/>
  <c r="FY134" i="3"/>
  <c r="FZ134" i="3"/>
  <c r="GA134" i="3"/>
  <c r="GB134" i="3"/>
  <c r="GC134" i="3"/>
  <c r="GD134" i="3"/>
  <c r="GE134" i="3"/>
  <c r="GF134" i="3"/>
  <c r="GG134" i="3"/>
  <c r="GH134" i="3"/>
  <c r="GI134" i="3"/>
  <c r="GJ134" i="3"/>
  <c r="GK134" i="3"/>
  <c r="GL134" i="3"/>
  <c r="GM134" i="3"/>
  <c r="GN134" i="3"/>
  <c r="GO134" i="3"/>
  <c r="GP134" i="3"/>
  <c r="GQ134" i="3"/>
  <c r="GR134" i="3"/>
  <c r="GS134" i="3"/>
  <c r="GT134" i="3"/>
  <c r="GU134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DC135" i="3"/>
  <c r="DD135" i="3"/>
  <c r="DE135" i="3"/>
  <c r="DF135" i="3"/>
  <c r="DG135" i="3"/>
  <c r="DH135" i="3"/>
  <c r="DI135" i="3"/>
  <c r="DJ135" i="3"/>
  <c r="DK135" i="3"/>
  <c r="DL135" i="3"/>
  <c r="DM135" i="3"/>
  <c r="DN135" i="3"/>
  <c r="DO135" i="3"/>
  <c r="DP135" i="3"/>
  <c r="DQ135" i="3"/>
  <c r="DR135" i="3"/>
  <c r="DS135" i="3"/>
  <c r="DT135" i="3"/>
  <c r="DU135" i="3"/>
  <c r="DV135" i="3"/>
  <c r="DW135" i="3"/>
  <c r="DX135" i="3"/>
  <c r="DY135" i="3"/>
  <c r="DZ135" i="3"/>
  <c r="EA135" i="3"/>
  <c r="EB135" i="3"/>
  <c r="EC135" i="3"/>
  <c r="ED135" i="3"/>
  <c r="EE135" i="3"/>
  <c r="EF135" i="3"/>
  <c r="EG135" i="3"/>
  <c r="EH135" i="3"/>
  <c r="EI135" i="3"/>
  <c r="EJ135" i="3"/>
  <c r="EK135" i="3"/>
  <c r="EL135" i="3"/>
  <c r="EM135" i="3"/>
  <c r="EN135" i="3"/>
  <c r="EO135" i="3"/>
  <c r="EP135" i="3"/>
  <c r="EQ135" i="3"/>
  <c r="ER135" i="3"/>
  <c r="ES135" i="3"/>
  <c r="ET135" i="3"/>
  <c r="EU135" i="3"/>
  <c r="EV135" i="3"/>
  <c r="EW135" i="3"/>
  <c r="EX135" i="3"/>
  <c r="EY135" i="3"/>
  <c r="EZ135" i="3"/>
  <c r="FA135" i="3"/>
  <c r="FB135" i="3"/>
  <c r="FC135" i="3"/>
  <c r="FD135" i="3"/>
  <c r="FE135" i="3"/>
  <c r="FF135" i="3"/>
  <c r="FG135" i="3"/>
  <c r="FH135" i="3"/>
  <c r="FI135" i="3"/>
  <c r="FJ135" i="3"/>
  <c r="FK135" i="3"/>
  <c r="FL135" i="3"/>
  <c r="FM135" i="3"/>
  <c r="FN135" i="3"/>
  <c r="FO135" i="3"/>
  <c r="FP135" i="3"/>
  <c r="FQ135" i="3"/>
  <c r="FR135" i="3"/>
  <c r="FS135" i="3"/>
  <c r="FT135" i="3"/>
  <c r="FU135" i="3"/>
  <c r="FV135" i="3"/>
  <c r="FW135" i="3"/>
  <c r="FX135" i="3"/>
  <c r="FY135" i="3"/>
  <c r="FZ135" i="3"/>
  <c r="GA135" i="3"/>
  <c r="GB135" i="3"/>
  <c r="GC135" i="3"/>
  <c r="GD135" i="3"/>
  <c r="GE135" i="3"/>
  <c r="GF135" i="3"/>
  <c r="GG135" i="3"/>
  <c r="GH135" i="3"/>
  <c r="GI135" i="3"/>
  <c r="GJ135" i="3"/>
  <c r="GK135" i="3"/>
  <c r="GL135" i="3"/>
  <c r="GM135" i="3"/>
  <c r="GN135" i="3"/>
  <c r="GO135" i="3"/>
  <c r="GP135" i="3"/>
  <c r="GQ135" i="3"/>
  <c r="GR135" i="3"/>
  <c r="GS135" i="3"/>
  <c r="GT135" i="3"/>
  <c r="GU135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DC136" i="3"/>
  <c r="DD136" i="3"/>
  <c r="DE136" i="3"/>
  <c r="DF136" i="3"/>
  <c r="DG136" i="3"/>
  <c r="DH136" i="3"/>
  <c r="DI136" i="3"/>
  <c r="DJ136" i="3"/>
  <c r="DK136" i="3"/>
  <c r="DL136" i="3"/>
  <c r="DM136" i="3"/>
  <c r="DN136" i="3"/>
  <c r="DO136" i="3"/>
  <c r="DP136" i="3"/>
  <c r="DQ136" i="3"/>
  <c r="DR136" i="3"/>
  <c r="DS136" i="3"/>
  <c r="DT136" i="3"/>
  <c r="DU136" i="3"/>
  <c r="DV136" i="3"/>
  <c r="DW136" i="3"/>
  <c r="DX136" i="3"/>
  <c r="DY136" i="3"/>
  <c r="DZ136" i="3"/>
  <c r="EA136" i="3"/>
  <c r="EB136" i="3"/>
  <c r="EC136" i="3"/>
  <c r="ED136" i="3"/>
  <c r="EE136" i="3"/>
  <c r="EF136" i="3"/>
  <c r="EG136" i="3"/>
  <c r="EH136" i="3"/>
  <c r="EI136" i="3"/>
  <c r="EJ136" i="3"/>
  <c r="EK136" i="3"/>
  <c r="EL136" i="3"/>
  <c r="EM136" i="3"/>
  <c r="EN136" i="3"/>
  <c r="EO136" i="3"/>
  <c r="EP136" i="3"/>
  <c r="EQ136" i="3"/>
  <c r="ER136" i="3"/>
  <c r="ES136" i="3"/>
  <c r="ET136" i="3"/>
  <c r="EU136" i="3"/>
  <c r="EV136" i="3"/>
  <c r="EW136" i="3"/>
  <c r="EX136" i="3"/>
  <c r="EY136" i="3"/>
  <c r="EZ136" i="3"/>
  <c r="FA136" i="3"/>
  <c r="FB136" i="3"/>
  <c r="FC136" i="3"/>
  <c r="FD136" i="3"/>
  <c r="FE136" i="3"/>
  <c r="FF136" i="3"/>
  <c r="FG136" i="3"/>
  <c r="FH136" i="3"/>
  <c r="FI136" i="3"/>
  <c r="FJ136" i="3"/>
  <c r="FK136" i="3"/>
  <c r="FL136" i="3"/>
  <c r="FM136" i="3"/>
  <c r="FN136" i="3"/>
  <c r="FO136" i="3"/>
  <c r="FP136" i="3"/>
  <c r="FQ136" i="3"/>
  <c r="FR136" i="3"/>
  <c r="FS136" i="3"/>
  <c r="FT136" i="3"/>
  <c r="FU136" i="3"/>
  <c r="FV136" i="3"/>
  <c r="FW136" i="3"/>
  <c r="FX136" i="3"/>
  <c r="FY136" i="3"/>
  <c r="FZ136" i="3"/>
  <c r="GA136" i="3"/>
  <c r="GB136" i="3"/>
  <c r="GC136" i="3"/>
  <c r="GD136" i="3"/>
  <c r="GE136" i="3"/>
  <c r="GF136" i="3"/>
  <c r="GG136" i="3"/>
  <c r="GH136" i="3"/>
  <c r="GI136" i="3"/>
  <c r="GJ136" i="3"/>
  <c r="GK136" i="3"/>
  <c r="GL136" i="3"/>
  <c r="GM136" i="3"/>
  <c r="GN136" i="3"/>
  <c r="GO136" i="3"/>
  <c r="GP136" i="3"/>
  <c r="GQ136" i="3"/>
  <c r="GR136" i="3"/>
  <c r="GS136" i="3"/>
  <c r="GT136" i="3"/>
  <c r="GU136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DC137" i="3"/>
  <c r="DD137" i="3"/>
  <c r="DE137" i="3"/>
  <c r="DF137" i="3"/>
  <c r="DG137" i="3"/>
  <c r="DH137" i="3"/>
  <c r="DI137" i="3"/>
  <c r="DJ137" i="3"/>
  <c r="DK137" i="3"/>
  <c r="DL137" i="3"/>
  <c r="DM137" i="3"/>
  <c r="DN137" i="3"/>
  <c r="DO137" i="3"/>
  <c r="DP137" i="3"/>
  <c r="DQ137" i="3"/>
  <c r="DR137" i="3"/>
  <c r="DS137" i="3"/>
  <c r="DT137" i="3"/>
  <c r="DU137" i="3"/>
  <c r="DV137" i="3"/>
  <c r="DW137" i="3"/>
  <c r="DX137" i="3"/>
  <c r="DY137" i="3"/>
  <c r="DZ137" i="3"/>
  <c r="EA137" i="3"/>
  <c r="EB137" i="3"/>
  <c r="EC137" i="3"/>
  <c r="ED137" i="3"/>
  <c r="EE137" i="3"/>
  <c r="EF137" i="3"/>
  <c r="EG137" i="3"/>
  <c r="EH137" i="3"/>
  <c r="EI137" i="3"/>
  <c r="EJ137" i="3"/>
  <c r="EK137" i="3"/>
  <c r="EL137" i="3"/>
  <c r="EM137" i="3"/>
  <c r="EN137" i="3"/>
  <c r="EO137" i="3"/>
  <c r="EP137" i="3"/>
  <c r="EQ137" i="3"/>
  <c r="ER137" i="3"/>
  <c r="ES137" i="3"/>
  <c r="ET137" i="3"/>
  <c r="EU137" i="3"/>
  <c r="EV137" i="3"/>
  <c r="EW137" i="3"/>
  <c r="EX137" i="3"/>
  <c r="EY137" i="3"/>
  <c r="EZ137" i="3"/>
  <c r="FA137" i="3"/>
  <c r="FB137" i="3"/>
  <c r="FC137" i="3"/>
  <c r="FD137" i="3"/>
  <c r="FE137" i="3"/>
  <c r="FF137" i="3"/>
  <c r="FG137" i="3"/>
  <c r="FH137" i="3"/>
  <c r="FI137" i="3"/>
  <c r="FJ137" i="3"/>
  <c r="FK137" i="3"/>
  <c r="FL137" i="3"/>
  <c r="FM137" i="3"/>
  <c r="FN137" i="3"/>
  <c r="FO137" i="3"/>
  <c r="FP137" i="3"/>
  <c r="FQ137" i="3"/>
  <c r="FR137" i="3"/>
  <c r="FS137" i="3"/>
  <c r="FT137" i="3"/>
  <c r="FU137" i="3"/>
  <c r="FV137" i="3"/>
  <c r="FW137" i="3"/>
  <c r="FX137" i="3"/>
  <c r="FY137" i="3"/>
  <c r="FZ137" i="3"/>
  <c r="GA137" i="3"/>
  <c r="GB137" i="3"/>
  <c r="GC137" i="3"/>
  <c r="GD137" i="3"/>
  <c r="GE137" i="3"/>
  <c r="GF137" i="3"/>
  <c r="GG137" i="3"/>
  <c r="GH137" i="3"/>
  <c r="GI137" i="3"/>
  <c r="GJ137" i="3"/>
  <c r="GK137" i="3"/>
  <c r="GL137" i="3"/>
  <c r="GM137" i="3"/>
  <c r="GN137" i="3"/>
  <c r="GO137" i="3"/>
  <c r="GP137" i="3"/>
  <c r="GQ137" i="3"/>
  <c r="GR137" i="3"/>
  <c r="GS137" i="3"/>
  <c r="GT137" i="3"/>
  <c r="GU137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DC138" i="3"/>
  <c r="DD138" i="3"/>
  <c r="DE138" i="3"/>
  <c r="DF138" i="3"/>
  <c r="DG138" i="3"/>
  <c r="DH138" i="3"/>
  <c r="DI138" i="3"/>
  <c r="DJ138" i="3"/>
  <c r="DK138" i="3"/>
  <c r="DL138" i="3"/>
  <c r="DM138" i="3"/>
  <c r="DN138" i="3"/>
  <c r="DO138" i="3"/>
  <c r="DP138" i="3"/>
  <c r="DQ138" i="3"/>
  <c r="DR138" i="3"/>
  <c r="DS138" i="3"/>
  <c r="DT138" i="3"/>
  <c r="DU138" i="3"/>
  <c r="DV138" i="3"/>
  <c r="DW138" i="3"/>
  <c r="DX138" i="3"/>
  <c r="DY138" i="3"/>
  <c r="DZ138" i="3"/>
  <c r="EA138" i="3"/>
  <c r="EB138" i="3"/>
  <c r="EC138" i="3"/>
  <c r="ED138" i="3"/>
  <c r="EE138" i="3"/>
  <c r="EF138" i="3"/>
  <c r="EG138" i="3"/>
  <c r="EH138" i="3"/>
  <c r="EI138" i="3"/>
  <c r="EJ138" i="3"/>
  <c r="EK138" i="3"/>
  <c r="EL138" i="3"/>
  <c r="EM138" i="3"/>
  <c r="EN138" i="3"/>
  <c r="EO138" i="3"/>
  <c r="EP138" i="3"/>
  <c r="EQ138" i="3"/>
  <c r="ER138" i="3"/>
  <c r="ES138" i="3"/>
  <c r="ET138" i="3"/>
  <c r="EU138" i="3"/>
  <c r="EV138" i="3"/>
  <c r="EW138" i="3"/>
  <c r="EX138" i="3"/>
  <c r="EY138" i="3"/>
  <c r="EZ138" i="3"/>
  <c r="FA138" i="3"/>
  <c r="FB138" i="3"/>
  <c r="FC138" i="3"/>
  <c r="FD138" i="3"/>
  <c r="FE138" i="3"/>
  <c r="FF138" i="3"/>
  <c r="FG138" i="3"/>
  <c r="FH138" i="3"/>
  <c r="FI138" i="3"/>
  <c r="FJ138" i="3"/>
  <c r="FK138" i="3"/>
  <c r="FL138" i="3"/>
  <c r="FM138" i="3"/>
  <c r="FN138" i="3"/>
  <c r="FO138" i="3"/>
  <c r="FP138" i="3"/>
  <c r="FQ138" i="3"/>
  <c r="FR138" i="3"/>
  <c r="FS138" i="3"/>
  <c r="FT138" i="3"/>
  <c r="FU138" i="3"/>
  <c r="FV138" i="3"/>
  <c r="FW138" i="3"/>
  <c r="FX138" i="3"/>
  <c r="FY138" i="3"/>
  <c r="FZ138" i="3"/>
  <c r="GA138" i="3"/>
  <c r="GB138" i="3"/>
  <c r="GC138" i="3"/>
  <c r="GD138" i="3"/>
  <c r="GE138" i="3"/>
  <c r="GF138" i="3"/>
  <c r="GG138" i="3"/>
  <c r="GH138" i="3"/>
  <c r="GI138" i="3"/>
  <c r="GJ138" i="3"/>
  <c r="GK138" i="3"/>
  <c r="GL138" i="3"/>
  <c r="GM138" i="3"/>
  <c r="GN138" i="3"/>
  <c r="GO138" i="3"/>
  <c r="GP138" i="3"/>
  <c r="GQ138" i="3"/>
  <c r="GR138" i="3"/>
  <c r="GS138" i="3"/>
  <c r="GT138" i="3"/>
  <c r="GU138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DC139" i="3"/>
  <c r="DD139" i="3"/>
  <c r="DE139" i="3"/>
  <c r="DF139" i="3"/>
  <c r="DG139" i="3"/>
  <c r="DH139" i="3"/>
  <c r="DI139" i="3"/>
  <c r="DJ139" i="3"/>
  <c r="DK139" i="3"/>
  <c r="DL139" i="3"/>
  <c r="DM139" i="3"/>
  <c r="DN139" i="3"/>
  <c r="DO139" i="3"/>
  <c r="DP139" i="3"/>
  <c r="DQ139" i="3"/>
  <c r="DR139" i="3"/>
  <c r="DS139" i="3"/>
  <c r="DT139" i="3"/>
  <c r="DU139" i="3"/>
  <c r="DV139" i="3"/>
  <c r="DW139" i="3"/>
  <c r="DX139" i="3"/>
  <c r="DY139" i="3"/>
  <c r="DZ139" i="3"/>
  <c r="EA139" i="3"/>
  <c r="EB139" i="3"/>
  <c r="EC139" i="3"/>
  <c r="ED139" i="3"/>
  <c r="EE139" i="3"/>
  <c r="EF139" i="3"/>
  <c r="EG139" i="3"/>
  <c r="EH139" i="3"/>
  <c r="EI139" i="3"/>
  <c r="EJ139" i="3"/>
  <c r="EK139" i="3"/>
  <c r="EL139" i="3"/>
  <c r="EM139" i="3"/>
  <c r="EN139" i="3"/>
  <c r="EO139" i="3"/>
  <c r="EP139" i="3"/>
  <c r="EQ139" i="3"/>
  <c r="ER139" i="3"/>
  <c r="ES139" i="3"/>
  <c r="ET139" i="3"/>
  <c r="EU139" i="3"/>
  <c r="EV139" i="3"/>
  <c r="EW139" i="3"/>
  <c r="EX139" i="3"/>
  <c r="EY139" i="3"/>
  <c r="EZ139" i="3"/>
  <c r="FA139" i="3"/>
  <c r="FB139" i="3"/>
  <c r="FC139" i="3"/>
  <c r="FD139" i="3"/>
  <c r="FE139" i="3"/>
  <c r="FF139" i="3"/>
  <c r="FG139" i="3"/>
  <c r="FH139" i="3"/>
  <c r="FI139" i="3"/>
  <c r="FJ139" i="3"/>
  <c r="FK139" i="3"/>
  <c r="FL139" i="3"/>
  <c r="FM139" i="3"/>
  <c r="FN139" i="3"/>
  <c r="FO139" i="3"/>
  <c r="FP139" i="3"/>
  <c r="FQ139" i="3"/>
  <c r="FR139" i="3"/>
  <c r="FS139" i="3"/>
  <c r="FT139" i="3"/>
  <c r="FU139" i="3"/>
  <c r="FV139" i="3"/>
  <c r="FW139" i="3"/>
  <c r="FX139" i="3"/>
  <c r="FY139" i="3"/>
  <c r="FZ139" i="3"/>
  <c r="GA139" i="3"/>
  <c r="GB139" i="3"/>
  <c r="GC139" i="3"/>
  <c r="GD139" i="3"/>
  <c r="GE139" i="3"/>
  <c r="GF139" i="3"/>
  <c r="GG139" i="3"/>
  <c r="GH139" i="3"/>
  <c r="GI139" i="3"/>
  <c r="GJ139" i="3"/>
  <c r="GK139" i="3"/>
  <c r="GL139" i="3"/>
  <c r="GM139" i="3"/>
  <c r="GN139" i="3"/>
  <c r="GO139" i="3"/>
  <c r="GP139" i="3"/>
  <c r="GQ139" i="3"/>
  <c r="GR139" i="3"/>
  <c r="GS139" i="3"/>
  <c r="GT139" i="3"/>
  <c r="GU139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DC140" i="3"/>
  <c r="DD140" i="3"/>
  <c r="DE140" i="3"/>
  <c r="DF140" i="3"/>
  <c r="DG140" i="3"/>
  <c r="DH140" i="3"/>
  <c r="DI140" i="3"/>
  <c r="DJ140" i="3"/>
  <c r="DK140" i="3"/>
  <c r="DL140" i="3"/>
  <c r="DM140" i="3"/>
  <c r="DN140" i="3"/>
  <c r="DO140" i="3"/>
  <c r="DP140" i="3"/>
  <c r="DQ140" i="3"/>
  <c r="DR140" i="3"/>
  <c r="DS140" i="3"/>
  <c r="DT140" i="3"/>
  <c r="DU140" i="3"/>
  <c r="DV140" i="3"/>
  <c r="DW140" i="3"/>
  <c r="DX140" i="3"/>
  <c r="DY140" i="3"/>
  <c r="DZ140" i="3"/>
  <c r="EA140" i="3"/>
  <c r="EB140" i="3"/>
  <c r="EC140" i="3"/>
  <c r="ED140" i="3"/>
  <c r="EE140" i="3"/>
  <c r="EF140" i="3"/>
  <c r="EG140" i="3"/>
  <c r="EH140" i="3"/>
  <c r="EI140" i="3"/>
  <c r="EJ140" i="3"/>
  <c r="EK140" i="3"/>
  <c r="EL140" i="3"/>
  <c r="EM140" i="3"/>
  <c r="EN140" i="3"/>
  <c r="EO140" i="3"/>
  <c r="EP140" i="3"/>
  <c r="EQ140" i="3"/>
  <c r="ER140" i="3"/>
  <c r="ES140" i="3"/>
  <c r="ET140" i="3"/>
  <c r="EU140" i="3"/>
  <c r="EV140" i="3"/>
  <c r="EW140" i="3"/>
  <c r="EX140" i="3"/>
  <c r="EY140" i="3"/>
  <c r="EZ140" i="3"/>
  <c r="FA140" i="3"/>
  <c r="FB140" i="3"/>
  <c r="FC140" i="3"/>
  <c r="FD140" i="3"/>
  <c r="FE140" i="3"/>
  <c r="FF140" i="3"/>
  <c r="FG140" i="3"/>
  <c r="FH140" i="3"/>
  <c r="FI140" i="3"/>
  <c r="FJ140" i="3"/>
  <c r="FK140" i="3"/>
  <c r="FL140" i="3"/>
  <c r="FM140" i="3"/>
  <c r="FN140" i="3"/>
  <c r="FO140" i="3"/>
  <c r="FP140" i="3"/>
  <c r="FQ140" i="3"/>
  <c r="FR140" i="3"/>
  <c r="FS140" i="3"/>
  <c r="FT140" i="3"/>
  <c r="FU140" i="3"/>
  <c r="FV140" i="3"/>
  <c r="FW140" i="3"/>
  <c r="FX140" i="3"/>
  <c r="FY140" i="3"/>
  <c r="FZ140" i="3"/>
  <c r="GA140" i="3"/>
  <c r="GB140" i="3"/>
  <c r="GC140" i="3"/>
  <c r="GD140" i="3"/>
  <c r="GE140" i="3"/>
  <c r="GF140" i="3"/>
  <c r="GG140" i="3"/>
  <c r="GH140" i="3"/>
  <c r="GI140" i="3"/>
  <c r="GJ140" i="3"/>
  <c r="GK140" i="3"/>
  <c r="GL140" i="3"/>
  <c r="GM140" i="3"/>
  <c r="GN140" i="3"/>
  <c r="GO140" i="3"/>
  <c r="GP140" i="3"/>
  <c r="GQ140" i="3"/>
  <c r="GR140" i="3"/>
  <c r="GS140" i="3"/>
  <c r="GT140" i="3"/>
  <c r="GU140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DC141" i="3"/>
  <c r="DD141" i="3"/>
  <c r="DE141" i="3"/>
  <c r="DF141" i="3"/>
  <c r="DG141" i="3"/>
  <c r="DH141" i="3"/>
  <c r="DI141" i="3"/>
  <c r="DJ141" i="3"/>
  <c r="DK141" i="3"/>
  <c r="DL141" i="3"/>
  <c r="DM141" i="3"/>
  <c r="DN141" i="3"/>
  <c r="DO141" i="3"/>
  <c r="DP141" i="3"/>
  <c r="DQ141" i="3"/>
  <c r="DR141" i="3"/>
  <c r="DS141" i="3"/>
  <c r="DT141" i="3"/>
  <c r="DU141" i="3"/>
  <c r="DV141" i="3"/>
  <c r="DW141" i="3"/>
  <c r="DX141" i="3"/>
  <c r="DY141" i="3"/>
  <c r="DZ141" i="3"/>
  <c r="EA141" i="3"/>
  <c r="EB141" i="3"/>
  <c r="EC141" i="3"/>
  <c r="ED141" i="3"/>
  <c r="EE141" i="3"/>
  <c r="EF141" i="3"/>
  <c r="EG141" i="3"/>
  <c r="EH141" i="3"/>
  <c r="EI141" i="3"/>
  <c r="EJ141" i="3"/>
  <c r="EK141" i="3"/>
  <c r="EL141" i="3"/>
  <c r="EM141" i="3"/>
  <c r="EN141" i="3"/>
  <c r="EO141" i="3"/>
  <c r="EP141" i="3"/>
  <c r="EQ141" i="3"/>
  <c r="ER141" i="3"/>
  <c r="ES141" i="3"/>
  <c r="ET141" i="3"/>
  <c r="EU141" i="3"/>
  <c r="EV141" i="3"/>
  <c r="EW141" i="3"/>
  <c r="EX141" i="3"/>
  <c r="EY141" i="3"/>
  <c r="EZ141" i="3"/>
  <c r="FA141" i="3"/>
  <c r="FB141" i="3"/>
  <c r="FC141" i="3"/>
  <c r="FD141" i="3"/>
  <c r="FE141" i="3"/>
  <c r="FF141" i="3"/>
  <c r="FG141" i="3"/>
  <c r="FH141" i="3"/>
  <c r="FI141" i="3"/>
  <c r="FJ141" i="3"/>
  <c r="FK141" i="3"/>
  <c r="FL141" i="3"/>
  <c r="FM141" i="3"/>
  <c r="FN141" i="3"/>
  <c r="FO141" i="3"/>
  <c r="FP141" i="3"/>
  <c r="FQ141" i="3"/>
  <c r="FR141" i="3"/>
  <c r="FS141" i="3"/>
  <c r="FT141" i="3"/>
  <c r="FU141" i="3"/>
  <c r="FV141" i="3"/>
  <c r="FW141" i="3"/>
  <c r="FX141" i="3"/>
  <c r="FY141" i="3"/>
  <c r="FZ141" i="3"/>
  <c r="GA141" i="3"/>
  <c r="GB141" i="3"/>
  <c r="GC141" i="3"/>
  <c r="GD141" i="3"/>
  <c r="GE141" i="3"/>
  <c r="GF141" i="3"/>
  <c r="GG141" i="3"/>
  <c r="GH141" i="3"/>
  <c r="GI141" i="3"/>
  <c r="GJ141" i="3"/>
  <c r="GK141" i="3"/>
  <c r="GL141" i="3"/>
  <c r="GM141" i="3"/>
  <c r="GN141" i="3"/>
  <c r="GO141" i="3"/>
  <c r="GP141" i="3"/>
  <c r="GQ141" i="3"/>
  <c r="GR141" i="3"/>
  <c r="GS141" i="3"/>
  <c r="GT141" i="3"/>
  <c r="GU141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DC142" i="3"/>
  <c r="DD142" i="3"/>
  <c r="DE142" i="3"/>
  <c r="DF142" i="3"/>
  <c r="DG142" i="3"/>
  <c r="DH142" i="3"/>
  <c r="DI142" i="3"/>
  <c r="DJ142" i="3"/>
  <c r="DK142" i="3"/>
  <c r="DL142" i="3"/>
  <c r="DM142" i="3"/>
  <c r="DN142" i="3"/>
  <c r="DO142" i="3"/>
  <c r="DP142" i="3"/>
  <c r="DQ142" i="3"/>
  <c r="DR142" i="3"/>
  <c r="DS142" i="3"/>
  <c r="DT142" i="3"/>
  <c r="DU142" i="3"/>
  <c r="DV142" i="3"/>
  <c r="DW142" i="3"/>
  <c r="DX142" i="3"/>
  <c r="DY142" i="3"/>
  <c r="DZ142" i="3"/>
  <c r="EA142" i="3"/>
  <c r="EB142" i="3"/>
  <c r="EC142" i="3"/>
  <c r="ED142" i="3"/>
  <c r="EE142" i="3"/>
  <c r="EF142" i="3"/>
  <c r="EG142" i="3"/>
  <c r="EH142" i="3"/>
  <c r="EI142" i="3"/>
  <c r="EJ142" i="3"/>
  <c r="EK142" i="3"/>
  <c r="EL142" i="3"/>
  <c r="EM142" i="3"/>
  <c r="EN142" i="3"/>
  <c r="EO142" i="3"/>
  <c r="EP142" i="3"/>
  <c r="EQ142" i="3"/>
  <c r="ER142" i="3"/>
  <c r="ES142" i="3"/>
  <c r="ET142" i="3"/>
  <c r="EU142" i="3"/>
  <c r="EV142" i="3"/>
  <c r="EW142" i="3"/>
  <c r="EX142" i="3"/>
  <c r="EY142" i="3"/>
  <c r="EZ142" i="3"/>
  <c r="FA142" i="3"/>
  <c r="FB142" i="3"/>
  <c r="FC142" i="3"/>
  <c r="FD142" i="3"/>
  <c r="FE142" i="3"/>
  <c r="FF142" i="3"/>
  <c r="FG142" i="3"/>
  <c r="FH142" i="3"/>
  <c r="FI142" i="3"/>
  <c r="FJ142" i="3"/>
  <c r="FK142" i="3"/>
  <c r="FL142" i="3"/>
  <c r="FM142" i="3"/>
  <c r="FN142" i="3"/>
  <c r="FO142" i="3"/>
  <c r="FP142" i="3"/>
  <c r="FQ142" i="3"/>
  <c r="FR142" i="3"/>
  <c r="FS142" i="3"/>
  <c r="FT142" i="3"/>
  <c r="FU142" i="3"/>
  <c r="FV142" i="3"/>
  <c r="FW142" i="3"/>
  <c r="FX142" i="3"/>
  <c r="FY142" i="3"/>
  <c r="FZ142" i="3"/>
  <c r="GA142" i="3"/>
  <c r="GB142" i="3"/>
  <c r="GC142" i="3"/>
  <c r="GD142" i="3"/>
  <c r="GE142" i="3"/>
  <c r="GF142" i="3"/>
  <c r="GG142" i="3"/>
  <c r="GH142" i="3"/>
  <c r="GI142" i="3"/>
  <c r="GJ142" i="3"/>
  <c r="GK142" i="3"/>
  <c r="GL142" i="3"/>
  <c r="GM142" i="3"/>
  <c r="GN142" i="3"/>
  <c r="GO142" i="3"/>
  <c r="GP142" i="3"/>
  <c r="GQ142" i="3"/>
  <c r="GR142" i="3"/>
  <c r="GS142" i="3"/>
  <c r="GT142" i="3"/>
  <c r="GU142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DC143" i="3"/>
  <c r="DD143" i="3"/>
  <c r="DE143" i="3"/>
  <c r="DF143" i="3"/>
  <c r="DG143" i="3"/>
  <c r="DH143" i="3"/>
  <c r="DI143" i="3"/>
  <c r="DJ143" i="3"/>
  <c r="DK143" i="3"/>
  <c r="DL143" i="3"/>
  <c r="DM143" i="3"/>
  <c r="DN143" i="3"/>
  <c r="DO143" i="3"/>
  <c r="DP143" i="3"/>
  <c r="DQ143" i="3"/>
  <c r="DR143" i="3"/>
  <c r="DS143" i="3"/>
  <c r="DT143" i="3"/>
  <c r="DU143" i="3"/>
  <c r="DV143" i="3"/>
  <c r="DW143" i="3"/>
  <c r="DX143" i="3"/>
  <c r="DY143" i="3"/>
  <c r="DZ143" i="3"/>
  <c r="EA143" i="3"/>
  <c r="EB143" i="3"/>
  <c r="EC143" i="3"/>
  <c r="ED143" i="3"/>
  <c r="EE143" i="3"/>
  <c r="EF143" i="3"/>
  <c r="EG143" i="3"/>
  <c r="EH143" i="3"/>
  <c r="EI143" i="3"/>
  <c r="EJ143" i="3"/>
  <c r="EK143" i="3"/>
  <c r="EL143" i="3"/>
  <c r="EM143" i="3"/>
  <c r="EN143" i="3"/>
  <c r="EO143" i="3"/>
  <c r="EP143" i="3"/>
  <c r="EQ143" i="3"/>
  <c r="ER143" i="3"/>
  <c r="ES143" i="3"/>
  <c r="ET143" i="3"/>
  <c r="EU143" i="3"/>
  <c r="EV143" i="3"/>
  <c r="EW143" i="3"/>
  <c r="EX143" i="3"/>
  <c r="EY143" i="3"/>
  <c r="EZ143" i="3"/>
  <c r="FA143" i="3"/>
  <c r="FB143" i="3"/>
  <c r="FC143" i="3"/>
  <c r="FD143" i="3"/>
  <c r="FE143" i="3"/>
  <c r="FF143" i="3"/>
  <c r="FG143" i="3"/>
  <c r="FH143" i="3"/>
  <c r="FI143" i="3"/>
  <c r="FJ143" i="3"/>
  <c r="FK143" i="3"/>
  <c r="FL143" i="3"/>
  <c r="FM143" i="3"/>
  <c r="FN143" i="3"/>
  <c r="FO143" i="3"/>
  <c r="FP143" i="3"/>
  <c r="FQ143" i="3"/>
  <c r="FR143" i="3"/>
  <c r="FS143" i="3"/>
  <c r="FT143" i="3"/>
  <c r="FU143" i="3"/>
  <c r="FV143" i="3"/>
  <c r="FW143" i="3"/>
  <c r="FX143" i="3"/>
  <c r="FY143" i="3"/>
  <c r="FZ143" i="3"/>
  <c r="GA143" i="3"/>
  <c r="GB143" i="3"/>
  <c r="GC143" i="3"/>
  <c r="GD143" i="3"/>
  <c r="GE143" i="3"/>
  <c r="GF143" i="3"/>
  <c r="GG143" i="3"/>
  <c r="GH143" i="3"/>
  <c r="GI143" i="3"/>
  <c r="GJ143" i="3"/>
  <c r="GK143" i="3"/>
  <c r="GL143" i="3"/>
  <c r="GM143" i="3"/>
  <c r="GN143" i="3"/>
  <c r="GO143" i="3"/>
  <c r="GP143" i="3"/>
  <c r="GQ143" i="3"/>
  <c r="GR143" i="3"/>
  <c r="GS143" i="3"/>
  <c r="GT143" i="3"/>
  <c r="GU143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DC144" i="3"/>
  <c r="DD144" i="3"/>
  <c r="DE144" i="3"/>
  <c r="DF144" i="3"/>
  <c r="DG144" i="3"/>
  <c r="DH144" i="3"/>
  <c r="DI144" i="3"/>
  <c r="DJ144" i="3"/>
  <c r="DK144" i="3"/>
  <c r="DL144" i="3"/>
  <c r="DM144" i="3"/>
  <c r="DN144" i="3"/>
  <c r="DO144" i="3"/>
  <c r="DP144" i="3"/>
  <c r="DQ144" i="3"/>
  <c r="DR144" i="3"/>
  <c r="DS144" i="3"/>
  <c r="DT144" i="3"/>
  <c r="DU144" i="3"/>
  <c r="DV144" i="3"/>
  <c r="DW144" i="3"/>
  <c r="DX144" i="3"/>
  <c r="DY144" i="3"/>
  <c r="DZ144" i="3"/>
  <c r="EA144" i="3"/>
  <c r="EB144" i="3"/>
  <c r="EC144" i="3"/>
  <c r="ED144" i="3"/>
  <c r="EE144" i="3"/>
  <c r="EF144" i="3"/>
  <c r="EG144" i="3"/>
  <c r="EH144" i="3"/>
  <c r="EI144" i="3"/>
  <c r="EJ144" i="3"/>
  <c r="EK144" i="3"/>
  <c r="EL144" i="3"/>
  <c r="EM144" i="3"/>
  <c r="EN144" i="3"/>
  <c r="EO144" i="3"/>
  <c r="EP144" i="3"/>
  <c r="EQ144" i="3"/>
  <c r="ER144" i="3"/>
  <c r="ES144" i="3"/>
  <c r="ET144" i="3"/>
  <c r="EU144" i="3"/>
  <c r="EV144" i="3"/>
  <c r="EW144" i="3"/>
  <c r="EX144" i="3"/>
  <c r="EY144" i="3"/>
  <c r="EZ144" i="3"/>
  <c r="FA144" i="3"/>
  <c r="FB144" i="3"/>
  <c r="FC144" i="3"/>
  <c r="FD144" i="3"/>
  <c r="FE144" i="3"/>
  <c r="FF144" i="3"/>
  <c r="FG144" i="3"/>
  <c r="FH144" i="3"/>
  <c r="FI144" i="3"/>
  <c r="FJ144" i="3"/>
  <c r="FK144" i="3"/>
  <c r="FL144" i="3"/>
  <c r="FM144" i="3"/>
  <c r="FN144" i="3"/>
  <c r="FO144" i="3"/>
  <c r="FP144" i="3"/>
  <c r="FQ144" i="3"/>
  <c r="FR144" i="3"/>
  <c r="FS144" i="3"/>
  <c r="FT144" i="3"/>
  <c r="FU144" i="3"/>
  <c r="FV144" i="3"/>
  <c r="FW144" i="3"/>
  <c r="FX144" i="3"/>
  <c r="FY144" i="3"/>
  <c r="FZ144" i="3"/>
  <c r="GA144" i="3"/>
  <c r="GB144" i="3"/>
  <c r="GC144" i="3"/>
  <c r="GD144" i="3"/>
  <c r="GE144" i="3"/>
  <c r="GF144" i="3"/>
  <c r="GG144" i="3"/>
  <c r="GH144" i="3"/>
  <c r="GI144" i="3"/>
  <c r="GJ144" i="3"/>
  <c r="GK144" i="3"/>
  <c r="GL144" i="3"/>
  <c r="GM144" i="3"/>
  <c r="GN144" i="3"/>
  <c r="GO144" i="3"/>
  <c r="GP144" i="3"/>
  <c r="GQ144" i="3"/>
  <c r="GR144" i="3"/>
  <c r="GS144" i="3"/>
  <c r="GT144" i="3"/>
  <c r="GU144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DC145" i="3"/>
  <c r="DD145" i="3"/>
  <c r="DE145" i="3"/>
  <c r="DF145" i="3"/>
  <c r="DG145" i="3"/>
  <c r="DH145" i="3"/>
  <c r="DI145" i="3"/>
  <c r="DJ145" i="3"/>
  <c r="DK145" i="3"/>
  <c r="DL145" i="3"/>
  <c r="DM145" i="3"/>
  <c r="DN145" i="3"/>
  <c r="DO145" i="3"/>
  <c r="DP145" i="3"/>
  <c r="DQ145" i="3"/>
  <c r="DR145" i="3"/>
  <c r="DS145" i="3"/>
  <c r="DT145" i="3"/>
  <c r="DU145" i="3"/>
  <c r="DV145" i="3"/>
  <c r="DW145" i="3"/>
  <c r="DX145" i="3"/>
  <c r="DY145" i="3"/>
  <c r="DZ145" i="3"/>
  <c r="EA145" i="3"/>
  <c r="EB145" i="3"/>
  <c r="EC145" i="3"/>
  <c r="ED145" i="3"/>
  <c r="EE145" i="3"/>
  <c r="EF145" i="3"/>
  <c r="EG145" i="3"/>
  <c r="EH145" i="3"/>
  <c r="EI145" i="3"/>
  <c r="EJ145" i="3"/>
  <c r="EK145" i="3"/>
  <c r="EL145" i="3"/>
  <c r="EM145" i="3"/>
  <c r="EN145" i="3"/>
  <c r="EO145" i="3"/>
  <c r="EP145" i="3"/>
  <c r="EQ145" i="3"/>
  <c r="ER145" i="3"/>
  <c r="ES145" i="3"/>
  <c r="ET145" i="3"/>
  <c r="EU145" i="3"/>
  <c r="EV145" i="3"/>
  <c r="EW145" i="3"/>
  <c r="EX145" i="3"/>
  <c r="EY145" i="3"/>
  <c r="EZ145" i="3"/>
  <c r="FA145" i="3"/>
  <c r="FB145" i="3"/>
  <c r="FC145" i="3"/>
  <c r="FD145" i="3"/>
  <c r="FE145" i="3"/>
  <c r="FF145" i="3"/>
  <c r="FG145" i="3"/>
  <c r="FH145" i="3"/>
  <c r="FI145" i="3"/>
  <c r="FJ145" i="3"/>
  <c r="FK145" i="3"/>
  <c r="FL145" i="3"/>
  <c r="FM145" i="3"/>
  <c r="FN145" i="3"/>
  <c r="FO145" i="3"/>
  <c r="FP145" i="3"/>
  <c r="FQ145" i="3"/>
  <c r="FR145" i="3"/>
  <c r="FS145" i="3"/>
  <c r="FT145" i="3"/>
  <c r="FU145" i="3"/>
  <c r="FV145" i="3"/>
  <c r="FW145" i="3"/>
  <c r="FX145" i="3"/>
  <c r="FY145" i="3"/>
  <c r="FZ145" i="3"/>
  <c r="GA145" i="3"/>
  <c r="GB145" i="3"/>
  <c r="GC145" i="3"/>
  <c r="GD145" i="3"/>
  <c r="GE145" i="3"/>
  <c r="GF145" i="3"/>
  <c r="GG145" i="3"/>
  <c r="GH145" i="3"/>
  <c r="GI145" i="3"/>
  <c r="GJ145" i="3"/>
  <c r="GK145" i="3"/>
  <c r="GL145" i="3"/>
  <c r="GM145" i="3"/>
  <c r="GN145" i="3"/>
  <c r="GO145" i="3"/>
  <c r="GP145" i="3"/>
  <c r="GQ145" i="3"/>
  <c r="GR145" i="3"/>
  <c r="GS145" i="3"/>
  <c r="GT145" i="3"/>
  <c r="GU145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DC146" i="3"/>
  <c r="DD146" i="3"/>
  <c r="DE146" i="3"/>
  <c r="DF146" i="3"/>
  <c r="DG146" i="3"/>
  <c r="DH146" i="3"/>
  <c r="DI146" i="3"/>
  <c r="DJ146" i="3"/>
  <c r="DK146" i="3"/>
  <c r="DL146" i="3"/>
  <c r="DM146" i="3"/>
  <c r="DN146" i="3"/>
  <c r="DO146" i="3"/>
  <c r="DP146" i="3"/>
  <c r="DQ146" i="3"/>
  <c r="DR146" i="3"/>
  <c r="DS146" i="3"/>
  <c r="DT146" i="3"/>
  <c r="DU146" i="3"/>
  <c r="DV146" i="3"/>
  <c r="DW146" i="3"/>
  <c r="DX146" i="3"/>
  <c r="DY146" i="3"/>
  <c r="DZ146" i="3"/>
  <c r="EA146" i="3"/>
  <c r="EB146" i="3"/>
  <c r="EC146" i="3"/>
  <c r="ED146" i="3"/>
  <c r="EE146" i="3"/>
  <c r="EF146" i="3"/>
  <c r="EG146" i="3"/>
  <c r="EH146" i="3"/>
  <c r="EI146" i="3"/>
  <c r="EJ146" i="3"/>
  <c r="EK146" i="3"/>
  <c r="EL146" i="3"/>
  <c r="EM146" i="3"/>
  <c r="EN146" i="3"/>
  <c r="EO146" i="3"/>
  <c r="EP146" i="3"/>
  <c r="EQ146" i="3"/>
  <c r="ER146" i="3"/>
  <c r="ES146" i="3"/>
  <c r="ET146" i="3"/>
  <c r="EU146" i="3"/>
  <c r="EV146" i="3"/>
  <c r="EW146" i="3"/>
  <c r="EX146" i="3"/>
  <c r="EY146" i="3"/>
  <c r="EZ146" i="3"/>
  <c r="FA146" i="3"/>
  <c r="FB146" i="3"/>
  <c r="FC146" i="3"/>
  <c r="FD146" i="3"/>
  <c r="FE146" i="3"/>
  <c r="FF146" i="3"/>
  <c r="FG146" i="3"/>
  <c r="FH146" i="3"/>
  <c r="FI146" i="3"/>
  <c r="FJ146" i="3"/>
  <c r="FK146" i="3"/>
  <c r="FL146" i="3"/>
  <c r="FM146" i="3"/>
  <c r="FN146" i="3"/>
  <c r="FO146" i="3"/>
  <c r="FP146" i="3"/>
  <c r="FQ146" i="3"/>
  <c r="FR146" i="3"/>
  <c r="FS146" i="3"/>
  <c r="FT146" i="3"/>
  <c r="FU146" i="3"/>
  <c r="FV146" i="3"/>
  <c r="FW146" i="3"/>
  <c r="FX146" i="3"/>
  <c r="FY146" i="3"/>
  <c r="FZ146" i="3"/>
  <c r="GA146" i="3"/>
  <c r="GB146" i="3"/>
  <c r="GC146" i="3"/>
  <c r="GD146" i="3"/>
  <c r="GE146" i="3"/>
  <c r="GF146" i="3"/>
  <c r="GG146" i="3"/>
  <c r="GH146" i="3"/>
  <c r="GI146" i="3"/>
  <c r="GJ146" i="3"/>
  <c r="GK146" i="3"/>
  <c r="GL146" i="3"/>
  <c r="GM146" i="3"/>
  <c r="GN146" i="3"/>
  <c r="GO146" i="3"/>
  <c r="GP146" i="3"/>
  <c r="GQ146" i="3"/>
  <c r="GR146" i="3"/>
  <c r="GS146" i="3"/>
  <c r="GT146" i="3"/>
  <c r="GU146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DC147" i="3"/>
  <c r="DD147" i="3"/>
  <c r="DE147" i="3"/>
  <c r="DF147" i="3"/>
  <c r="DG147" i="3"/>
  <c r="DH147" i="3"/>
  <c r="DI147" i="3"/>
  <c r="DJ147" i="3"/>
  <c r="DK147" i="3"/>
  <c r="DL147" i="3"/>
  <c r="DM147" i="3"/>
  <c r="DN147" i="3"/>
  <c r="DO147" i="3"/>
  <c r="DP147" i="3"/>
  <c r="DQ147" i="3"/>
  <c r="DR147" i="3"/>
  <c r="DS147" i="3"/>
  <c r="DT147" i="3"/>
  <c r="DU147" i="3"/>
  <c r="DV147" i="3"/>
  <c r="DW147" i="3"/>
  <c r="DX147" i="3"/>
  <c r="DY147" i="3"/>
  <c r="DZ147" i="3"/>
  <c r="EA147" i="3"/>
  <c r="EB147" i="3"/>
  <c r="EC147" i="3"/>
  <c r="ED147" i="3"/>
  <c r="EE147" i="3"/>
  <c r="EF147" i="3"/>
  <c r="EG147" i="3"/>
  <c r="EH147" i="3"/>
  <c r="EI147" i="3"/>
  <c r="EJ147" i="3"/>
  <c r="EK147" i="3"/>
  <c r="EL147" i="3"/>
  <c r="EM147" i="3"/>
  <c r="EN147" i="3"/>
  <c r="EO147" i="3"/>
  <c r="EP147" i="3"/>
  <c r="EQ147" i="3"/>
  <c r="ER147" i="3"/>
  <c r="ES147" i="3"/>
  <c r="ET147" i="3"/>
  <c r="EU147" i="3"/>
  <c r="EV147" i="3"/>
  <c r="EW147" i="3"/>
  <c r="EX147" i="3"/>
  <c r="EY147" i="3"/>
  <c r="EZ147" i="3"/>
  <c r="FA147" i="3"/>
  <c r="FB147" i="3"/>
  <c r="FC147" i="3"/>
  <c r="FD147" i="3"/>
  <c r="FE147" i="3"/>
  <c r="FF147" i="3"/>
  <c r="FG147" i="3"/>
  <c r="FH147" i="3"/>
  <c r="FI147" i="3"/>
  <c r="FJ147" i="3"/>
  <c r="FK147" i="3"/>
  <c r="FL147" i="3"/>
  <c r="FM147" i="3"/>
  <c r="FN147" i="3"/>
  <c r="FO147" i="3"/>
  <c r="FP147" i="3"/>
  <c r="FQ147" i="3"/>
  <c r="FR147" i="3"/>
  <c r="FS147" i="3"/>
  <c r="FT147" i="3"/>
  <c r="FU147" i="3"/>
  <c r="FV147" i="3"/>
  <c r="FW147" i="3"/>
  <c r="FX147" i="3"/>
  <c r="FY147" i="3"/>
  <c r="FZ147" i="3"/>
  <c r="GA147" i="3"/>
  <c r="GB147" i="3"/>
  <c r="GC147" i="3"/>
  <c r="GD147" i="3"/>
  <c r="GE147" i="3"/>
  <c r="GF147" i="3"/>
  <c r="GG147" i="3"/>
  <c r="GH147" i="3"/>
  <c r="GI147" i="3"/>
  <c r="GJ147" i="3"/>
  <c r="GK147" i="3"/>
  <c r="GL147" i="3"/>
  <c r="GM147" i="3"/>
  <c r="GN147" i="3"/>
  <c r="GO147" i="3"/>
  <c r="GP147" i="3"/>
  <c r="GQ147" i="3"/>
  <c r="GR147" i="3"/>
  <c r="GS147" i="3"/>
  <c r="GT147" i="3"/>
  <c r="GU147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DC148" i="3"/>
  <c r="DD148" i="3"/>
  <c r="DE148" i="3"/>
  <c r="DF148" i="3"/>
  <c r="DG148" i="3"/>
  <c r="DH148" i="3"/>
  <c r="DI148" i="3"/>
  <c r="DJ148" i="3"/>
  <c r="DK148" i="3"/>
  <c r="DL148" i="3"/>
  <c r="DM148" i="3"/>
  <c r="DN148" i="3"/>
  <c r="DO148" i="3"/>
  <c r="DP148" i="3"/>
  <c r="DQ148" i="3"/>
  <c r="DR148" i="3"/>
  <c r="DS148" i="3"/>
  <c r="DT148" i="3"/>
  <c r="DU148" i="3"/>
  <c r="DV148" i="3"/>
  <c r="DW148" i="3"/>
  <c r="DX148" i="3"/>
  <c r="DY148" i="3"/>
  <c r="DZ148" i="3"/>
  <c r="EA148" i="3"/>
  <c r="EB148" i="3"/>
  <c r="EC148" i="3"/>
  <c r="ED148" i="3"/>
  <c r="EE148" i="3"/>
  <c r="EF148" i="3"/>
  <c r="EG148" i="3"/>
  <c r="EH148" i="3"/>
  <c r="EI148" i="3"/>
  <c r="EJ148" i="3"/>
  <c r="EK148" i="3"/>
  <c r="EL148" i="3"/>
  <c r="EM148" i="3"/>
  <c r="EN148" i="3"/>
  <c r="EO148" i="3"/>
  <c r="EP148" i="3"/>
  <c r="EQ148" i="3"/>
  <c r="ER148" i="3"/>
  <c r="ES148" i="3"/>
  <c r="ET148" i="3"/>
  <c r="EU148" i="3"/>
  <c r="EV148" i="3"/>
  <c r="EW148" i="3"/>
  <c r="EX148" i="3"/>
  <c r="EY148" i="3"/>
  <c r="EZ148" i="3"/>
  <c r="FA148" i="3"/>
  <c r="FB148" i="3"/>
  <c r="FC148" i="3"/>
  <c r="FD148" i="3"/>
  <c r="FE148" i="3"/>
  <c r="FF148" i="3"/>
  <c r="FG148" i="3"/>
  <c r="FH148" i="3"/>
  <c r="FI148" i="3"/>
  <c r="FJ148" i="3"/>
  <c r="FK148" i="3"/>
  <c r="FL148" i="3"/>
  <c r="FM148" i="3"/>
  <c r="FN148" i="3"/>
  <c r="FO148" i="3"/>
  <c r="FP148" i="3"/>
  <c r="FQ148" i="3"/>
  <c r="FR148" i="3"/>
  <c r="FS148" i="3"/>
  <c r="FT148" i="3"/>
  <c r="FU148" i="3"/>
  <c r="FV148" i="3"/>
  <c r="FW148" i="3"/>
  <c r="FX148" i="3"/>
  <c r="FY148" i="3"/>
  <c r="FZ148" i="3"/>
  <c r="GA148" i="3"/>
  <c r="GB148" i="3"/>
  <c r="GC148" i="3"/>
  <c r="GD148" i="3"/>
  <c r="GE148" i="3"/>
  <c r="GF148" i="3"/>
  <c r="GG148" i="3"/>
  <c r="GH148" i="3"/>
  <c r="GI148" i="3"/>
  <c r="GJ148" i="3"/>
  <c r="GK148" i="3"/>
  <c r="GL148" i="3"/>
  <c r="GM148" i="3"/>
  <c r="GN148" i="3"/>
  <c r="GO148" i="3"/>
  <c r="GP148" i="3"/>
  <c r="GQ148" i="3"/>
  <c r="GR148" i="3"/>
  <c r="GS148" i="3"/>
  <c r="GT148" i="3"/>
  <c r="GU148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DC99" i="3"/>
  <c r="DD99" i="3"/>
  <c r="DE99" i="3"/>
  <c r="DF99" i="3"/>
  <c r="DG99" i="3"/>
  <c r="DH99" i="3"/>
  <c r="DI99" i="3"/>
  <c r="DJ99" i="3"/>
  <c r="DK99" i="3"/>
  <c r="DL99" i="3"/>
  <c r="DM99" i="3"/>
  <c r="DN99" i="3"/>
  <c r="DO99" i="3"/>
  <c r="DP99" i="3"/>
  <c r="DQ99" i="3"/>
  <c r="DR99" i="3"/>
  <c r="DS99" i="3"/>
  <c r="DT99" i="3"/>
  <c r="DU99" i="3"/>
  <c r="DV99" i="3"/>
  <c r="DW99" i="3"/>
  <c r="DX99" i="3"/>
  <c r="DY99" i="3"/>
  <c r="DZ99" i="3"/>
  <c r="EA99" i="3"/>
  <c r="EB99" i="3"/>
  <c r="EC99" i="3"/>
  <c r="ED99" i="3"/>
  <c r="EE99" i="3"/>
  <c r="EF99" i="3"/>
  <c r="EG99" i="3"/>
  <c r="EH99" i="3"/>
  <c r="EI99" i="3"/>
  <c r="EJ99" i="3"/>
  <c r="EK99" i="3"/>
  <c r="EL99" i="3"/>
  <c r="EM99" i="3"/>
  <c r="EN99" i="3"/>
  <c r="EO99" i="3"/>
  <c r="EP99" i="3"/>
  <c r="EQ99" i="3"/>
  <c r="ER99" i="3"/>
  <c r="ES99" i="3"/>
  <c r="ET99" i="3"/>
  <c r="EU99" i="3"/>
  <c r="EV99" i="3"/>
  <c r="EW99" i="3"/>
  <c r="EX99" i="3"/>
  <c r="EY99" i="3"/>
  <c r="EZ99" i="3"/>
  <c r="FA99" i="3"/>
  <c r="FB99" i="3"/>
  <c r="FC99" i="3"/>
  <c r="FD99" i="3"/>
  <c r="FE99" i="3"/>
  <c r="FF99" i="3"/>
  <c r="FG99" i="3"/>
  <c r="FH99" i="3"/>
  <c r="FI99" i="3"/>
  <c r="FJ99" i="3"/>
  <c r="FK99" i="3"/>
  <c r="FL99" i="3"/>
  <c r="FM99" i="3"/>
  <c r="FN99" i="3"/>
  <c r="FO99" i="3"/>
  <c r="FP99" i="3"/>
  <c r="FQ99" i="3"/>
  <c r="FR99" i="3"/>
  <c r="FS99" i="3"/>
  <c r="FT99" i="3"/>
  <c r="FU99" i="3"/>
  <c r="FV99" i="3"/>
  <c r="FW99" i="3"/>
  <c r="FX99" i="3"/>
  <c r="FY99" i="3"/>
  <c r="FZ99" i="3"/>
  <c r="GA99" i="3"/>
  <c r="GB99" i="3"/>
  <c r="GC99" i="3"/>
  <c r="GD99" i="3"/>
  <c r="GE99" i="3"/>
  <c r="GF99" i="3"/>
  <c r="GG99" i="3"/>
  <c r="GH99" i="3"/>
  <c r="GI99" i="3"/>
  <c r="GJ99" i="3"/>
  <c r="GK99" i="3"/>
  <c r="GL99" i="3"/>
  <c r="GM99" i="3"/>
  <c r="GN99" i="3"/>
  <c r="GO99" i="3"/>
  <c r="GP99" i="3"/>
  <c r="GQ99" i="3"/>
  <c r="GR99" i="3"/>
  <c r="GS99" i="3"/>
  <c r="GT99" i="3"/>
  <c r="GU99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DC100" i="3"/>
  <c r="DD100" i="3"/>
  <c r="DE100" i="3"/>
  <c r="DF100" i="3"/>
  <c r="DG100" i="3"/>
  <c r="DH100" i="3"/>
  <c r="DI100" i="3"/>
  <c r="DJ100" i="3"/>
  <c r="DK100" i="3"/>
  <c r="DL100" i="3"/>
  <c r="DM100" i="3"/>
  <c r="DN100" i="3"/>
  <c r="DO100" i="3"/>
  <c r="DP100" i="3"/>
  <c r="DQ100" i="3"/>
  <c r="DR100" i="3"/>
  <c r="DS100" i="3"/>
  <c r="DT100" i="3"/>
  <c r="DU100" i="3"/>
  <c r="DV100" i="3"/>
  <c r="DW100" i="3"/>
  <c r="DX100" i="3"/>
  <c r="DY100" i="3"/>
  <c r="DZ100" i="3"/>
  <c r="EA100" i="3"/>
  <c r="EB100" i="3"/>
  <c r="EC100" i="3"/>
  <c r="ED100" i="3"/>
  <c r="EE100" i="3"/>
  <c r="EF100" i="3"/>
  <c r="EG100" i="3"/>
  <c r="EH100" i="3"/>
  <c r="EI100" i="3"/>
  <c r="EJ100" i="3"/>
  <c r="EK100" i="3"/>
  <c r="EL100" i="3"/>
  <c r="EM100" i="3"/>
  <c r="EN100" i="3"/>
  <c r="EO100" i="3"/>
  <c r="EP100" i="3"/>
  <c r="EQ100" i="3"/>
  <c r="ER100" i="3"/>
  <c r="ES100" i="3"/>
  <c r="ET100" i="3"/>
  <c r="EU100" i="3"/>
  <c r="EV100" i="3"/>
  <c r="EW100" i="3"/>
  <c r="EX100" i="3"/>
  <c r="EY100" i="3"/>
  <c r="EZ100" i="3"/>
  <c r="FA100" i="3"/>
  <c r="FB100" i="3"/>
  <c r="FC100" i="3"/>
  <c r="FD100" i="3"/>
  <c r="FE100" i="3"/>
  <c r="FF100" i="3"/>
  <c r="FG100" i="3"/>
  <c r="FH100" i="3"/>
  <c r="FI100" i="3"/>
  <c r="FJ100" i="3"/>
  <c r="FK100" i="3"/>
  <c r="FL100" i="3"/>
  <c r="FM100" i="3"/>
  <c r="FN100" i="3"/>
  <c r="FO100" i="3"/>
  <c r="FP100" i="3"/>
  <c r="FQ100" i="3"/>
  <c r="FR100" i="3"/>
  <c r="FS100" i="3"/>
  <c r="FT100" i="3"/>
  <c r="FU100" i="3"/>
  <c r="FV100" i="3"/>
  <c r="FW100" i="3"/>
  <c r="FX100" i="3"/>
  <c r="FY100" i="3"/>
  <c r="FZ100" i="3"/>
  <c r="GA100" i="3"/>
  <c r="GB100" i="3"/>
  <c r="GC100" i="3"/>
  <c r="GD100" i="3"/>
  <c r="GE100" i="3"/>
  <c r="GF100" i="3"/>
  <c r="GG100" i="3"/>
  <c r="GH100" i="3"/>
  <c r="GI100" i="3"/>
  <c r="GJ100" i="3"/>
  <c r="GK100" i="3"/>
  <c r="GL100" i="3"/>
  <c r="GM100" i="3"/>
  <c r="GN100" i="3"/>
  <c r="GO100" i="3"/>
  <c r="GP100" i="3"/>
  <c r="GQ100" i="3"/>
  <c r="GR100" i="3"/>
  <c r="GS100" i="3"/>
  <c r="GT100" i="3"/>
  <c r="GU100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DC101" i="3"/>
  <c r="DD101" i="3"/>
  <c r="DE101" i="3"/>
  <c r="DF101" i="3"/>
  <c r="DG101" i="3"/>
  <c r="DH101" i="3"/>
  <c r="DI101" i="3"/>
  <c r="DJ101" i="3"/>
  <c r="DK101" i="3"/>
  <c r="DL101" i="3"/>
  <c r="DM101" i="3"/>
  <c r="DN101" i="3"/>
  <c r="DO101" i="3"/>
  <c r="DP101" i="3"/>
  <c r="DQ101" i="3"/>
  <c r="DR101" i="3"/>
  <c r="DS101" i="3"/>
  <c r="DT101" i="3"/>
  <c r="DU101" i="3"/>
  <c r="DV101" i="3"/>
  <c r="DW101" i="3"/>
  <c r="DX101" i="3"/>
  <c r="DY101" i="3"/>
  <c r="DZ101" i="3"/>
  <c r="EA101" i="3"/>
  <c r="EB101" i="3"/>
  <c r="EC101" i="3"/>
  <c r="ED101" i="3"/>
  <c r="EE101" i="3"/>
  <c r="EF101" i="3"/>
  <c r="EG101" i="3"/>
  <c r="EH101" i="3"/>
  <c r="EI101" i="3"/>
  <c r="EJ101" i="3"/>
  <c r="EK101" i="3"/>
  <c r="EL101" i="3"/>
  <c r="EM101" i="3"/>
  <c r="EN101" i="3"/>
  <c r="EO101" i="3"/>
  <c r="EP101" i="3"/>
  <c r="EQ101" i="3"/>
  <c r="ER101" i="3"/>
  <c r="ES101" i="3"/>
  <c r="ET101" i="3"/>
  <c r="EU101" i="3"/>
  <c r="EV101" i="3"/>
  <c r="EW101" i="3"/>
  <c r="EX101" i="3"/>
  <c r="EY101" i="3"/>
  <c r="EZ101" i="3"/>
  <c r="FA101" i="3"/>
  <c r="FB101" i="3"/>
  <c r="FC101" i="3"/>
  <c r="FD101" i="3"/>
  <c r="FE101" i="3"/>
  <c r="FF101" i="3"/>
  <c r="FG101" i="3"/>
  <c r="FH101" i="3"/>
  <c r="FI101" i="3"/>
  <c r="FJ101" i="3"/>
  <c r="FK101" i="3"/>
  <c r="FL101" i="3"/>
  <c r="FM101" i="3"/>
  <c r="FN101" i="3"/>
  <c r="FO101" i="3"/>
  <c r="FP101" i="3"/>
  <c r="FQ101" i="3"/>
  <c r="FR101" i="3"/>
  <c r="FS101" i="3"/>
  <c r="FT101" i="3"/>
  <c r="FU101" i="3"/>
  <c r="FV101" i="3"/>
  <c r="FW101" i="3"/>
  <c r="FX101" i="3"/>
  <c r="FY101" i="3"/>
  <c r="FZ101" i="3"/>
  <c r="GA101" i="3"/>
  <c r="GB101" i="3"/>
  <c r="GC101" i="3"/>
  <c r="GD101" i="3"/>
  <c r="GE101" i="3"/>
  <c r="GF101" i="3"/>
  <c r="GG101" i="3"/>
  <c r="GH101" i="3"/>
  <c r="GI101" i="3"/>
  <c r="GJ101" i="3"/>
  <c r="GK101" i="3"/>
  <c r="GL101" i="3"/>
  <c r="GM101" i="3"/>
  <c r="GN101" i="3"/>
  <c r="GO101" i="3"/>
  <c r="GP101" i="3"/>
  <c r="GQ101" i="3"/>
  <c r="GR101" i="3"/>
  <c r="GS101" i="3"/>
  <c r="GT101" i="3"/>
  <c r="GU101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DC102" i="3"/>
  <c r="DD102" i="3"/>
  <c r="DE102" i="3"/>
  <c r="DF102" i="3"/>
  <c r="DG102" i="3"/>
  <c r="DH102" i="3"/>
  <c r="DI102" i="3"/>
  <c r="DJ102" i="3"/>
  <c r="DK102" i="3"/>
  <c r="DL102" i="3"/>
  <c r="DM102" i="3"/>
  <c r="DN102" i="3"/>
  <c r="DO102" i="3"/>
  <c r="DP102" i="3"/>
  <c r="DQ102" i="3"/>
  <c r="DR102" i="3"/>
  <c r="DS102" i="3"/>
  <c r="DT102" i="3"/>
  <c r="DU102" i="3"/>
  <c r="DV102" i="3"/>
  <c r="DW102" i="3"/>
  <c r="DX102" i="3"/>
  <c r="DY102" i="3"/>
  <c r="DZ102" i="3"/>
  <c r="EA102" i="3"/>
  <c r="EB102" i="3"/>
  <c r="EC102" i="3"/>
  <c r="ED102" i="3"/>
  <c r="EE102" i="3"/>
  <c r="EF102" i="3"/>
  <c r="EG102" i="3"/>
  <c r="EH102" i="3"/>
  <c r="EI102" i="3"/>
  <c r="EJ102" i="3"/>
  <c r="EK102" i="3"/>
  <c r="EL102" i="3"/>
  <c r="EM102" i="3"/>
  <c r="EN102" i="3"/>
  <c r="EO102" i="3"/>
  <c r="EP102" i="3"/>
  <c r="EQ102" i="3"/>
  <c r="ER102" i="3"/>
  <c r="ES102" i="3"/>
  <c r="ET102" i="3"/>
  <c r="EU102" i="3"/>
  <c r="EV102" i="3"/>
  <c r="EW102" i="3"/>
  <c r="EX102" i="3"/>
  <c r="EY102" i="3"/>
  <c r="EZ102" i="3"/>
  <c r="FA102" i="3"/>
  <c r="FB102" i="3"/>
  <c r="FC102" i="3"/>
  <c r="FD102" i="3"/>
  <c r="FE102" i="3"/>
  <c r="FF102" i="3"/>
  <c r="FG102" i="3"/>
  <c r="FH102" i="3"/>
  <c r="FI102" i="3"/>
  <c r="FJ102" i="3"/>
  <c r="FK102" i="3"/>
  <c r="FL102" i="3"/>
  <c r="FM102" i="3"/>
  <c r="FN102" i="3"/>
  <c r="FO102" i="3"/>
  <c r="FP102" i="3"/>
  <c r="FQ102" i="3"/>
  <c r="FR102" i="3"/>
  <c r="FS102" i="3"/>
  <c r="FT102" i="3"/>
  <c r="FU102" i="3"/>
  <c r="FV102" i="3"/>
  <c r="FW102" i="3"/>
  <c r="FX102" i="3"/>
  <c r="FY102" i="3"/>
  <c r="FZ102" i="3"/>
  <c r="GA102" i="3"/>
  <c r="GB102" i="3"/>
  <c r="GC102" i="3"/>
  <c r="GD102" i="3"/>
  <c r="GE102" i="3"/>
  <c r="GF102" i="3"/>
  <c r="GG102" i="3"/>
  <c r="GH102" i="3"/>
  <c r="GI102" i="3"/>
  <c r="GJ102" i="3"/>
  <c r="GK102" i="3"/>
  <c r="GL102" i="3"/>
  <c r="GM102" i="3"/>
  <c r="GN102" i="3"/>
  <c r="GO102" i="3"/>
  <c r="GP102" i="3"/>
  <c r="GQ102" i="3"/>
  <c r="GR102" i="3"/>
  <c r="GS102" i="3"/>
  <c r="GT102" i="3"/>
  <c r="GU102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DC103" i="3"/>
  <c r="DD103" i="3"/>
  <c r="DE103" i="3"/>
  <c r="DF103" i="3"/>
  <c r="DG103" i="3"/>
  <c r="DH103" i="3"/>
  <c r="DI103" i="3"/>
  <c r="DJ103" i="3"/>
  <c r="DK103" i="3"/>
  <c r="DL103" i="3"/>
  <c r="DM103" i="3"/>
  <c r="DN103" i="3"/>
  <c r="DO103" i="3"/>
  <c r="DP103" i="3"/>
  <c r="DQ103" i="3"/>
  <c r="DR103" i="3"/>
  <c r="DS103" i="3"/>
  <c r="DT103" i="3"/>
  <c r="DU103" i="3"/>
  <c r="DV103" i="3"/>
  <c r="DW103" i="3"/>
  <c r="DX103" i="3"/>
  <c r="DY103" i="3"/>
  <c r="DZ103" i="3"/>
  <c r="EA103" i="3"/>
  <c r="EB103" i="3"/>
  <c r="EC103" i="3"/>
  <c r="ED103" i="3"/>
  <c r="EE103" i="3"/>
  <c r="EF103" i="3"/>
  <c r="EG103" i="3"/>
  <c r="EH103" i="3"/>
  <c r="EI103" i="3"/>
  <c r="EJ103" i="3"/>
  <c r="EK103" i="3"/>
  <c r="EL103" i="3"/>
  <c r="EM103" i="3"/>
  <c r="EN103" i="3"/>
  <c r="EO103" i="3"/>
  <c r="EP103" i="3"/>
  <c r="EQ103" i="3"/>
  <c r="ER103" i="3"/>
  <c r="ES103" i="3"/>
  <c r="ET103" i="3"/>
  <c r="EU103" i="3"/>
  <c r="EV103" i="3"/>
  <c r="EW103" i="3"/>
  <c r="EX103" i="3"/>
  <c r="EY103" i="3"/>
  <c r="EZ103" i="3"/>
  <c r="FA103" i="3"/>
  <c r="FB103" i="3"/>
  <c r="FC103" i="3"/>
  <c r="FD103" i="3"/>
  <c r="FE103" i="3"/>
  <c r="FF103" i="3"/>
  <c r="FG103" i="3"/>
  <c r="FH103" i="3"/>
  <c r="FI103" i="3"/>
  <c r="FJ103" i="3"/>
  <c r="FK103" i="3"/>
  <c r="FL103" i="3"/>
  <c r="FM103" i="3"/>
  <c r="FN103" i="3"/>
  <c r="FO103" i="3"/>
  <c r="FP103" i="3"/>
  <c r="FQ103" i="3"/>
  <c r="FR103" i="3"/>
  <c r="FS103" i="3"/>
  <c r="FT103" i="3"/>
  <c r="FU103" i="3"/>
  <c r="FV103" i="3"/>
  <c r="FW103" i="3"/>
  <c r="FX103" i="3"/>
  <c r="FY103" i="3"/>
  <c r="FZ103" i="3"/>
  <c r="GA103" i="3"/>
  <c r="GB103" i="3"/>
  <c r="GC103" i="3"/>
  <c r="GD103" i="3"/>
  <c r="GE103" i="3"/>
  <c r="GF103" i="3"/>
  <c r="GG103" i="3"/>
  <c r="GH103" i="3"/>
  <c r="GI103" i="3"/>
  <c r="GJ103" i="3"/>
  <c r="GK103" i="3"/>
  <c r="GL103" i="3"/>
  <c r="GM103" i="3"/>
  <c r="GN103" i="3"/>
  <c r="GO103" i="3"/>
  <c r="GP103" i="3"/>
  <c r="GQ103" i="3"/>
  <c r="GR103" i="3"/>
  <c r="GS103" i="3"/>
  <c r="GT103" i="3"/>
  <c r="GU103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DC104" i="3"/>
  <c r="DD104" i="3"/>
  <c r="DE104" i="3"/>
  <c r="DF104" i="3"/>
  <c r="DG104" i="3"/>
  <c r="DH104" i="3"/>
  <c r="DI104" i="3"/>
  <c r="DJ104" i="3"/>
  <c r="DK104" i="3"/>
  <c r="DL104" i="3"/>
  <c r="DM104" i="3"/>
  <c r="DN104" i="3"/>
  <c r="DO104" i="3"/>
  <c r="DP104" i="3"/>
  <c r="DQ104" i="3"/>
  <c r="DR104" i="3"/>
  <c r="DS104" i="3"/>
  <c r="DT104" i="3"/>
  <c r="DU104" i="3"/>
  <c r="DV104" i="3"/>
  <c r="DW104" i="3"/>
  <c r="DX104" i="3"/>
  <c r="DY104" i="3"/>
  <c r="DZ104" i="3"/>
  <c r="EA104" i="3"/>
  <c r="EB104" i="3"/>
  <c r="EC104" i="3"/>
  <c r="ED104" i="3"/>
  <c r="EE104" i="3"/>
  <c r="EF104" i="3"/>
  <c r="EG104" i="3"/>
  <c r="EH104" i="3"/>
  <c r="EI104" i="3"/>
  <c r="EJ104" i="3"/>
  <c r="EK104" i="3"/>
  <c r="EL104" i="3"/>
  <c r="EM104" i="3"/>
  <c r="EN104" i="3"/>
  <c r="EO104" i="3"/>
  <c r="EP104" i="3"/>
  <c r="EQ104" i="3"/>
  <c r="ER104" i="3"/>
  <c r="ES104" i="3"/>
  <c r="ET104" i="3"/>
  <c r="EU104" i="3"/>
  <c r="EV104" i="3"/>
  <c r="EW104" i="3"/>
  <c r="EX104" i="3"/>
  <c r="EY104" i="3"/>
  <c r="EZ104" i="3"/>
  <c r="FA104" i="3"/>
  <c r="FB104" i="3"/>
  <c r="FC104" i="3"/>
  <c r="FD104" i="3"/>
  <c r="FE104" i="3"/>
  <c r="FF104" i="3"/>
  <c r="FG104" i="3"/>
  <c r="FH104" i="3"/>
  <c r="FI104" i="3"/>
  <c r="FJ104" i="3"/>
  <c r="FK104" i="3"/>
  <c r="FL104" i="3"/>
  <c r="FM104" i="3"/>
  <c r="FN104" i="3"/>
  <c r="FO104" i="3"/>
  <c r="FP104" i="3"/>
  <c r="FQ104" i="3"/>
  <c r="FR104" i="3"/>
  <c r="FS104" i="3"/>
  <c r="FT104" i="3"/>
  <c r="FU104" i="3"/>
  <c r="FV104" i="3"/>
  <c r="FW104" i="3"/>
  <c r="FX104" i="3"/>
  <c r="FY104" i="3"/>
  <c r="FZ104" i="3"/>
  <c r="GA104" i="3"/>
  <c r="GB104" i="3"/>
  <c r="GC104" i="3"/>
  <c r="GD104" i="3"/>
  <c r="GE104" i="3"/>
  <c r="GF104" i="3"/>
  <c r="GG104" i="3"/>
  <c r="GH104" i="3"/>
  <c r="GI104" i="3"/>
  <c r="GJ104" i="3"/>
  <c r="GK104" i="3"/>
  <c r="GL104" i="3"/>
  <c r="GM104" i="3"/>
  <c r="GN104" i="3"/>
  <c r="GO104" i="3"/>
  <c r="GP104" i="3"/>
  <c r="GQ104" i="3"/>
  <c r="GR104" i="3"/>
  <c r="GS104" i="3"/>
  <c r="GT104" i="3"/>
  <c r="GU104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DC71" i="3"/>
  <c r="DD71" i="3"/>
  <c r="DE71" i="3"/>
  <c r="DF71" i="3"/>
  <c r="DG71" i="3"/>
  <c r="DH71" i="3"/>
  <c r="DI71" i="3"/>
  <c r="DJ71" i="3"/>
  <c r="DK71" i="3"/>
  <c r="DL71" i="3"/>
  <c r="DM71" i="3"/>
  <c r="DN71" i="3"/>
  <c r="DO71" i="3"/>
  <c r="DP71" i="3"/>
  <c r="DQ71" i="3"/>
  <c r="DR71" i="3"/>
  <c r="DS71" i="3"/>
  <c r="DT71" i="3"/>
  <c r="DU71" i="3"/>
  <c r="DV71" i="3"/>
  <c r="DW71" i="3"/>
  <c r="DX71" i="3"/>
  <c r="DY71" i="3"/>
  <c r="DZ71" i="3"/>
  <c r="EA71" i="3"/>
  <c r="EB71" i="3"/>
  <c r="EC71" i="3"/>
  <c r="ED71" i="3"/>
  <c r="EE71" i="3"/>
  <c r="EF71" i="3"/>
  <c r="EG71" i="3"/>
  <c r="EH71" i="3"/>
  <c r="EI71" i="3"/>
  <c r="EJ71" i="3"/>
  <c r="EK71" i="3"/>
  <c r="EL71" i="3"/>
  <c r="EM71" i="3"/>
  <c r="EN71" i="3"/>
  <c r="EO71" i="3"/>
  <c r="EP71" i="3"/>
  <c r="EQ71" i="3"/>
  <c r="ER71" i="3"/>
  <c r="ES71" i="3"/>
  <c r="ET71" i="3"/>
  <c r="EU71" i="3"/>
  <c r="EV71" i="3"/>
  <c r="EW71" i="3"/>
  <c r="EX71" i="3"/>
  <c r="EY71" i="3"/>
  <c r="EZ71" i="3"/>
  <c r="FA71" i="3"/>
  <c r="FB71" i="3"/>
  <c r="FC71" i="3"/>
  <c r="FD71" i="3"/>
  <c r="FE71" i="3"/>
  <c r="FF71" i="3"/>
  <c r="FG71" i="3"/>
  <c r="FH71" i="3"/>
  <c r="FI71" i="3"/>
  <c r="FJ71" i="3"/>
  <c r="FK71" i="3"/>
  <c r="FL71" i="3"/>
  <c r="FM71" i="3"/>
  <c r="FN71" i="3"/>
  <c r="FO71" i="3"/>
  <c r="FP71" i="3"/>
  <c r="FQ71" i="3"/>
  <c r="FR71" i="3"/>
  <c r="FS71" i="3"/>
  <c r="FT71" i="3"/>
  <c r="FU71" i="3"/>
  <c r="FV71" i="3"/>
  <c r="FW71" i="3"/>
  <c r="FX71" i="3"/>
  <c r="FY71" i="3"/>
  <c r="FZ71" i="3"/>
  <c r="GA71" i="3"/>
  <c r="GB71" i="3"/>
  <c r="GC71" i="3"/>
  <c r="GD71" i="3"/>
  <c r="GE71" i="3"/>
  <c r="GF71" i="3"/>
  <c r="GG71" i="3"/>
  <c r="GH71" i="3"/>
  <c r="GI71" i="3"/>
  <c r="GJ71" i="3"/>
  <c r="GK71" i="3"/>
  <c r="GL71" i="3"/>
  <c r="GM71" i="3"/>
  <c r="GN71" i="3"/>
  <c r="GO71" i="3"/>
  <c r="GP71" i="3"/>
  <c r="GQ71" i="3"/>
  <c r="GR71" i="3"/>
  <c r="GS71" i="3"/>
  <c r="GT71" i="3"/>
  <c r="GU71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DC72" i="3"/>
  <c r="DD72" i="3"/>
  <c r="DE72" i="3"/>
  <c r="DF72" i="3"/>
  <c r="DG72" i="3"/>
  <c r="DH72" i="3"/>
  <c r="DI72" i="3"/>
  <c r="DJ72" i="3"/>
  <c r="DK72" i="3"/>
  <c r="DL72" i="3"/>
  <c r="DM72" i="3"/>
  <c r="DN72" i="3"/>
  <c r="DO72" i="3"/>
  <c r="DP72" i="3"/>
  <c r="DQ72" i="3"/>
  <c r="DR72" i="3"/>
  <c r="DS72" i="3"/>
  <c r="DT72" i="3"/>
  <c r="DU72" i="3"/>
  <c r="DV72" i="3"/>
  <c r="DW72" i="3"/>
  <c r="DX72" i="3"/>
  <c r="DY72" i="3"/>
  <c r="DZ72" i="3"/>
  <c r="EA72" i="3"/>
  <c r="EB72" i="3"/>
  <c r="EC72" i="3"/>
  <c r="ED72" i="3"/>
  <c r="EE72" i="3"/>
  <c r="EF72" i="3"/>
  <c r="EG72" i="3"/>
  <c r="EH72" i="3"/>
  <c r="EI72" i="3"/>
  <c r="EJ72" i="3"/>
  <c r="EK72" i="3"/>
  <c r="EL72" i="3"/>
  <c r="EM72" i="3"/>
  <c r="EN72" i="3"/>
  <c r="EO72" i="3"/>
  <c r="EP72" i="3"/>
  <c r="EQ72" i="3"/>
  <c r="ER72" i="3"/>
  <c r="ES72" i="3"/>
  <c r="ET72" i="3"/>
  <c r="EU72" i="3"/>
  <c r="EV72" i="3"/>
  <c r="EW72" i="3"/>
  <c r="EX72" i="3"/>
  <c r="EY72" i="3"/>
  <c r="EZ72" i="3"/>
  <c r="FA72" i="3"/>
  <c r="FB72" i="3"/>
  <c r="FC72" i="3"/>
  <c r="FD72" i="3"/>
  <c r="FE72" i="3"/>
  <c r="FF72" i="3"/>
  <c r="FG72" i="3"/>
  <c r="FH72" i="3"/>
  <c r="FI72" i="3"/>
  <c r="FJ72" i="3"/>
  <c r="FK72" i="3"/>
  <c r="FL72" i="3"/>
  <c r="FM72" i="3"/>
  <c r="FN72" i="3"/>
  <c r="FO72" i="3"/>
  <c r="FP72" i="3"/>
  <c r="FQ72" i="3"/>
  <c r="FR72" i="3"/>
  <c r="FS72" i="3"/>
  <c r="FT72" i="3"/>
  <c r="FU72" i="3"/>
  <c r="FV72" i="3"/>
  <c r="FW72" i="3"/>
  <c r="FX72" i="3"/>
  <c r="FY72" i="3"/>
  <c r="FZ72" i="3"/>
  <c r="GA72" i="3"/>
  <c r="GB72" i="3"/>
  <c r="GC72" i="3"/>
  <c r="GD72" i="3"/>
  <c r="GE72" i="3"/>
  <c r="GF72" i="3"/>
  <c r="GG72" i="3"/>
  <c r="GH72" i="3"/>
  <c r="GI72" i="3"/>
  <c r="GJ72" i="3"/>
  <c r="GK72" i="3"/>
  <c r="GL72" i="3"/>
  <c r="GM72" i="3"/>
  <c r="GN72" i="3"/>
  <c r="GO72" i="3"/>
  <c r="GP72" i="3"/>
  <c r="GQ72" i="3"/>
  <c r="GR72" i="3"/>
  <c r="GS72" i="3"/>
  <c r="GT72" i="3"/>
  <c r="GU72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DC73" i="3"/>
  <c r="DD73" i="3"/>
  <c r="DE73" i="3"/>
  <c r="DF73" i="3"/>
  <c r="DG73" i="3"/>
  <c r="DH73" i="3"/>
  <c r="DI73" i="3"/>
  <c r="DJ73" i="3"/>
  <c r="DK73" i="3"/>
  <c r="DL73" i="3"/>
  <c r="DM73" i="3"/>
  <c r="DN73" i="3"/>
  <c r="DO73" i="3"/>
  <c r="DP73" i="3"/>
  <c r="DQ73" i="3"/>
  <c r="DR73" i="3"/>
  <c r="DS73" i="3"/>
  <c r="DT73" i="3"/>
  <c r="DU73" i="3"/>
  <c r="DV73" i="3"/>
  <c r="DW73" i="3"/>
  <c r="DX73" i="3"/>
  <c r="DY73" i="3"/>
  <c r="DZ73" i="3"/>
  <c r="EA73" i="3"/>
  <c r="EB73" i="3"/>
  <c r="EC73" i="3"/>
  <c r="ED73" i="3"/>
  <c r="EE73" i="3"/>
  <c r="EF73" i="3"/>
  <c r="EG73" i="3"/>
  <c r="EH73" i="3"/>
  <c r="EI73" i="3"/>
  <c r="EJ73" i="3"/>
  <c r="EK73" i="3"/>
  <c r="EL73" i="3"/>
  <c r="EM73" i="3"/>
  <c r="EN73" i="3"/>
  <c r="EO73" i="3"/>
  <c r="EP73" i="3"/>
  <c r="EQ73" i="3"/>
  <c r="ER73" i="3"/>
  <c r="ES73" i="3"/>
  <c r="ET73" i="3"/>
  <c r="EU73" i="3"/>
  <c r="EV73" i="3"/>
  <c r="EW73" i="3"/>
  <c r="EX73" i="3"/>
  <c r="EY73" i="3"/>
  <c r="EZ73" i="3"/>
  <c r="FA73" i="3"/>
  <c r="FB73" i="3"/>
  <c r="FC73" i="3"/>
  <c r="FD73" i="3"/>
  <c r="FE73" i="3"/>
  <c r="FF73" i="3"/>
  <c r="FG73" i="3"/>
  <c r="FH73" i="3"/>
  <c r="FI73" i="3"/>
  <c r="FJ73" i="3"/>
  <c r="FK73" i="3"/>
  <c r="FL73" i="3"/>
  <c r="FM73" i="3"/>
  <c r="FN73" i="3"/>
  <c r="FO73" i="3"/>
  <c r="FP73" i="3"/>
  <c r="FQ73" i="3"/>
  <c r="FR73" i="3"/>
  <c r="FS73" i="3"/>
  <c r="FT73" i="3"/>
  <c r="FU73" i="3"/>
  <c r="FV73" i="3"/>
  <c r="FW73" i="3"/>
  <c r="FX73" i="3"/>
  <c r="FY73" i="3"/>
  <c r="FZ73" i="3"/>
  <c r="GA73" i="3"/>
  <c r="GB73" i="3"/>
  <c r="GC73" i="3"/>
  <c r="GD73" i="3"/>
  <c r="GE73" i="3"/>
  <c r="GF73" i="3"/>
  <c r="GG73" i="3"/>
  <c r="GH73" i="3"/>
  <c r="GI73" i="3"/>
  <c r="GJ73" i="3"/>
  <c r="GK73" i="3"/>
  <c r="GL73" i="3"/>
  <c r="GM73" i="3"/>
  <c r="GN73" i="3"/>
  <c r="GO73" i="3"/>
  <c r="GP73" i="3"/>
  <c r="GQ73" i="3"/>
  <c r="GR73" i="3"/>
  <c r="GS73" i="3"/>
  <c r="GT73" i="3"/>
  <c r="GU73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DC74" i="3"/>
  <c r="DD74" i="3"/>
  <c r="DE74" i="3"/>
  <c r="DF74" i="3"/>
  <c r="DG74" i="3"/>
  <c r="DH74" i="3"/>
  <c r="DI74" i="3"/>
  <c r="DJ74" i="3"/>
  <c r="DK74" i="3"/>
  <c r="DL74" i="3"/>
  <c r="DM74" i="3"/>
  <c r="DN74" i="3"/>
  <c r="DO74" i="3"/>
  <c r="DP74" i="3"/>
  <c r="DQ74" i="3"/>
  <c r="DR74" i="3"/>
  <c r="DS74" i="3"/>
  <c r="DT74" i="3"/>
  <c r="DU74" i="3"/>
  <c r="DV74" i="3"/>
  <c r="DW74" i="3"/>
  <c r="DX74" i="3"/>
  <c r="DY74" i="3"/>
  <c r="DZ74" i="3"/>
  <c r="EA74" i="3"/>
  <c r="EB74" i="3"/>
  <c r="EC74" i="3"/>
  <c r="ED74" i="3"/>
  <c r="EE74" i="3"/>
  <c r="EF74" i="3"/>
  <c r="EG74" i="3"/>
  <c r="EH74" i="3"/>
  <c r="EI74" i="3"/>
  <c r="EJ74" i="3"/>
  <c r="EK74" i="3"/>
  <c r="EL74" i="3"/>
  <c r="EM74" i="3"/>
  <c r="EN74" i="3"/>
  <c r="EO74" i="3"/>
  <c r="EP74" i="3"/>
  <c r="EQ74" i="3"/>
  <c r="ER74" i="3"/>
  <c r="ES74" i="3"/>
  <c r="ET74" i="3"/>
  <c r="EU74" i="3"/>
  <c r="EV74" i="3"/>
  <c r="EW74" i="3"/>
  <c r="EX74" i="3"/>
  <c r="EY74" i="3"/>
  <c r="EZ74" i="3"/>
  <c r="FA74" i="3"/>
  <c r="FB74" i="3"/>
  <c r="FC74" i="3"/>
  <c r="FD74" i="3"/>
  <c r="FE74" i="3"/>
  <c r="FF74" i="3"/>
  <c r="FG74" i="3"/>
  <c r="FH74" i="3"/>
  <c r="FI74" i="3"/>
  <c r="FJ74" i="3"/>
  <c r="FK74" i="3"/>
  <c r="FL74" i="3"/>
  <c r="FM74" i="3"/>
  <c r="FN74" i="3"/>
  <c r="FO74" i="3"/>
  <c r="FP74" i="3"/>
  <c r="FQ74" i="3"/>
  <c r="FR74" i="3"/>
  <c r="FS74" i="3"/>
  <c r="FT74" i="3"/>
  <c r="FU74" i="3"/>
  <c r="FV74" i="3"/>
  <c r="FW74" i="3"/>
  <c r="FX74" i="3"/>
  <c r="FY74" i="3"/>
  <c r="FZ74" i="3"/>
  <c r="GA74" i="3"/>
  <c r="GB74" i="3"/>
  <c r="GC74" i="3"/>
  <c r="GD74" i="3"/>
  <c r="GE74" i="3"/>
  <c r="GF74" i="3"/>
  <c r="GG74" i="3"/>
  <c r="GH74" i="3"/>
  <c r="GI74" i="3"/>
  <c r="GJ74" i="3"/>
  <c r="GK74" i="3"/>
  <c r="GL74" i="3"/>
  <c r="GM74" i="3"/>
  <c r="GN74" i="3"/>
  <c r="GO74" i="3"/>
  <c r="GP74" i="3"/>
  <c r="GQ74" i="3"/>
  <c r="GR74" i="3"/>
  <c r="GS74" i="3"/>
  <c r="GT74" i="3"/>
  <c r="GU74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DC75" i="3"/>
  <c r="DD75" i="3"/>
  <c r="DE75" i="3"/>
  <c r="DF75" i="3"/>
  <c r="DG75" i="3"/>
  <c r="DH75" i="3"/>
  <c r="DI75" i="3"/>
  <c r="DJ75" i="3"/>
  <c r="DK75" i="3"/>
  <c r="DL75" i="3"/>
  <c r="DM75" i="3"/>
  <c r="DN75" i="3"/>
  <c r="DO75" i="3"/>
  <c r="DP75" i="3"/>
  <c r="DQ75" i="3"/>
  <c r="DR75" i="3"/>
  <c r="DS75" i="3"/>
  <c r="DT75" i="3"/>
  <c r="DU75" i="3"/>
  <c r="DV75" i="3"/>
  <c r="DW75" i="3"/>
  <c r="DX75" i="3"/>
  <c r="DY75" i="3"/>
  <c r="DZ75" i="3"/>
  <c r="EA75" i="3"/>
  <c r="EB75" i="3"/>
  <c r="EC75" i="3"/>
  <c r="ED75" i="3"/>
  <c r="EE75" i="3"/>
  <c r="EF75" i="3"/>
  <c r="EG75" i="3"/>
  <c r="EH75" i="3"/>
  <c r="EI75" i="3"/>
  <c r="EJ75" i="3"/>
  <c r="EK75" i="3"/>
  <c r="EL75" i="3"/>
  <c r="EM75" i="3"/>
  <c r="EN75" i="3"/>
  <c r="EO75" i="3"/>
  <c r="EP75" i="3"/>
  <c r="EQ75" i="3"/>
  <c r="ER75" i="3"/>
  <c r="ES75" i="3"/>
  <c r="ET75" i="3"/>
  <c r="EU75" i="3"/>
  <c r="EV75" i="3"/>
  <c r="EW75" i="3"/>
  <c r="EX75" i="3"/>
  <c r="EY75" i="3"/>
  <c r="EZ75" i="3"/>
  <c r="FA75" i="3"/>
  <c r="FB75" i="3"/>
  <c r="FC75" i="3"/>
  <c r="FD75" i="3"/>
  <c r="FE75" i="3"/>
  <c r="FF75" i="3"/>
  <c r="FG75" i="3"/>
  <c r="FH75" i="3"/>
  <c r="FI75" i="3"/>
  <c r="FJ75" i="3"/>
  <c r="FK75" i="3"/>
  <c r="FL75" i="3"/>
  <c r="FM75" i="3"/>
  <c r="FN75" i="3"/>
  <c r="FO75" i="3"/>
  <c r="FP75" i="3"/>
  <c r="FQ75" i="3"/>
  <c r="FR75" i="3"/>
  <c r="FS75" i="3"/>
  <c r="FT75" i="3"/>
  <c r="FU75" i="3"/>
  <c r="FV75" i="3"/>
  <c r="FW75" i="3"/>
  <c r="FX75" i="3"/>
  <c r="FY75" i="3"/>
  <c r="FZ75" i="3"/>
  <c r="GA75" i="3"/>
  <c r="GB75" i="3"/>
  <c r="GC75" i="3"/>
  <c r="GD75" i="3"/>
  <c r="GE75" i="3"/>
  <c r="GF75" i="3"/>
  <c r="GG75" i="3"/>
  <c r="GH75" i="3"/>
  <c r="GI75" i="3"/>
  <c r="GJ75" i="3"/>
  <c r="GK75" i="3"/>
  <c r="GL75" i="3"/>
  <c r="GM75" i="3"/>
  <c r="GN75" i="3"/>
  <c r="GO75" i="3"/>
  <c r="GP75" i="3"/>
  <c r="GQ75" i="3"/>
  <c r="GR75" i="3"/>
  <c r="GS75" i="3"/>
  <c r="GT75" i="3"/>
  <c r="GU75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DC76" i="3"/>
  <c r="DD76" i="3"/>
  <c r="DE76" i="3"/>
  <c r="DF76" i="3"/>
  <c r="DG76" i="3"/>
  <c r="DH76" i="3"/>
  <c r="DI76" i="3"/>
  <c r="DJ76" i="3"/>
  <c r="DK76" i="3"/>
  <c r="DL76" i="3"/>
  <c r="DM76" i="3"/>
  <c r="DN76" i="3"/>
  <c r="DO76" i="3"/>
  <c r="DP76" i="3"/>
  <c r="DQ76" i="3"/>
  <c r="DR76" i="3"/>
  <c r="DS76" i="3"/>
  <c r="DT76" i="3"/>
  <c r="DU76" i="3"/>
  <c r="DV76" i="3"/>
  <c r="DW76" i="3"/>
  <c r="DX76" i="3"/>
  <c r="DY76" i="3"/>
  <c r="DZ76" i="3"/>
  <c r="EA76" i="3"/>
  <c r="EB76" i="3"/>
  <c r="EC76" i="3"/>
  <c r="ED76" i="3"/>
  <c r="EE76" i="3"/>
  <c r="EF76" i="3"/>
  <c r="EG76" i="3"/>
  <c r="EH76" i="3"/>
  <c r="EI76" i="3"/>
  <c r="EJ76" i="3"/>
  <c r="EK76" i="3"/>
  <c r="EL76" i="3"/>
  <c r="EM76" i="3"/>
  <c r="EN76" i="3"/>
  <c r="EO76" i="3"/>
  <c r="EP76" i="3"/>
  <c r="EQ76" i="3"/>
  <c r="ER76" i="3"/>
  <c r="ES76" i="3"/>
  <c r="ET76" i="3"/>
  <c r="EU76" i="3"/>
  <c r="EV76" i="3"/>
  <c r="EW76" i="3"/>
  <c r="EX76" i="3"/>
  <c r="EY76" i="3"/>
  <c r="EZ76" i="3"/>
  <c r="FA76" i="3"/>
  <c r="FB76" i="3"/>
  <c r="FC76" i="3"/>
  <c r="FD76" i="3"/>
  <c r="FE76" i="3"/>
  <c r="FF76" i="3"/>
  <c r="FG76" i="3"/>
  <c r="FH76" i="3"/>
  <c r="FI76" i="3"/>
  <c r="FJ76" i="3"/>
  <c r="FK76" i="3"/>
  <c r="FL76" i="3"/>
  <c r="FM76" i="3"/>
  <c r="FN76" i="3"/>
  <c r="FO76" i="3"/>
  <c r="FP76" i="3"/>
  <c r="FQ76" i="3"/>
  <c r="FR76" i="3"/>
  <c r="FS76" i="3"/>
  <c r="FT76" i="3"/>
  <c r="FU76" i="3"/>
  <c r="FV76" i="3"/>
  <c r="FW76" i="3"/>
  <c r="FX76" i="3"/>
  <c r="FY76" i="3"/>
  <c r="FZ76" i="3"/>
  <c r="GA76" i="3"/>
  <c r="GB76" i="3"/>
  <c r="GC76" i="3"/>
  <c r="GD76" i="3"/>
  <c r="GE76" i="3"/>
  <c r="GF76" i="3"/>
  <c r="GG76" i="3"/>
  <c r="GH76" i="3"/>
  <c r="GI76" i="3"/>
  <c r="GJ76" i="3"/>
  <c r="GK76" i="3"/>
  <c r="GL76" i="3"/>
  <c r="GM76" i="3"/>
  <c r="GN76" i="3"/>
  <c r="GO76" i="3"/>
  <c r="GP76" i="3"/>
  <c r="GQ76" i="3"/>
  <c r="GR76" i="3"/>
  <c r="GS76" i="3"/>
  <c r="GT76" i="3"/>
  <c r="GU76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DC77" i="3"/>
  <c r="DD77" i="3"/>
  <c r="DE77" i="3"/>
  <c r="DF77" i="3"/>
  <c r="DG77" i="3"/>
  <c r="DH77" i="3"/>
  <c r="DI77" i="3"/>
  <c r="DJ77" i="3"/>
  <c r="DK77" i="3"/>
  <c r="DL77" i="3"/>
  <c r="DM77" i="3"/>
  <c r="DN77" i="3"/>
  <c r="DO77" i="3"/>
  <c r="DP77" i="3"/>
  <c r="DQ77" i="3"/>
  <c r="DR77" i="3"/>
  <c r="DS77" i="3"/>
  <c r="DT77" i="3"/>
  <c r="DU77" i="3"/>
  <c r="DV77" i="3"/>
  <c r="DW77" i="3"/>
  <c r="DX77" i="3"/>
  <c r="DY77" i="3"/>
  <c r="DZ77" i="3"/>
  <c r="EA77" i="3"/>
  <c r="EB77" i="3"/>
  <c r="EC77" i="3"/>
  <c r="ED77" i="3"/>
  <c r="EE77" i="3"/>
  <c r="EF77" i="3"/>
  <c r="EG77" i="3"/>
  <c r="EH77" i="3"/>
  <c r="EI77" i="3"/>
  <c r="EJ77" i="3"/>
  <c r="EK77" i="3"/>
  <c r="EL77" i="3"/>
  <c r="EM77" i="3"/>
  <c r="EN77" i="3"/>
  <c r="EO77" i="3"/>
  <c r="EP77" i="3"/>
  <c r="EQ77" i="3"/>
  <c r="ER77" i="3"/>
  <c r="ES77" i="3"/>
  <c r="ET77" i="3"/>
  <c r="EU77" i="3"/>
  <c r="EV77" i="3"/>
  <c r="EW77" i="3"/>
  <c r="EX77" i="3"/>
  <c r="EY77" i="3"/>
  <c r="EZ77" i="3"/>
  <c r="FA77" i="3"/>
  <c r="FB77" i="3"/>
  <c r="FC77" i="3"/>
  <c r="FD77" i="3"/>
  <c r="FE77" i="3"/>
  <c r="FF77" i="3"/>
  <c r="FG77" i="3"/>
  <c r="FH77" i="3"/>
  <c r="FI77" i="3"/>
  <c r="FJ77" i="3"/>
  <c r="FK77" i="3"/>
  <c r="FL77" i="3"/>
  <c r="FM77" i="3"/>
  <c r="FN77" i="3"/>
  <c r="FO77" i="3"/>
  <c r="FP77" i="3"/>
  <c r="FQ77" i="3"/>
  <c r="FR77" i="3"/>
  <c r="FS77" i="3"/>
  <c r="FT77" i="3"/>
  <c r="FU77" i="3"/>
  <c r="FV77" i="3"/>
  <c r="FW77" i="3"/>
  <c r="FX77" i="3"/>
  <c r="FY77" i="3"/>
  <c r="FZ77" i="3"/>
  <c r="GA77" i="3"/>
  <c r="GB77" i="3"/>
  <c r="GC77" i="3"/>
  <c r="GD77" i="3"/>
  <c r="GE77" i="3"/>
  <c r="GF77" i="3"/>
  <c r="GG77" i="3"/>
  <c r="GH77" i="3"/>
  <c r="GI77" i="3"/>
  <c r="GJ77" i="3"/>
  <c r="GK77" i="3"/>
  <c r="GL77" i="3"/>
  <c r="GM77" i="3"/>
  <c r="GN77" i="3"/>
  <c r="GO77" i="3"/>
  <c r="GP77" i="3"/>
  <c r="GQ77" i="3"/>
  <c r="GR77" i="3"/>
  <c r="GS77" i="3"/>
  <c r="GT77" i="3"/>
  <c r="GU77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DC78" i="3"/>
  <c r="DD78" i="3"/>
  <c r="DE78" i="3"/>
  <c r="DF78" i="3"/>
  <c r="DG78" i="3"/>
  <c r="DH78" i="3"/>
  <c r="DI78" i="3"/>
  <c r="DJ78" i="3"/>
  <c r="DK78" i="3"/>
  <c r="DL78" i="3"/>
  <c r="DM78" i="3"/>
  <c r="DN78" i="3"/>
  <c r="DO78" i="3"/>
  <c r="DP78" i="3"/>
  <c r="DQ78" i="3"/>
  <c r="DR78" i="3"/>
  <c r="DS78" i="3"/>
  <c r="DT78" i="3"/>
  <c r="DU78" i="3"/>
  <c r="DV78" i="3"/>
  <c r="DW78" i="3"/>
  <c r="DX78" i="3"/>
  <c r="DY78" i="3"/>
  <c r="DZ78" i="3"/>
  <c r="EA78" i="3"/>
  <c r="EB78" i="3"/>
  <c r="EC78" i="3"/>
  <c r="ED78" i="3"/>
  <c r="EE78" i="3"/>
  <c r="EF78" i="3"/>
  <c r="EG78" i="3"/>
  <c r="EH78" i="3"/>
  <c r="EI78" i="3"/>
  <c r="EJ78" i="3"/>
  <c r="EK78" i="3"/>
  <c r="EL78" i="3"/>
  <c r="EM78" i="3"/>
  <c r="EN78" i="3"/>
  <c r="EO78" i="3"/>
  <c r="EP78" i="3"/>
  <c r="EQ78" i="3"/>
  <c r="ER78" i="3"/>
  <c r="ES78" i="3"/>
  <c r="ET78" i="3"/>
  <c r="EU78" i="3"/>
  <c r="EV78" i="3"/>
  <c r="EW78" i="3"/>
  <c r="EX78" i="3"/>
  <c r="EY78" i="3"/>
  <c r="EZ78" i="3"/>
  <c r="FA78" i="3"/>
  <c r="FB78" i="3"/>
  <c r="FC78" i="3"/>
  <c r="FD78" i="3"/>
  <c r="FE78" i="3"/>
  <c r="FF78" i="3"/>
  <c r="FG78" i="3"/>
  <c r="FH78" i="3"/>
  <c r="FI78" i="3"/>
  <c r="FJ78" i="3"/>
  <c r="FK78" i="3"/>
  <c r="FL78" i="3"/>
  <c r="FM78" i="3"/>
  <c r="FN78" i="3"/>
  <c r="FO78" i="3"/>
  <c r="FP78" i="3"/>
  <c r="FQ78" i="3"/>
  <c r="FR78" i="3"/>
  <c r="FS78" i="3"/>
  <c r="FT78" i="3"/>
  <c r="FU78" i="3"/>
  <c r="FV78" i="3"/>
  <c r="FW78" i="3"/>
  <c r="FX78" i="3"/>
  <c r="FY78" i="3"/>
  <c r="FZ78" i="3"/>
  <c r="GA78" i="3"/>
  <c r="GB78" i="3"/>
  <c r="GC78" i="3"/>
  <c r="GD78" i="3"/>
  <c r="GE78" i="3"/>
  <c r="GF78" i="3"/>
  <c r="GG78" i="3"/>
  <c r="GH78" i="3"/>
  <c r="GI78" i="3"/>
  <c r="GJ78" i="3"/>
  <c r="GK78" i="3"/>
  <c r="GL78" i="3"/>
  <c r="GM78" i="3"/>
  <c r="GN78" i="3"/>
  <c r="GO78" i="3"/>
  <c r="GP78" i="3"/>
  <c r="GQ78" i="3"/>
  <c r="GR78" i="3"/>
  <c r="GS78" i="3"/>
  <c r="GT78" i="3"/>
  <c r="GU78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DC79" i="3"/>
  <c r="DD79" i="3"/>
  <c r="DE79" i="3"/>
  <c r="DF79" i="3"/>
  <c r="DG79" i="3"/>
  <c r="DH79" i="3"/>
  <c r="DI79" i="3"/>
  <c r="DJ79" i="3"/>
  <c r="DK79" i="3"/>
  <c r="DL79" i="3"/>
  <c r="DM79" i="3"/>
  <c r="DN79" i="3"/>
  <c r="DO79" i="3"/>
  <c r="DP79" i="3"/>
  <c r="DQ79" i="3"/>
  <c r="DR79" i="3"/>
  <c r="DS79" i="3"/>
  <c r="DT79" i="3"/>
  <c r="DU79" i="3"/>
  <c r="DV79" i="3"/>
  <c r="DW79" i="3"/>
  <c r="DX79" i="3"/>
  <c r="DY79" i="3"/>
  <c r="DZ79" i="3"/>
  <c r="EA79" i="3"/>
  <c r="EB79" i="3"/>
  <c r="EC79" i="3"/>
  <c r="ED79" i="3"/>
  <c r="EE79" i="3"/>
  <c r="EF79" i="3"/>
  <c r="EG79" i="3"/>
  <c r="EH79" i="3"/>
  <c r="EI79" i="3"/>
  <c r="EJ79" i="3"/>
  <c r="EK79" i="3"/>
  <c r="EL79" i="3"/>
  <c r="EM79" i="3"/>
  <c r="EN79" i="3"/>
  <c r="EO79" i="3"/>
  <c r="EP79" i="3"/>
  <c r="EQ79" i="3"/>
  <c r="ER79" i="3"/>
  <c r="ES79" i="3"/>
  <c r="ET79" i="3"/>
  <c r="EU79" i="3"/>
  <c r="EV79" i="3"/>
  <c r="EW79" i="3"/>
  <c r="EX79" i="3"/>
  <c r="EY79" i="3"/>
  <c r="EZ79" i="3"/>
  <c r="FA79" i="3"/>
  <c r="FB79" i="3"/>
  <c r="FC79" i="3"/>
  <c r="FD79" i="3"/>
  <c r="FE79" i="3"/>
  <c r="FF79" i="3"/>
  <c r="FG79" i="3"/>
  <c r="FH79" i="3"/>
  <c r="FI79" i="3"/>
  <c r="FJ79" i="3"/>
  <c r="FK79" i="3"/>
  <c r="FL79" i="3"/>
  <c r="FM79" i="3"/>
  <c r="FN79" i="3"/>
  <c r="FO79" i="3"/>
  <c r="FP79" i="3"/>
  <c r="FQ79" i="3"/>
  <c r="FR79" i="3"/>
  <c r="FS79" i="3"/>
  <c r="FT79" i="3"/>
  <c r="FU79" i="3"/>
  <c r="FV79" i="3"/>
  <c r="FW79" i="3"/>
  <c r="FX79" i="3"/>
  <c r="FY79" i="3"/>
  <c r="FZ79" i="3"/>
  <c r="GA79" i="3"/>
  <c r="GB79" i="3"/>
  <c r="GC79" i="3"/>
  <c r="GD79" i="3"/>
  <c r="GE79" i="3"/>
  <c r="GF79" i="3"/>
  <c r="GG79" i="3"/>
  <c r="GH79" i="3"/>
  <c r="GI79" i="3"/>
  <c r="GJ79" i="3"/>
  <c r="GK79" i="3"/>
  <c r="GL79" i="3"/>
  <c r="GM79" i="3"/>
  <c r="GN79" i="3"/>
  <c r="GO79" i="3"/>
  <c r="GP79" i="3"/>
  <c r="GQ79" i="3"/>
  <c r="GR79" i="3"/>
  <c r="GS79" i="3"/>
  <c r="GT79" i="3"/>
  <c r="GU79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DC80" i="3"/>
  <c r="DD80" i="3"/>
  <c r="DE80" i="3"/>
  <c r="DF80" i="3"/>
  <c r="DG80" i="3"/>
  <c r="DH80" i="3"/>
  <c r="DI80" i="3"/>
  <c r="DJ80" i="3"/>
  <c r="DK80" i="3"/>
  <c r="DL80" i="3"/>
  <c r="DM80" i="3"/>
  <c r="DN80" i="3"/>
  <c r="DO80" i="3"/>
  <c r="DP80" i="3"/>
  <c r="DQ80" i="3"/>
  <c r="DR80" i="3"/>
  <c r="DS80" i="3"/>
  <c r="DT80" i="3"/>
  <c r="DU80" i="3"/>
  <c r="DV80" i="3"/>
  <c r="DW80" i="3"/>
  <c r="DX80" i="3"/>
  <c r="DY80" i="3"/>
  <c r="DZ80" i="3"/>
  <c r="EA80" i="3"/>
  <c r="EB80" i="3"/>
  <c r="EC80" i="3"/>
  <c r="ED80" i="3"/>
  <c r="EE80" i="3"/>
  <c r="EF80" i="3"/>
  <c r="EG80" i="3"/>
  <c r="EH80" i="3"/>
  <c r="EI80" i="3"/>
  <c r="EJ80" i="3"/>
  <c r="EK80" i="3"/>
  <c r="EL80" i="3"/>
  <c r="EM80" i="3"/>
  <c r="EN80" i="3"/>
  <c r="EO80" i="3"/>
  <c r="EP80" i="3"/>
  <c r="EQ80" i="3"/>
  <c r="ER80" i="3"/>
  <c r="ES80" i="3"/>
  <c r="ET80" i="3"/>
  <c r="EU80" i="3"/>
  <c r="EV80" i="3"/>
  <c r="EW80" i="3"/>
  <c r="EX80" i="3"/>
  <c r="EY80" i="3"/>
  <c r="EZ80" i="3"/>
  <c r="FA80" i="3"/>
  <c r="FB80" i="3"/>
  <c r="FC80" i="3"/>
  <c r="FD80" i="3"/>
  <c r="FE80" i="3"/>
  <c r="FF80" i="3"/>
  <c r="FG80" i="3"/>
  <c r="FH80" i="3"/>
  <c r="FI80" i="3"/>
  <c r="FJ80" i="3"/>
  <c r="FK80" i="3"/>
  <c r="FL80" i="3"/>
  <c r="FM80" i="3"/>
  <c r="FN80" i="3"/>
  <c r="FO80" i="3"/>
  <c r="FP80" i="3"/>
  <c r="FQ80" i="3"/>
  <c r="FR80" i="3"/>
  <c r="FS80" i="3"/>
  <c r="FT80" i="3"/>
  <c r="FU80" i="3"/>
  <c r="FV80" i="3"/>
  <c r="FW80" i="3"/>
  <c r="FX80" i="3"/>
  <c r="FY80" i="3"/>
  <c r="FZ80" i="3"/>
  <c r="GA80" i="3"/>
  <c r="GB80" i="3"/>
  <c r="GC80" i="3"/>
  <c r="GD80" i="3"/>
  <c r="GE80" i="3"/>
  <c r="GF80" i="3"/>
  <c r="GG80" i="3"/>
  <c r="GH80" i="3"/>
  <c r="GI80" i="3"/>
  <c r="GJ80" i="3"/>
  <c r="GK80" i="3"/>
  <c r="GL80" i="3"/>
  <c r="GM80" i="3"/>
  <c r="GN80" i="3"/>
  <c r="GO80" i="3"/>
  <c r="GP80" i="3"/>
  <c r="GQ80" i="3"/>
  <c r="GR80" i="3"/>
  <c r="GS80" i="3"/>
  <c r="GT80" i="3"/>
  <c r="GU80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DC81" i="3"/>
  <c r="DD81" i="3"/>
  <c r="DE81" i="3"/>
  <c r="DF81" i="3"/>
  <c r="DG81" i="3"/>
  <c r="DH81" i="3"/>
  <c r="DI81" i="3"/>
  <c r="DJ81" i="3"/>
  <c r="DK81" i="3"/>
  <c r="DL81" i="3"/>
  <c r="DM81" i="3"/>
  <c r="DN81" i="3"/>
  <c r="DO81" i="3"/>
  <c r="DP81" i="3"/>
  <c r="DQ81" i="3"/>
  <c r="DR81" i="3"/>
  <c r="DS81" i="3"/>
  <c r="DT81" i="3"/>
  <c r="DU81" i="3"/>
  <c r="DV81" i="3"/>
  <c r="DW81" i="3"/>
  <c r="DX81" i="3"/>
  <c r="DY81" i="3"/>
  <c r="DZ81" i="3"/>
  <c r="EA81" i="3"/>
  <c r="EB81" i="3"/>
  <c r="EC81" i="3"/>
  <c r="ED81" i="3"/>
  <c r="EE81" i="3"/>
  <c r="EF81" i="3"/>
  <c r="EG81" i="3"/>
  <c r="EH81" i="3"/>
  <c r="EI81" i="3"/>
  <c r="EJ81" i="3"/>
  <c r="EK81" i="3"/>
  <c r="EL81" i="3"/>
  <c r="EM81" i="3"/>
  <c r="EN81" i="3"/>
  <c r="EO81" i="3"/>
  <c r="EP81" i="3"/>
  <c r="EQ81" i="3"/>
  <c r="ER81" i="3"/>
  <c r="ES81" i="3"/>
  <c r="ET81" i="3"/>
  <c r="EU81" i="3"/>
  <c r="EV81" i="3"/>
  <c r="EW81" i="3"/>
  <c r="EX81" i="3"/>
  <c r="EY81" i="3"/>
  <c r="EZ81" i="3"/>
  <c r="FA81" i="3"/>
  <c r="FB81" i="3"/>
  <c r="FC81" i="3"/>
  <c r="FD81" i="3"/>
  <c r="FE81" i="3"/>
  <c r="FF81" i="3"/>
  <c r="FG81" i="3"/>
  <c r="FH81" i="3"/>
  <c r="FI81" i="3"/>
  <c r="FJ81" i="3"/>
  <c r="FK81" i="3"/>
  <c r="FL81" i="3"/>
  <c r="FM81" i="3"/>
  <c r="FN81" i="3"/>
  <c r="FO81" i="3"/>
  <c r="FP81" i="3"/>
  <c r="FQ81" i="3"/>
  <c r="FR81" i="3"/>
  <c r="FS81" i="3"/>
  <c r="FT81" i="3"/>
  <c r="FU81" i="3"/>
  <c r="FV81" i="3"/>
  <c r="FW81" i="3"/>
  <c r="FX81" i="3"/>
  <c r="FY81" i="3"/>
  <c r="FZ81" i="3"/>
  <c r="GA81" i="3"/>
  <c r="GB81" i="3"/>
  <c r="GC81" i="3"/>
  <c r="GD81" i="3"/>
  <c r="GE81" i="3"/>
  <c r="GF81" i="3"/>
  <c r="GG81" i="3"/>
  <c r="GH81" i="3"/>
  <c r="GI81" i="3"/>
  <c r="GJ81" i="3"/>
  <c r="GK81" i="3"/>
  <c r="GL81" i="3"/>
  <c r="GM81" i="3"/>
  <c r="GN81" i="3"/>
  <c r="GO81" i="3"/>
  <c r="GP81" i="3"/>
  <c r="GQ81" i="3"/>
  <c r="GR81" i="3"/>
  <c r="GS81" i="3"/>
  <c r="GT81" i="3"/>
  <c r="GU81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DC82" i="3"/>
  <c r="DD82" i="3"/>
  <c r="DE82" i="3"/>
  <c r="DF82" i="3"/>
  <c r="DG82" i="3"/>
  <c r="DH82" i="3"/>
  <c r="DI82" i="3"/>
  <c r="DJ82" i="3"/>
  <c r="DK82" i="3"/>
  <c r="DL82" i="3"/>
  <c r="DM82" i="3"/>
  <c r="DN82" i="3"/>
  <c r="DO82" i="3"/>
  <c r="DP82" i="3"/>
  <c r="DQ82" i="3"/>
  <c r="DR82" i="3"/>
  <c r="DS82" i="3"/>
  <c r="DT82" i="3"/>
  <c r="DU82" i="3"/>
  <c r="DV82" i="3"/>
  <c r="DW82" i="3"/>
  <c r="DX82" i="3"/>
  <c r="DY82" i="3"/>
  <c r="DZ82" i="3"/>
  <c r="EA82" i="3"/>
  <c r="EB82" i="3"/>
  <c r="EC82" i="3"/>
  <c r="ED82" i="3"/>
  <c r="EE82" i="3"/>
  <c r="EF82" i="3"/>
  <c r="EG82" i="3"/>
  <c r="EH82" i="3"/>
  <c r="EI82" i="3"/>
  <c r="EJ82" i="3"/>
  <c r="EK82" i="3"/>
  <c r="EL82" i="3"/>
  <c r="EM82" i="3"/>
  <c r="EN82" i="3"/>
  <c r="EO82" i="3"/>
  <c r="EP82" i="3"/>
  <c r="EQ82" i="3"/>
  <c r="ER82" i="3"/>
  <c r="ES82" i="3"/>
  <c r="ET82" i="3"/>
  <c r="EU82" i="3"/>
  <c r="EV82" i="3"/>
  <c r="EW82" i="3"/>
  <c r="EX82" i="3"/>
  <c r="EY82" i="3"/>
  <c r="EZ82" i="3"/>
  <c r="FA82" i="3"/>
  <c r="FB82" i="3"/>
  <c r="FC82" i="3"/>
  <c r="FD82" i="3"/>
  <c r="FE82" i="3"/>
  <c r="FF82" i="3"/>
  <c r="FG82" i="3"/>
  <c r="FH82" i="3"/>
  <c r="FI82" i="3"/>
  <c r="FJ82" i="3"/>
  <c r="FK82" i="3"/>
  <c r="FL82" i="3"/>
  <c r="FM82" i="3"/>
  <c r="FN82" i="3"/>
  <c r="FO82" i="3"/>
  <c r="FP82" i="3"/>
  <c r="FQ82" i="3"/>
  <c r="FR82" i="3"/>
  <c r="FS82" i="3"/>
  <c r="FT82" i="3"/>
  <c r="FU82" i="3"/>
  <c r="FV82" i="3"/>
  <c r="FW82" i="3"/>
  <c r="FX82" i="3"/>
  <c r="FY82" i="3"/>
  <c r="FZ82" i="3"/>
  <c r="GA82" i="3"/>
  <c r="GB82" i="3"/>
  <c r="GC82" i="3"/>
  <c r="GD82" i="3"/>
  <c r="GE82" i="3"/>
  <c r="GF82" i="3"/>
  <c r="GG82" i="3"/>
  <c r="GH82" i="3"/>
  <c r="GI82" i="3"/>
  <c r="GJ82" i="3"/>
  <c r="GK82" i="3"/>
  <c r="GL82" i="3"/>
  <c r="GM82" i="3"/>
  <c r="GN82" i="3"/>
  <c r="GO82" i="3"/>
  <c r="GP82" i="3"/>
  <c r="GQ82" i="3"/>
  <c r="GR82" i="3"/>
  <c r="GS82" i="3"/>
  <c r="GT82" i="3"/>
  <c r="GU82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DC83" i="3"/>
  <c r="DD83" i="3"/>
  <c r="DE83" i="3"/>
  <c r="DF83" i="3"/>
  <c r="DG83" i="3"/>
  <c r="DH83" i="3"/>
  <c r="DI83" i="3"/>
  <c r="DJ83" i="3"/>
  <c r="DK83" i="3"/>
  <c r="DL83" i="3"/>
  <c r="DM83" i="3"/>
  <c r="DN83" i="3"/>
  <c r="DO83" i="3"/>
  <c r="DP83" i="3"/>
  <c r="DQ83" i="3"/>
  <c r="DR83" i="3"/>
  <c r="DS83" i="3"/>
  <c r="DT83" i="3"/>
  <c r="DU83" i="3"/>
  <c r="DV83" i="3"/>
  <c r="DW83" i="3"/>
  <c r="DX83" i="3"/>
  <c r="DY83" i="3"/>
  <c r="DZ83" i="3"/>
  <c r="EA83" i="3"/>
  <c r="EB83" i="3"/>
  <c r="EC83" i="3"/>
  <c r="ED83" i="3"/>
  <c r="EE83" i="3"/>
  <c r="EF83" i="3"/>
  <c r="EG83" i="3"/>
  <c r="EH83" i="3"/>
  <c r="EI83" i="3"/>
  <c r="EJ83" i="3"/>
  <c r="EK83" i="3"/>
  <c r="EL83" i="3"/>
  <c r="EM83" i="3"/>
  <c r="EN83" i="3"/>
  <c r="EO83" i="3"/>
  <c r="EP83" i="3"/>
  <c r="EQ83" i="3"/>
  <c r="ER83" i="3"/>
  <c r="ES83" i="3"/>
  <c r="ET83" i="3"/>
  <c r="EU83" i="3"/>
  <c r="EV83" i="3"/>
  <c r="EW83" i="3"/>
  <c r="EX83" i="3"/>
  <c r="EY83" i="3"/>
  <c r="EZ83" i="3"/>
  <c r="FA83" i="3"/>
  <c r="FB83" i="3"/>
  <c r="FC83" i="3"/>
  <c r="FD83" i="3"/>
  <c r="FE83" i="3"/>
  <c r="FF83" i="3"/>
  <c r="FG83" i="3"/>
  <c r="FH83" i="3"/>
  <c r="FI83" i="3"/>
  <c r="FJ83" i="3"/>
  <c r="FK83" i="3"/>
  <c r="FL83" i="3"/>
  <c r="FM83" i="3"/>
  <c r="FN83" i="3"/>
  <c r="FO83" i="3"/>
  <c r="FP83" i="3"/>
  <c r="FQ83" i="3"/>
  <c r="FR83" i="3"/>
  <c r="FS83" i="3"/>
  <c r="FT83" i="3"/>
  <c r="FU83" i="3"/>
  <c r="FV83" i="3"/>
  <c r="FW83" i="3"/>
  <c r="FX83" i="3"/>
  <c r="FY83" i="3"/>
  <c r="FZ83" i="3"/>
  <c r="GA83" i="3"/>
  <c r="GB83" i="3"/>
  <c r="GC83" i="3"/>
  <c r="GD83" i="3"/>
  <c r="GE83" i="3"/>
  <c r="GF83" i="3"/>
  <c r="GG83" i="3"/>
  <c r="GH83" i="3"/>
  <c r="GI83" i="3"/>
  <c r="GJ83" i="3"/>
  <c r="GK83" i="3"/>
  <c r="GL83" i="3"/>
  <c r="GM83" i="3"/>
  <c r="GN83" i="3"/>
  <c r="GO83" i="3"/>
  <c r="GP83" i="3"/>
  <c r="GQ83" i="3"/>
  <c r="GR83" i="3"/>
  <c r="GS83" i="3"/>
  <c r="GT83" i="3"/>
  <c r="GU83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DC84" i="3"/>
  <c r="DD84" i="3"/>
  <c r="DE84" i="3"/>
  <c r="DF84" i="3"/>
  <c r="DG84" i="3"/>
  <c r="DH84" i="3"/>
  <c r="DI84" i="3"/>
  <c r="DJ84" i="3"/>
  <c r="DK84" i="3"/>
  <c r="DL84" i="3"/>
  <c r="DM84" i="3"/>
  <c r="DN84" i="3"/>
  <c r="DO84" i="3"/>
  <c r="DP84" i="3"/>
  <c r="DQ84" i="3"/>
  <c r="DR84" i="3"/>
  <c r="DS84" i="3"/>
  <c r="DT84" i="3"/>
  <c r="DU84" i="3"/>
  <c r="DV84" i="3"/>
  <c r="DW84" i="3"/>
  <c r="DX84" i="3"/>
  <c r="DY84" i="3"/>
  <c r="DZ84" i="3"/>
  <c r="EA84" i="3"/>
  <c r="EB84" i="3"/>
  <c r="EC84" i="3"/>
  <c r="ED84" i="3"/>
  <c r="EE84" i="3"/>
  <c r="EF84" i="3"/>
  <c r="EG84" i="3"/>
  <c r="EH84" i="3"/>
  <c r="EI84" i="3"/>
  <c r="EJ84" i="3"/>
  <c r="EK84" i="3"/>
  <c r="EL84" i="3"/>
  <c r="EM84" i="3"/>
  <c r="EN84" i="3"/>
  <c r="EO84" i="3"/>
  <c r="EP84" i="3"/>
  <c r="EQ84" i="3"/>
  <c r="ER84" i="3"/>
  <c r="ES84" i="3"/>
  <c r="ET84" i="3"/>
  <c r="EU84" i="3"/>
  <c r="EV84" i="3"/>
  <c r="EW84" i="3"/>
  <c r="EX84" i="3"/>
  <c r="EY84" i="3"/>
  <c r="EZ84" i="3"/>
  <c r="FA84" i="3"/>
  <c r="FB84" i="3"/>
  <c r="FC84" i="3"/>
  <c r="FD84" i="3"/>
  <c r="FE84" i="3"/>
  <c r="FF84" i="3"/>
  <c r="FG84" i="3"/>
  <c r="FH84" i="3"/>
  <c r="FI84" i="3"/>
  <c r="FJ84" i="3"/>
  <c r="FK84" i="3"/>
  <c r="FL84" i="3"/>
  <c r="FM84" i="3"/>
  <c r="FN84" i="3"/>
  <c r="FO84" i="3"/>
  <c r="FP84" i="3"/>
  <c r="FQ84" i="3"/>
  <c r="FR84" i="3"/>
  <c r="FS84" i="3"/>
  <c r="FT84" i="3"/>
  <c r="FU84" i="3"/>
  <c r="FV84" i="3"/>
  <c r="FW84" i="3"/>
  <c r="FX84" i="3"/>
  <c r="FY84" i="3"/>
  <c r="FZ84" i="3"/>
  <c r="GA84" i="3"/>
  <c r="GB84" i="3"/>
  <c r="GC84" i="3"/>
  <c r="GD84" i="3"/>
  <c r="GE84" i="3"/>
  <c r="GF84" i="3"/>
  <c r="GG84" i="3"/>
  <c r="GH84" i="3"/>
  <c r="GI84" i="3"/>
  <c r="GJ84" i="3"/>
  <c r="GK84" i="3"/>
  <c r="GL84" i="3"/>
  <c r="GM84" i="3"/>
  <c r="GN84" i="3"/>
  <c r="GO84" i="3"/>
  <c r="GP84" i="3"/>
  <c r="GQ84" i="3"/>
  <c r="GR84" i="3"/>
  <c r="GS84" i="3"/>
  <c r="GT84" i="3"/>
  <c r="GU84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DC85" i="3"/>
  <c r="DD85" i="3"/>
  <c r="DE85" i="3"/>
  <c r="DF85" i="3"/>
  <c r="DG85" i="3"/>
  <c r="DH85" i="3"/>
  <c r="DI85" i="3"/>
  <c r="DJ85" i="3"/>
  <c r="DK85" i="3"/>
  <c r="DL85" i="3"/>
  <c r="DM85" i="3"/>
  <c r="DN85" i="3"/>
  <c r="DO85" i="3"/>
  <c r="DP85" i="3"/>
  <c r="DQ85" i="3"/>
  <c r="DR85" i="3"/>
  <c r="DS85" i="3"/>
  <c r="DT85" i="3"/>
  <c r="DU85" i="3"/>
  <c r="DV85" i="3"/>
  <c r="DW85" i="3"/>
  <c r="DX85" i="3"/>
  <c r="DY85" i="3"/>
  <c r="DZ85" i="3"/>
  <c r="EA85" i="3"/>
  <c r="EB85" i="3"/>
  <c r="EC85" i="3"/>
  <c r="ED85" i="3"/>
  <c r="EE85" i="3"/>
  <c r="EF85" i="3"/>
  <c r="EG85" i="3"/>
  <c r="EH85" i="3"/>
  <c r="EI85" i="3"/>
  <c r="EJ85" i="3"/>
  <c r="EK85" i="3"/>
  <c r="EL85" i="3"/>
  <c r="EM85" i="3"/>
  <c r="EN85" i="3"/>
  <c r="EO85" i="3"/>
  <c r="EP85" i="3"/>
  <c r="EQ85" i="3"/>
  <c r="ER85" i="3"/>
  <c r="ES85" i="3"/>
  <c r="ET85" i="3"/>
  <c r="EU85" i="3"/>
  <c r="EV85" i="3"/>
  <c r="EW85" i="3"/>
  <c r="EX85" i="3"/>
  <c r="EY85" i="3"/>
  <c r="EZ85" i="3"/>
  <c r="FA85" i="3"/>
  <c r="FB85" i="3"/>
  <c r="FC85" i="3"/>
  <c r="FD85" i="3"/>
  <c r="FE85" i="3"/>
  <c r="FF85" i="3"/>
  <c r="FG85" i="3"/>
  <c r="FH85" i="3"/>
  <c r="FI85" i="3"/>
  <c r="FJ85" i="3"/>
  <c r="FK85" i="3"/>
  <c r="FL85" i="3"/>
  <c r="FM85" i="3"/>
  <c r="FN85" i="3"/>
  <c r="FO85" i="3"/>
  <c r="FP85" i="3"/>
  <c r="FQ85" i="3"/>
  <c r="FR85" i="3"/>
  <c r="FS85" i="3"/>
  <c r="FT85" i="3"/>
  <c r="FU85" i="3"/>
  <c r="FV85" i="3"/>
  <c r="FW85" i="3"/>
  <c r="FX85" i="3"/>
  <c r="FY85" i="3"/>
  <c r="FZ85" i="3"/>
  <c r="GA85" i="3"/>
  <c r="GB85" i="3"/>
  <c r="GC85" i="3"/>
  <c r="GD85" i="3"/>
  <c r="GE85" i="3"/>
  <c r="GF85" i="3"/>
  <c r="GG85" i="3"/>
  <c r="GH85" i="3"/>
  <c r="GI85" i="3"/>
  <c r="GJ85" i="3"/>
  <c r="GK85" i="3"/>
  <c r="GL85" i="3"/>
  <c r="GM85" i="3"/>
  <c r="GN85" i="3"/>
  <c r="GO85" i="3"/>
  <c r="GP85" i="3"/>
  <c r="GQ85" i="3"/>
  <c r="GR85" i="3"/>
  <c r="GS85" i="3"/>
  <c r="GT85" i="3"/>
  <c r="GU85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DC86" i="3"/>
  <c r="DD86" i="3"/>
  <c r="DE86" i="3"/>
  <c r="DF86" i="3"/>
  <c r="DG86" i="3"/>
  <c r="DH86" i="3"/>
  <c r="DI86" i="3"/>
  <c r="DJ86" i="3"/>
  <c r="DK86" i="3"/>
  <c r="DL86" i="3"/>
  <c r="DM86" i="3"/>
  <c r="DN86" i="3"/>
  <c r="DO86" i="3"/>
  <c r="DP86" i="3"/>
  <c r="DQ86" i="3"/>
  <c r="DR86" i="3"/>
  <c r="DS86" i="3"/>
  <c r="DT86" i="3"/>
  <c r="DU86" i="3"/>
  <c r="DV86" i="3"/>
  <c r="DW86" i="3"/>
  <c r="DX86" i="3"/>
  <c r="DY86" i="3"/>
  <c r="DZ86" i="3"/>
  <c r="EA86" i="3"/>
  <c r="EB86" i="3"/>
  <c r="EC86" i="3"/>
  <c r="ED86" i="3"/>
  <c r="EE86" i="3"/>
  <c r="EF86" i="3"/>
  <c r="EG86" i="3"/>
  <c r="EH86" i="3"/>
  <c r="EI86" i="3"/>
  <c r="EJ86" i="3"/>
  <c r="EK86" i="3"/>
  <c r="EL86" i="3"/>
  <c r="EM86" i="3"/>
  <c r="EN86" i="3"/>
  <c r="EO86" i="3"/>
  <c r="EP86" i="3"/>
  <c r="EQ86" i="3"/>
  <c r="ER86" i="3"/>
  <c r="ES86" i="3"/>
  <c r="ET86" i="3"/>
  <c r="EU86" i="3"/>
  <c r="EV86" i="3"/>
  <c r="EW86" i="3"/>
  <c r="EX86" i="3"/>
  <c r="EY86" i="3"/>
  <c r="EZ86" i="3"/>
  <c r="FA86" i="3"/>
  <c r="FB86" i="3"/>
  <c r="FC86" i="3"/>
  <c r="FD86" i="3"/>
  <c r="FE86" i="3"/>
  <c r="FF86" i="3"/>
  <c r="FG86" i="3"/>
  <c r="FH86" i="3"/>
  <c r="FI86" i="3"/>
  <c r="FJ86" i="3"/>
  <c r="FK86" i="3"/>
  <c r="FL86" i="3"/>
  <c r="FM86" i="3"/>
  <c r="FN86" i="3"/>
  <c r="FO86" i="3"/>
  <c r="FP86" i="3"/>
  <c r="FQ86" i="3"/>
  <c r="FR86" i="3"/>
  <c r="FS86" i="3"/>
  <c r="FT86" i="3"/>
  <c r="FU86" i="3"/>
  <c r="FV86" i="3"/>
  <c r="FW86" i="3"/>
  <c r="FX86" i="3"/>
  <c r="FY86" i="3"/>
  <c r="FZ86" i="3"/>
  <c r="GA86" i="3"/>
  <c r="GB86" i="3"/>
  <c r="GC86" i="3"/>
  <c r="GD86" i="3"/>
  <c r="GE86" i="3"/>
  <c r="GF86" i="3"/>
  <c r="GG86" i="3"/>
  <c r="GH86" i="3"/>
  <c r="GI86" i="3"/>
  <c r="GJ86" i="3"/>
  <c r="GK86" i="3"/>
  <c r="GL86" i="3"/>
  <c r="GM86" i="3"/>
  <c r="GN86" i="3"/>
  <c r="GO86" i="3"/>
  <c r="GP86" i="3"/>
  <c r="GQ86" i="3"/>
  <c r="GR86" i="3"/>
  <c r="GS86" i="3"/>
  <c r="GT86" i="3"/>
  <c r="GU86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DC87" i="3"/>
  <c r="DD87" i="3"/>
  <c r="DE87" i="3"/>
  <c r="DF87" i="3"/>
  <c r="DG87" i="3"/>
  <c r="DH87" i="3"/>
  <c r="DI87" i="3"/>
  <c r="DJ87" i="3"/>
  <c r="DK87" i="3"/>
  <c r="DL87" i="3"/>
  <c r="DM87" i="3"/>
  <c r="DN87" i="3"/>
  <c r="DO87" i="3"/>
  <c r="DP87" i="3"/>
  <c r="DQ87" i="3"/>
  <c r="DR87" i="3"/>
  <c r="DS87" i="3"/>
  <c r="DT87" i="3"/>
  <c r="DU87" i="3"/>
  <c r="DV87" i="3"/>
  <c r="DW87" i="3"/>
  <c r="DX87" i="3"/>
  <c r="DY87" i="3"/>
  <c r="DZ87" i="3"/>
  <c r="EA87" i="3"/>
  <c r="EB87" i="3"/>
  <c r="EC87" i="3"/>
  <c r="ED87" i="3"/>
  <c r="EE87" i="3"/>
  <c r="EF87" i="3"/>
  <c r="EG87" i="3"/>
  <c r="EH87" i="3"/>
  <c r="EI87" i="3"/>
  <c r="EJ87" i="3"/>
  <c r="EK87" i="3"/>
  <c r="EL87" i="3"/>
  <c r="EM87" i="3"/>
  <c r="EN87" i="3"/>
  <c r="EO87" i="3"/>
  <c r="EP87" i="3"/>
  <c r="EQ87" i="3"/>
  <c r="ER87" i="3"/>
  <c r="ES87" i="3"/>
  <c r="ET87" i="3"/>
  <c r="EU87" i="3"/>
  <c r="EV87" i="3"/>
  <c r="EW87" i="3"/>
  <c r="EX87" i="3"/>
  <c r="EY87" i="3"/>
  <c r="EZ87" i="3"/>
  <c r="FA87" i="3"/>
  <c r="FB87" i="3"/>
  <c r="FC87" i="3"/>
  <c r="FD87" i="3"/>
  <c r="FE87" i="3"/>
  <c r="FF87" i="3"/>
  <c r="FG87" i="3"/>
  <c r="FH87" i="3"/>
  <c r="FI87" i="3"/>
  <c r="FJ87" i="3"/>
  <c r="FK87" i="3"/>
  <c r="FL87" i="3"/>
  <c r="FM87" i="3"/>
  <c r="FN87" i="3"/>
  <c r="FO87" i="3"/>
  <c r="FP87" i="3"/>
  <c r="FQ87" i="3"/>
  <c r="FR87" i="3"/>
  <c r="FS87" i="3"/>
  <c r="FT87" i="3"/>
  <c r="FU87" i="3"/>
  <c r="FV87" i="3"/>
  <c r="FW87" i="3"/>
  <c r="FX87" i="3"/>
  <c r="FY87" i="3"/>
  <c r="FZ87" i="3"/>
  <c r="GA87" i="3"/>
  <c r="GB87" i="3"/>
  <c r="GC87" i="3"/>
  <c r="GD87" i="3"/>
  <c r="GE87" i="3"/>
  <c r="GF87" i="3"/>
  <c r="GG87" i="3"/>
  <c r="GH87" i="3"/>
  <c r="GI87" i="3"/>
  <c r="GJ87" i="3"/>
  <c r="GK87" i="3"/>
  <c r="GL87" i="3"/>
  <c r="GM87" i="3"/>
  <c r="GN87" i="3"/>
  <c r="GO87" i="3"/>
  <c r="GP87" i="3"/>
  <c r="GQ87" i="3"/>
  <c r="GR87" i="3"/>
  <c r="GS87" i="3"/>
  <c r="GT87" i="3"/>
  <c r="GU87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DC88" i="3"/>
  <c r="DD88" i="3"/>
  <c r="DE88" i="3"/>
  <c r="DF88" i="3"/>
  <c r="DG88" i="3"/>
  <c r="DH88" i="3"/>
  <c r="DI88" i="3"/>
  <c r="DJ88" i="3"/>
  <c r="DK88" i="3"/>
  <c r="DL88" i="3"/>
  <c r="DM88" i="3"/>
  <c r="DN88" i="3"/>
  <c r="DO88" i="3"/>
  <c r="DP88" i="3"/>
  <c r="DQ88" i="3"/>
  <c r="DR88" i="3"/>
  <c r="DS88" i="3"/>
  <c r="DT88" i="3"/>
  <c r="DU88" i="3"/>
  <c r="DV88" i="3"/>
  <c r="DW88" i="3"/>
  <c r="DX88" i="3"/>
  <c r="DY88" i="3"/>
  <c r="DZ88" i="3"/>
  <c r="EA88" i="3"/>
  <c r="EB88" i="3"/>
  <c r="EC88" i="3"/>
  <c r="ED88" i="3"/>
  <c r="EE88" i="3"/>
  <c r="EF88" i="3"/>
  <c r="EG88" i="3"/>
  <c r="EH88" i="3"/>
  <c r="EI88" i="3"/>
  <c r="EJ88" i="3"/>
  <c r="EK88" i="3"/>
  <c r="EL88" i="3"/>
  <c r="EM88" i="3"/>
  <c r="EN88" i="3"/>
  <c r="EO88" i="3"/>
  <c r="EP88" i="3"/>
  <c r="EQ88" i="3"/>
  <c r="ER88" i="3"/>
  <c r="ES88" i="3"/>
  <c r="ET88" i="3"/>
  <c r="EU88" i="3"/>
  <c r="EV88" i="3"/>
  <c r="EW88" i="3"/>
  <c r="EX88" i="3"/>
  <c r="EY88" i="3"/>
  <c r="EZ88" i="3"/>
  <c r="FA88" i="3"/>
  <c r="FB88" i="3"/>
  <c r="FC88" i="3"/>
  <c r="FD88" i="3"/>
  <c r="FE88" i="3"/>
  <c r="FF88" i="3"/>
  <c r="FG88" i="3"/>
  <c r="FH88" i="3"/>
  <c r="FI88" i="3"/>
  <c r="FJ88" i="3"/>
  <c r="FK88" i="3"/>
  <c r="FL88" i="3"/>
  <c r="FM88" i="3"/>
  <c r="FN88" i="3"/>
  <c r="FO88" i="3"/>
  <c r="FP88" i="3"/>
  <c r="FQ88" i="3"/>
  <c r="FR88" i="3"/>
  <c r="FS88" i="3"/>
  <c r="FT88" i="3"/>
  <c r="FU88" i="3"/>
  <c r="FV88" i="3"/>
  <c r="FW88" i="3"/>
  <c r="FX88" i="3"/>
  <c r="FY88" i="3"/>
  <c r="FZ88" i="3"/>
  <c r="GA88" i="3"/>
  <c r="GB88" i="3"/>
  <c r="GC88" i="3"/>
  <c r="GD88" i="3"/>
  <c r="GE88" i="3"/>
  <c r="GF88" i="3"/>
  <c r="GG88" i="3"/>
  <c r="GH88" i="3"/>
  <c r="GI88" i="3"/>
  <c r="GJ88" i="3"/>
  <c r="GK88" i="3"/>
  <c r="GL88" i="3"/>
  <c r="GM88" i="3"/>
  <c r="GN88" i="3"/>
  <c r="GO88" i="3"/>
  <c r="GP88" i="3"/>
  <c r="GQ88" i="3"/>
  <c r="GR88" i="3"/>
  <c r="GS88" i="3"/>
  <c r="GT88" i="3"/>
  <c r="GU88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DC89" i="3"/>
  <c r="DD89" i="3"/>
  <c r="DE89" i="3"/>
  <c r="DF89" i="3"/>
  <c r="DG89" i="3"/>
  <c r="DH89" i="3"/>
  <c r="DI89" i="3"/>
  <c r="DJ89" i="3"/>
  <c r="DK89" i="3"/>
  <c r="DL89" i="3"/>
  <c r="DM89" i="3"/>
  <c r="DN89" i="3"/>
  <c r="DO89" i="3"/>
  <c r="DP89" i="3"/>
  <c r="DQ89" i="3"/>
  <c r="DR89" i="3"/>
  <c r="DS89" i="3"/>
  <c r="DT89" i="3"/>
  <c r="DU89" i="3"/>
  <c r="DV89" i="3"/>
  <c r="DW89" i="3"/>
  <c r="DX89" i="3"/>
  <c r="DY89" i="3"/>
  <c r="DZ89" i="3"/>
  <c r="EA89" i="3"/>
  <c r="EB89" i="3"/>
  <c r="EC89" i="3"/>
  <c r="ED89" i="3"/>
  <c r="EE89" i="3"/>
  <c r="EF89" i="3"/>
  <c r="EG89" i="3"/>
  <c r="EH89" i="3"/>
  <c r="EI89" i="3"/>
  <c r="EJ89" i="3"/>
  <c r="EK89" i="3"/>
  <c r="EL89" i="3"/>
  <c r="EM89" i="3"/>
  <c r="EN89" i="3"/>
  <c r="EO89" i="3"/>
  <c r="EP89" i="3"/>
  <c r="EQ89" i="3"/>
  <c r="ER89" i="3"/>
  <c r="ES89" i="3"/>
  <c r="ET89" i="3"/>
  <c r="EU89" i="3"/>
  <c r="EV89" i="3"/>
  <c r="EW89" i="3"/>
  <c r="EX89" i="3"/>
  <c r="EY89" i="3"/>
  <c r="EZ89" i="3"/>
  <c r="FA89" i="3"/>
  <c r="FB89" i="3"/>
  <c r="FC89" i="3"/>
  <c r="FD89" i="3"/>
  <c r="FE89" i="3"/>
  <c r="FF89" i="3"/>
  <c r="FG89" i="3"/>
  <c r="FH89" i="3"/>
  <c r="FI89" i="3"/>
  <c r="FJ89" i="3"/>
  <c r="FK89" i="3"/>
  <c r="FL89" i="3"/>
  <c r="FM89" i="3"/>
  <c r="FN89" i="3"/>
  <c r="FO89" i="3"/>
  <c r="FP89" i="3"/>
  <c r="FQ89" i="3"/>
  <c r="FR89" i="3"/>
  <c r="FS89" i="3"/>
  <c r="FT89" i="3"/>
  <c r="FU89" i="3"/>
  <c r="FV89" i="3"/>
  <c r="FW89" i="3"/>
  <c r="FX89" i="3"/>
  <c r="FY89" i="3"/>
  <c r="FZ89" i="3"/>
  <c r="GA89" i="3"/>
  <c r="GB89" i="3"/>
  <c r="GC89" i="3"/>
  <c r="GD89" i="3"/>
  <c r="GE89" i="3"/>
  <c r="GF89" i="3"/>
  <c r="GG89" i="3"/>
  <c r="GH89" i="3"/>
  <c r="GI89" i="3"/>
  <c r="GJ89" i="3"/>
  <c r="GK89" i="3"/>
  <c r="GL89" i="3"/>
  <c r="GM89" i="3"/>
  <c r="GN89" i="3"/>
  <c r="GO89" i="3"/>
  <c r="GP89" i="3"/>
  <c r="GQ89" i="3"/>
  <c r="GR89" i="3"/>
  <c r="GS89" i="3"/>
  <c r="GT89" i="3"/>
  <c r="GU89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DC90" i="3"/>
  <c r="DD90" i="3"/>
  <c r="DE90" i="3"/>
  <c r="DF90" i="3"/>
  <c r="DG90" i="3"/>
  <c r="DH90" i="3"/>
  <c r="DI90" i="3"/>
  <c r="DJ90" i="3"/>
  <c r="DK90" i="3"/>
  <c r="DL90" i="3"/>
  <c r="DM90" i="3"/>
  <c r="DN90" i="3"/>
  <c r="DO90" i="3"/>
  <c r="DP90" i="3"/>
  <c r="DQ90" i="3"/>
  <c r="DR90" i="3"/>
  <c r="DS90" i="3"/>
  <c r="DT90" i="3"/>
  <c r="DU90" i="3"/>
  <c r="DV90" i="3"/>
  <c r="DW90" i="3"/>
  <c r="DX90" i="3"/>
  <c r="DY90" i="3"/>
  <c r="DZ90" i="3"/>
  <c r="EA90" i="3"/>
  <c r="EB90" i="3"/>
  <c r="EC90" i="3"/>
  <c r="ED90" i="3"/>
  <c r="EE90" i="3"/>
  <c r="EF90" i="3"/>
  <c r="EG90" i="3"/>
  <c r="EH90" i="3"/>
  <c r="EI90" i="3"/>
  <c r="EJ90" i="3"/>
  <c r="EK90" i="3"/>
  <c r="EL90" i="3"/>
  <c r="EM90" i="3"/>
  <c r="EN90" i="3"/>
  <c r="EO90" i="3"/>
  <c r="EP90" i="3"/>
  <c r="EQ90" i="3"/>
  <c r="ER90" i="3"/>
  <c r="ES90" i="3"/>
  <c r="ET90" i="3"/>
  <c r="EU90" i="3"/>
  <c r="EV90" i="3"/>
  <c r="EW90" i="3"/>
  <c r="EX90" i="3"/>
  <c r="EY90" i="3"/>
  <c r="EZ90" i="3"/>
  <c r="FA90" i="3"/>
  <c r="FB90" i="3"/>
  <c r="FC90" i="3"/>
  <c r="FD90" i="3"/>
  <c r="FE90" i="3"/>
  <c r="FF90" i="3"/>
  <c r="FG90" i="3"/>
  <c r="FH90" i="3"/>
  <c r="FI90" i="3"/>
  <c r="FJ90" i="3"/>
  <c r="FK90" i="3"/>
  <c r="FL90" i="3"/>
  <c r="FM90" i="3"/>
  <c r="FN90" i="3"/>
  <c r="FO90" i="3"/>
  <c r="FP90" i="3"/>
  <c r="FQ90" i="3"/>
  <c r="FR90" i="3"/>
  <c r="FS90" i="3"/>
  <c r="FT90" i="3"/>
  <c r="FU90" i="3"/>
  <c r="FV90" i="3"/>
  <c r="FW90" i="3"/>
  <c r="FX90" i="3"/>
  <c r="FY90" i="3"/>
  <c r="FZ90" i="3"/>
  <c r="GA90" i="3"/>
  <c r="GB90" i="3"/>
  <c r="GC90" i="3"/>
  <c r="GD90" i="3"/>
  <c r="GE90" i="3"/>
  <c r="GF90" i="3"/>
  <c r="GG90" i="3"/>
  <c r="GH90" i="3"/>
  <c r="GI90" i="3"/>
  <c r="GJ90" i="3"/>
  <c r="GK90" i="3"/>
  <c r="GL90" i="3"/>
  <c r="GM90" i="3"/>
  <c r="GN90" i="3"/>
  <c r="GO90" i="3"/>
  <c r="GP90" i="3"/>
  <c r="GQ90" i="3"/>
  <c r="GR90" i="3"/>
  <c r="GS90" i="3"/>
  <c r="GT90" i="3"/>
  <c r="GU90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DC91" i="3"/>
  <c r="DD91" i="3"/>
  <c r="DE91" i="3"/>
  <c r="DF91" i="3"/>
  <c r="DG91" i="3"/>
  <c r="DH91" i="3"/>
  <c r="DI91" i="3"/>
  <c r="DJ91" i="3"/>
  <c r="DK91" i="3"/>
  <c r="DL91" i="3"/>
  <c r="DM91" i="3"/>
  <c r="DN91" i="3"/>
  <c r="DO91" i="3"/>
  <c r="DP91" i="3"/>
  <c r="DQ91" i="3"/>
  <c r="DR91" i="3"/>
  <c r="DS91" i="3"/>
  <c r="DT91" i="3"/>
  <c r="DU91" i="3"/>
  <c r="DV91" i="3"/>
  <c r="DW91" i="3"/>
  <c r="DX91" i="3"/>
  <c r="DY91" i="3"/>
  <c r="DZ91" i="3"/>
  <c r="EA91" i="3"/>
  <c r="EB91" i="3"/>
  <c r="EC91" i="3"/>
  <c r="ED91" i="3"/>
  <c r="EE91" i="3"/>
  <c r="EF91" i="3"/>
  <c r="EG91" i="3"/>
  <c r="EH91" i="3"/>
  <c r="EI91" i="3"/>
  <c r="EJ91" i="3"/>
  <c r="EK91" i="3"/>
  <c r="EL91" i="3"/>
  <c r="EM91" i="3"/>
  <c r="EN91" i="3"/>
  <c r="EO91" i="3"/>
  <c r="EP91" i="3"/>
  <c r="EQ91" i="3"/>
  <c r="ER91" i="3"/>
  <c r="ES91" i="3"/>
  <c r="ET91" i="3"/>
  <c r="EU91" i="3"/>
  <c r="EV91" i="3"/>
  <c r="EW91" i="3"/>
  <c r="EX91" i="3"/>
  <c r="EY91" i="3"/>
  <c r="EZ91" i="3"/>
  <c r="FA91" i="3"/>
  <c r="FB91" i="3"/>
  <c r="FC91" i="3"/>
  <c r="FD91" i="3"/>
  <c r="FE91" i="3"/>
  <c r="FF91" i="3"/>
  <c r="FG91" i="3"/>
  <c r="FH91" i="3"/>
  <c r="FI91" i="3"/>
  <c r="FJ91" i="3"/>
  <c r="FK91" i="3"/>
  <c r="FL91" i="3"/>
  <c r="FM91" i="3"/>
  <c r="FN91" i="3"/>
  <c r="FO91" i="3"/>
  <c r="FP91" i="3"/>
  <c r="FQ91" i="3"/>
  <c r="FR91" i="3"/>
  <c r="FS91" i="3"/>
  <c r="FT91" i="3"/>
  <c r="FU91" i="3"/>
  <c r="FV91" i="3"/>
  <c r="FW91" i="3"/>
  <c r="FX91" i="3"/>
  <c r="FY91" i="3"/>
  <c r="FZ91" i="3"/>
  <c r="GA91" i="3"/>
  <c r="GB91" i="3"/>
  <c r="GC91" i="3"/>
  <c r="GD91" i="3"/>
  <c r="GE91" i="3"/>
  <c r="GF91" i="3"/>
  <c r="GG91" i="3"/>
  <c r="GH91" i="3"/>
  <c r="GI91" i="3"/>
  <c r="GJ91" i="3"/>
  <c r="GK91" i="3"/>
  <c r="GL91" i="3"/>
  <c r="GM91" i="3"/>
  <c r="GN91" i="3"/>
  <c r="GO91" i="3"/>
  <c r="GP91" i="3"/>
  <c r="GQ91" i="3"/>
  <c r="GR91" i="3"/>
  <c r="GS91" i="3"/>
  <c r="GT91" i="3"/>
  <c r="GU91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DC92" i="3"/>
  <c r="DD92" i="3"/>
  <c r="DE92" i="3"/>
  <c r="DF92" i="3"/>
  <c r="DG92" i="3"/>
  <c r="DH92" i="3"/>
  <c r="DI92" i="3"/>
  <c r="DJ92" i="3"/>
  <c r="DK92" i="3"/>
  <c r="DL92" i="3"/>
  <c r="DM92" i="3"/>
  <c r="DN92" i="3"/>
  <c r="DO92" i="3"/>
  <c r="DP92" i="3"/>
  <c r="DQ92" i="3"/>
  <c r="DR92" i="3"/>
  <c r="DS92" i="3"/>
  <c r="DT92" i="3"/>
  <c r="DU92" i="3"/>
  <c r="DV92" i="3"/>
  <c r="DW92" i="3"/>
  <c r="DX92" i="3"/>
  <c r="DY92" i="3"/>
  <c r="DZ92" i="3"/>
  <c r="EA92" i="3"/>
  <c r="EB92" i="3"/>
  <c r="EC92" i="3"/>
  <c r="ED92" i="3"/>
  <c r="EE92" i="3"/>
  <c r="EF92" i="3"/>
  <c r="EG92" i="3"/>
  <c r="EH92" i="3"/>
  <c r="EI92" i="3"/>
  <c r="EJ92" i="3"/>
  <c r="EK92" i="3"/>
  <c r="EL92" i="3"/>
  <c r="EM92" i="3"/>
  <c r="EN92" i="3"/>
  <c r="EO92" i="3"/>
  <c r="EP92" i="3"/>
  <c r="EQ92" i="3"/>
  <c r="ER92" i="3"/>
  <c r="ES92" i="3"/>
  <c r="ET92" i="3"/>
  <c r="EU92" i="3"/>
  <c r="EV92" i="3"/>
  <c r="EW92" i="3"/>
  <c r="EX92" i="3"/>
  <c r="EY92" i="3"/>
  <c r="EZ92" i="3"/>
  <c r="FA92" i="3"/>
  <c r="FB92" i="3"/>
  <c r="FC92" i="3"/>
  <c r="FD92" i="3"/>
  <c r="FE92" i="3"/>
  <c r="FF92" i="3"/>
  <c r="FG92" i="3"/>
  <c r="FH92" i="3"/>
  <c r="FI92" i="3"/>
  <c r="FJ92" i="3"/>
  <c r="FK92" i="3"/>
  <c r="FL92" i="3"/>
  <c r="FM92" i="3"/>
  <c r="FN92" i="3"/>
  <c r="FO92" i="3"/>
  <c r="FP92" i="3"/>
  <c r="FQ92" i="3"/>
  <c r="FR92" i="3"/>
  <c r="FS92" i="3"/>
  <c r="FT92" i="3"/>
  <c r="FU92" i="3"/>
  <c r="FV92" i="3"/>
  <c r="FW92" i="3"/>
  <c r="FX92" i="3"/>
  <c r="FY92" i="3"/>
  <c r="FZ92" i="3"/>
  <c r="GA92" i="3"/>
  <c r="GB92" i="3"/>
  <c r="GC92" i="3"/>
  <c r="GD92" i="3"/>
  <c r="GE92" i="3"/>
  <c r="GF92" i="3"/>
  <c r="GG92" i="3"/>
  <c r="GH92" i="3"/>
  <c r="GI92" i="3"/>
  <c r="GJ92" i="3"/>
  <c r="GK92" i="3"/>
  <c r="GL92" i="3"/>
  <c r="GM92" i="3"/>
  <c r="GN92" i="3"/>
  <c r="GO92" i="3"/>
  <c r="GP92" i="3"/>
  <c r="GQ92" i="3"/>
  <c r="GR92" i="3"/>
  <c r="GS92" i="3"/>
  <c r="GT92" i="3"/>
  <c r="GU92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DC93" i="3"/>
  <c r="DD93" i="3"/>
  <c r="DE93" i="3"/>
  <c r="DF93" i="3"/>
  <c r="DG93" i="3"/>
  <c r="DH93" i="3"/>
  <c r="DI93" i="3"/>
  <c r="DJ93" i="3"/>
  <c r="DK93" i="3"/>
  <c r="DL93" i="3"/>
  <c r="DM93" i="3"/>
  <c r="DN93" i="3"/>
  <c r="DO93" i="3"/>
  <c r="DP93" i="3"/>
  <c r="DQ93" i="3"/>
  <c r="DR93" i="3"/>
  <c r="DS93" i="3"/>
  <c r="DT93" i="3"/>
  <c r="DU93" i="3"/>
  <c r="DV93" i="3"/>
  <c r="DW93" i="3"/>
  <c r="DX93" i="3"/>
  <c r="DY93" i="3"/>
  <c r="DZ93" i="3"/>
  <c r="EA93" i="3"/>
  <c r="EB93" i="3"/>
  <c r="EC93" i="3"/>
  <c r="ED93" i="3"/>
  <c r="EE93" i="3"/>
  <c r="EF93" i="3"/>
  <c r="EG93" i="3"/>
  <c r="EH93" i="3"/>
  <c r="EI93" i="3"/>
  <c r="EJ93" i="3"/>
  <c r="EK93" i="3"/>
  <c r="EL93" i="3"/>
  <c r="EM93" i="3"/>
  <c r="EN93" i="3"/>
  <c r="EO93" i="3"/>
  <c r="EP93" i="3"/>
  <c r="EQ93" i="3"/>
  <c r="ER93" i="3"/>
  <c r="ES93" i="3"/>
  <c r="ET93" i="3"/>
  <c r="EU93" i="3"/>
  <c r="EV93" i="3"/>
  <c r="EW93" i="3"/>
  <c r="EX93" i="3"/>
  <c r="EY93" i="3"/>
  <c r="EZ93" i="3"/>
  <c r="FA93" i="3"/>
  <c r="FB93" i="3"/>
  <c r="FC93" i="3"/>
  <c r="FD93" i="3"/>
  <c r="FE93" i="3"/>
  <c r="FF93" i="3"/>
  <c r="FG93" i="3"/>
  <c r="FH93" i="3"/>
  <c r="FI93" i="3"/>
  <c r="FJ93" i="3"/>
  <c r="FK93" i="3"/>
  <c r="FL93" i="3"/>
  <c r="FM93" i="3"/>
  <c r="FN93" i="3"/>
  <c r="FO93" i="3"/>
  <c r="FP93" i="3"/>
  <c r="FQ93" i="3"/>
  <c r="FR93" i="3"/>
  <c r="FS93" i="3"/>
  <c r="FT93" i="3"/>
  <c r="FU93" i="3"/>
  <c r="FV93" i="3"/>
  <c r="FW93" i="3"/>
  <c r="FX93" i="3"/>
  <c r="FY93" i="3"/>
  <c r="FZ93" i="3"/>
  <c r="GA93" i="3"/>
  <c r="GB93" i="3"/>
  <c r="GC93" i="3"/>
  <c r="GD93" i="3"/>
  <c r="GE93" i="3"/>
  <c r="GF93" i="3"/>
  <c r="GG93" i="3"/>
  <c r="GH93" i="3"/>
  <c r="GI93" i="3"/>
  <c r="GJ93" i="3"/>
  <c r="GK93" i="3"/>
  <c r="GL93" i="3"/>
  <c r="GM93" i="3"/>
  <c r="GN93" i="3"/>
  <c r="GO93" i="3"/>
  <c r="GP93" i="3"/>
  <c r="GQ93" i="3"/>
  <c r="GR93" i="3"/>
  <c r="GS93" i="3"/>
  <c r="GT93" i="3"/>
  <c r="GU93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DC94" i="3"/>
  <c r="DD94" i="3"/>
  <c r="DE94" i="3"/>
  <c r="DF94" i="3"/>
  <c r="DG94" i="3"/>
  <c r="DH94" i="3"/>
  <c r="DI94" i="3"/>
  <c r="DJ94" i="3"/>
  <c r="DK94" i="3"/>
  <c r="DL94" i="3"/>
  <c r="DM94" i="3"/>
  <c r="DN94" i="3"/>
  <c r="DO94" i="3"/>
  <c r="DP94" i="3"/>
  <c r="DQ94" i="3"/>
  <c r="DR94" i="3"/>
  <c r="DS94" i="3"/>
  <c r="DT94" i="3"/>
  <c r="DU94" i="3"/>
  <c r="DV94" i="3"/>
  <c r="DW94" i="3"/>
  <c r="DX94" i="3"/>
  <c r="DY94" i="3"/>
  <c r="DZ94" i="3"/>
  <c r="EA94" i="3"/>
  <c r="EB94" i="3"/>
  <c r="EC94" i="3"/>
  <c r="ED94" i="3"/>
  <c r="EE94" i="3"/>
  <c r="EF94" i="3"/>
  <c r="EG94" i="3"/>
  <c r="EH94" i="3"/>
  <c r="EI94" i="3"/>
  <c r="EJ94" i="3"/>
  <c r="EK94" i="3"/>
  <c r="EL94" i="3"/>
  <c r="EM94" i="3"/>
  <c r="EN94" i="3"/>
  <c r="EO94" i="3"/>
  <c r="EP94" i="3"/>
  <c r="EQ94" i="3"/>
  <c r="ER94" i="3"/>
  <c r="ES94" i="3"/>
  <c r="ET94" i="3"/>
  <c r="EU94" i="3"/>
  <c r="EV94" i="3"/>
  <c r="EW94" i="3"/>
  <c r="EX94" i="3"/>
  <c r="EY94" i="3"/>
  <c r="EZ94" i="3"/>
  <c r="FA94" i="3"/>
  <c r="FB94" i="3"/>
  <c r="FC94" i="3"/>
  <c r="FD94" i="3"/>
  <c r="FE94" i="3"/>
  <c r="FF94" i="3"/>
  <c r="FG94" i="3"/>
  <c r="FH94" i="3"/>
  <c r="FI94" i="3"/>
  <c r="FJ94" i="3"/>
  <c r="FK94" i="3"/>
  <c r="FL94" i="3"/>
  <c r="FM94" i="3"/>
  <c r="FN94" i="3"/>
  <c r="FO94" i="3"/>
  <c r="FP94" i="3"/>
  <c r="FQ94" i="3"/>
  <c r="FR94" i="3"/>
  <c r="FS94" i="3"/>
  <c r="FT94" i="3"/>
  <c r="FU94" i="3"/>
  <c r="FV94" i="3"/>
  <c r="FW94" i="3"/>
  <c r="FX94" i="3"/>
  <c r="FY94" i="3"/>
  <c r="FZ94" i="3"/>
  <c r="GA94" i="3"/>
  <c r="GB94" i="3"/>
  <c r="GC94" i="3"/>
  <c r="GD94" i="3"/>
  <c r="GE94" i="3"/>
  <c r="GF94" i="3"/>
  <c r="GG94" i="3"/>
  <c r="GH94" i="3"/>
  <c r="GI94" i="3"/>
  <c r="GJ94" i="3"/>
  <c r="GK94" i="3"/>
  <c r="GL94" i="3"/>
  <c r="GM94" i="3"/>
  <c r="GN94" i="3"/>
  <c r="GO94" i="3"/>
  <c r="GP94" i="3"/>
  <c r="GQ94" i="3"/>
  <c r="GR94" i="3"/>
  <c r="GS94" i="3"/>
  <c r="GT94" i="3"/>
  <c r="GU94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DC95" i="3"/>
  <c r="DD95" i="3"/>
  <c r="DE95" i="3"/>
  <c r="DF95" i="3"/>
  <c r="DG95" i="3"/>
  <c r="DH95" i="3"/>
  <c r="DI95" i="3"/>
  <c r="DJ95" i="3"/>
  <c r="DK95" i="3"/>
  <c r="DL95" i="3"/>
  <c r="DM95" i="3"/>
  <c r="DN95" i="3"/>
  <c r="DO95" i="3"/>
  <c r="DP95" i="3"/>
  <c r="DQ95" i="3"/>
  <c r="DR95" i="3"/>
  <c r="DS95" i="3"/>
  <c r="DT95" i="3"/>
  <c r="DU95" i="3"/>
  <c r="DV95" i="3"/>
  <c r="DW95" i="3"/>
  <c r="DX95" i="3"/>
  <c r="DY95" i="3"/>
  <c r="DZ95" i="3"/>
  <c r="EA95" i="3"/>
  <c r="EB95" i="3"/>
  <c r="EC95" i="3"/>
  <c r="ED95" i="3"/>
  <c r="EE95" i="3"/>
  <c r="EF95" i="3"/>
  <c r="EG95" i="3"/>
  <c r="EH95" i="3"/>
  <c r="EI95" i="3"/>
  <c r="EJ95" i="3"/>
  <c r="EK95" i="3"/>
  <c r="EL95" i="3"/>
  <c r="EM95" i="3"/>
  <c r="EN95" i="3"/>
  <c r="EO95" i="3"/>
  <c r="EP95" i="3"/>
  <c r="EQ95" i="3"/>
  <c r="ER95" i="3"/>
  <c r="ES95" i="3"/>
  <c r="ET95" i="3"/>
  <c r="EU95" i="3"/>
  <c r="EV95" i="3"/>
  <c r="EW95" i="3"/>
  <c r="EX95" i="3"/>
  <c r="EY95" i="3"/>
  <c r="EZ95" i="3"/>
  <c r="FA95" i="3"/>
  <c r="FB95" i="3"/>
  <c r="FC95" i="3"/>
  <c r="FD95" i="3"/>
  <c r="FE95" i="3"/>
  <c r="FF95" i="3"/>
  <c r="FG95" i="3"/>
  <c r="FH95" i="3"/>
  <c r="FI95" i="3"/>
  <c r="FJ95" i="3"/>
  <c r="FK95" i="3"/>
  <c r="FL95" i="3"/>
  <c r="FM95" i="3"/>
  <c r="FN95" i="3"/>
  <c r="FO95" i="3"/>
  <c r="FP95" i="3"/>
  <c r="FQ95" i="3"/>
  <c r="FR95" i="3"/>
  <c r="FS95" i="3"/>
  <c r="FT95" i="3"/>
  <c r="FU95" i="3"/>
  <c r="FV95" i="3"/>
  <c r="FW95" i="3"/>
  <c r="FX95" i="3"/>
  <c r="FY95" i="3"/>
  <c r="FZ95" i="3"/>
  <c r="GA95" i="3"/>
  <c r="GB95" i="3"/>
  <c r="GC95" i="3"/>
  <c r="GD95" i="3"/>
  <c r="GE95" i="3"/>
  <c r="GF95" i="3"/>
  <c r="GG95" i="3"/>
  <c r="GH95" i="3"/>
  <c r="GI95" i="3"/>
  <c r="GJ95" i="3"/>
  <c r="GK95" i="3"/>
  <c r="GL95" i="3"/>
  <c r="GM95" i="3"/>
  <c r="GN95" i="3"/>
  <c r="GO95" i="3"/>
  <c r="GP95" i="3"/>
  <c r="GQ95" i="3"/>
  <c r="GR95" i="3"/>
  <c r="GS95" i="3"/>
  <c r="GT95" i="3"/>
  <c r="GU95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DC96" i="3"/>
  <c r="DD96" i="3"/>
  <c r="DE96" i="3"/>
  <c r="DF96" i="3"/>
  <c r="DG96" i="3"/>
  <c r="DH96" i="3"/>
  <c r="DI96" i="3"/>
  <c r="DJ96" i="3"/>
  <c r="DK96" i="3"/>
  <c r="DL96" i="3"/>
  <c r="DM96" i="3"/>
  <c r="DN96" i="3"/>
  <c r="DO96" i="3"/>
  <c r="DP96" i="3"/>
  <c r="DQ96" i="3"/>
  <c r="DR96" i="3"/>
  <c r="DS96" i="3"/>
  <c r="DT96" i="3"/>
  <c r="DU96" i="3"/>
  <c r="DV96" i="3"/>
  <c r="DW96" i="3"/>
  <c r="DX96" i="3"/>
  <c r="DY96" i="3"/>
  <c r="DZ96" i="3"/>
  <c r="EA96" i="3"/>
  <c r="EB96" i="3"/>
  <c r="EC96" i="3"/>
  <c r="ED96" i="3"/>
  <c r="EE96" i="3"/>
  <c r="EF96" i="3"/>
  <c r="EG96" i="3"/>
  <c r="EH96" i="3"/>
  <c r="EI96" i="3"/>
  <c r="EJ96" i="3"/>
  <c r="EK96" i="3"/>
  <c r="EL96" i="3"/>
  <c r="EM96" i="3"/>
  <c r="EN96" i="3"/>
  <c r="EO96" i="3"/>
  <c r="EP96" i="3"/>
  <c r="EQ96" i="3"/>
  <c r="ER96" i="3"/>
  <c r="ES96" i="3"/>
  <c r="ET96" i="3"/>
  <c r="EU96" i="3"/>
  <c r="EV96" i="3"/>
  <c r="EW96" i="3"/>
  <c r="EX96" i="3"/>
  <c r="EY96" i="3"/>
  <c r="EZ96" i="3"/>
  <c r="FA96" i="3"/>
  <c r="FB96" i="3"/>
  <c r="FC96" i="3"/>
  <c r="FD96" i="3"/>
  <c r="FE96" i="3"/>
  <c r="FF96" i="3"/>
  <c r="FG96" i="3"/>
  <c r="FH96" i="3"/>
  <c r="FI96" i="3"/>
  <c r="FJ96" i="3"/>
  <c r="FK96" i="3"/>
  <c r="FL96" i="3"/>
  <c r="FM96" i="3"/>
  <c r="FN96" i="3"/>
  <c r="FO96" i="3"/>
  <c r="FP96" i="3"/>
  <c r="FQ96" i="3"/>
  <c r="FR96" i="3"/>
  <c r="FS96" i="3"/>
  <c r="FT96" i="3"/>
  <c r="FU96" i="3"/>
  <c r="FV96" i="3"/>
  <c r="FW96" i="3"/>
  <c r="FX96" i="3"/>
  <c r="FY96" i="3"/>
  <c r="FZ96" i="3"/>
  <c r="GA96" i="3"/>
  <c r="GB96" i="3"/>
  <c r="GC96" i="3"/>
  <c r="GD96" i="3"/>
  <c r="GE96" i="3"/>
  <c r="GF96" i="3"/>
  <c r="GG96" i="3"/>
  <c r="GH96" i="3"/>
  <c r="GI96" i="3"/>
  <c r="GJ96" i="3"/>
  <c r="GK96" i="3"/>
  <c r="GL96" i="3"/>
  <c r="GM96" i="3"/>
  <c r="GN96" i="3"/>
  <c r="GO96" i="3"/>
  <c r="GP96" i="3"/>
  <c r="GQ96" i="3"/>
  <c r="GR96" i="3"/>
  <c r="GS96" i="3"/>
  <c r="GT96" i="3"/>
  <c r="GU96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DC97" i="3"/>
  <c r="DD97" i="3"/>
  <c r="DE97" i="3"/>
  <c r="DF97" i="3"/>
  <c r="DG97" i="3"/>
  <c r="DH97" i="3"/>
  <c r="DI97" i="3"/>
  <c r="DJ97" i="3"/>
  <c r="DK97" i="3"/>
  <c r="DL97" i="3"/>
  <c r="DM97" i="3"/>
  <c r="DN97" i="3"/>
  <c r="DO97" i="3"/>
  <c r="DP97" i="3"/>
  <c r="DQ97" i="3"/>
  <c r="DR97" i="3"/>
  <c r="DS97" i="3"/>
  <c r="DT97" i="3"/>
  <c r="DU97" i="3"/>
  <c r="DV97" i="3"/>
  <c r="DW97" i="3"/>
  <c r="DX97" i="3"/>
  <c r="DY97" i="3"/>
  <c r="DZ97" i="3"/>
  <c r="EA97" i="3"/>
  <c r="EB97" i="3"/>
  <c r="EC97" i="3"/>
  <c r="ED97" i="3"/>
  <c r="EE97" i="3"/>
  <c r="EF97" i="3"/>
  <c r="EG97" i="3"/>
  <c r="EH97" i="3"/>
  <c r="EI97" i="3"/>
  <c r="EJ97" i="3"/>
  <c r="EK97" i="3"/>
  <c r="EL97" i="3"/>
  <c r="EM97" i="3"/>
  <c r="EN97" i="3"/>
  <c r="EO97" i="3"/>
  <c r="EP97" i="3"/>
  <c r="EQ97" i="3"/>
  <c r="ER97" i="3"/>
  <c r="ES97" i="3"/>
  <c r="ET97" i="3"/>
  <c r="EU97" i="3"/>
  <c r="EV97" i="3"/>
  <c r="EW97" i="3"/>
  <c r="EX97" i="3"/>
  <c r="EY97" i="3"/>
  <c r="EZ97" i="3"/>
  <c r="FA97" i="3"/>
  <c r="FB97" i="3"/>
  <c r="FC97" i="3"/>
  <c r="FD97" i="3"/>
  <c r="FE97" i="3"/>
  <c r="FF97" i="3"/>
  <c r="FG97" i="3"/>
  <c r="FH97" i="3"/>
  <c r="FI97" i="3"/>
  <c r="FJ97" i="3"/>
  <c r="FK97" i="3"/>
  <c r="FL97" i="3"/>
  <c r="FM97" i="3"/>
  <c r="FN97" i="3"/>
  <c r="FO97" i="3"/>
  <c r="FP97" i="3"/>
  <c r="FQ97" i="3"/>
  <c r="FR97" i="3"/>
  <c r="FS97" i="3"/>
  <c r="FT97" i="3"/>
  <c r="FU97" i="3"/>
  <c r="FV97" i="3"/>
  <c r="FW97" i="3"/>
  <c r="FX97" i="3"/>
  <c r="FY97" i="3"/>
  <c r="FZ97" i="3"/>
  <c r="GA97" i="3"/>
  <c r="GB97" i="3"/>
  <c r="GC97" i="3"/>
  <c r="GD97" i="3"/>
  <c r="GE97" i="3"/>
  <c r="GF97" i="3"/>
  <c r="GG97" i="3"/>
  <c r="GH97" i="3"/>
  <c r="GI97" i="3"/>
  <c r="GJ97" i="3"/>
  <c r="GK97" i="3"/>
  <c r="GL97" i="3"/>
  <c r="GM97" i="3"/>
  <c r="GN97" i="3"/>
  <c r="GO97" i="3"/>
  <c r="GP97" i="3"/>
  <c r="GQ97" i="3"/>
  <c r="GR97" i="3"/>
  <c r="GS97" i="3"/>
  <c r="GT97" i="3"/>
  <c r="GU97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DC98" i="3"/>
  <c r="DD98" i="3"/>
  <c r="DE98" i="3"/>
  <c r="DF98" i="3"/>
  <c r="DG98" i="3"/>
  <c r="DH98" i="3"/>
  <c r="DI98" i="3"/>
  <c r="DJ98" i="3"/>
  <c r="DK98" i="3"/>
  <c r="DL98" i="3"/>
  <c r="DM98" i="3"/>
  <c r="DN98" i="3"/>
  <c r="DO98" i="3"/>
  <c r="DP98" i="3"/>
  <c r="DQ98" i="3"/>
  <c r="DR98" i="3"/>
  <c r="DS98" i="3"/>
  <c r="DT98" i="3"/>
  <c r="DU98" i="3"/>
  <c r="DV98" i="3"/>
  <c r="DW98" i="3"/>
  <c r="DX98" i="3"/>
  <c r="DY98" i="3"/>
  <c r="DZ98" i="3"/>
  <c r="EA98" i="3"/>
  <c r="EB98" i="3"/>
  <c r="EC98" i="3"/>
  <c r="ED98" i="3"/>
  <c r="EE98" i="3"/>
  <c r="EF98" i="3"/>
  <c r="EG98" i="3"/>
  <c r="EH98" i="3"/>
  <c r="EI98" i="3"/>
  <c r="EJ98" i="3"/>
  <c r="EK98" i="3"/>
  <c r="EL98" i="3"/>
  <c r="EM98" i="3"/>
  <c r="EN98" i="3"/>
  <c r="EO98" i="3"/>
  <c r="EP98" i="3"/>
  <c r="EQ98" i="3"/>
  <c r="ER98" i="3"/>
  <c r="ES98" i="3"/>
  <c r="ET98" i="3"/>
  <c r="EU98" i="3"/>
  <c r="EV98" i="3"/>
  <c r="EW98" i="3"/>
  <c r="EX98" i="3"/>
  <c r="EY98" i="3"/>
  <c r="EZ98" i="3"/>
  <c r="FA98" i="3"/>
  <c r="FB98" i="3"/>
  <c r="FC98" i="3"/>
  <c r="FD98" i="3"/>
  <c r="FE98" i="3"/>
  <c r="FF98" i="3"/>
  <c r="FG98" i="3"/>
  <c r="FH98" i="3"/>
  <c r="FI98" i="3"/>
  <c r="FJ98" i="3"/>
  <c r="FK98" i="3"/>
  <c r="FL98" i="3"/>
  <c r="FM98" i="3"/>
  <c r="FN98" i="3"/>
  <c r="FO98" i="3"/>
  <c r="FP98" i="3"/>
  <c r="FQ98" i="3"/>
  <c r="FR98" i="3"/>
  <c r="FS98" i="3"/>
  <c r="FT98" i="3"/>
  <c r="FU98" i="3"/>
  <c r="FV98" i="3"/>
  <c r="FW98" i="3"/>
  <c r="FX98" i="3"/>
  <c r="FY98" i="3"/>
  <c r="FZ98" i="3"/>
  <c r="GA98" i="3"/>
  <c r="GB98" i="3"/>
  <c r="GC98" i="3"/>
  <c r="GD98" i="3"/>
  <c r="GE98" i="3"/>
  <c r="GF98" i="3"/>
  <c r="GG98" i="3"/>
  <c r="GH98" i="3"/>
  <c r="GI98" i="3"/>
  <c r="GJ98" i="3"/>
  <c r="GK98" i="3"/>
  <c r="GL98" i="3"/>
  <c r="GM98" i="3"/>
  <c r="GN98" i="3"/>
  <c r="GO98" i="3"/>
  <c r="GP98" i="3"/>
  <c r="GQ98" i="3"/>
  <c r="GR98" i="3"/>
  <c r="GS98" i="3"/>
  <c r="GT98" i="3"/>
  <c r="GU98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DF21" i="3"/>
  <c r="DG21" i="3"/>
  <c r="DH21" i="3"/>
  <c r="DI21" i="3"/>
  <c r="DJ21" i="3"/>
  <c r="DK21" i="3"/>
  <c r="DL21" i="3"/>
  <c r="DM21" i="3"/>
  <c r="DN21" i="3"/>
  <c r="DO21" i="3"/>
  <c r="DP21" i="3"/>
  <c r="DQ21" i="3"/>
  <c r="DR21" i="3"/>
  <c r="DS21" i="3"/>
  <c r="DT21" i="3"/>
  <c r="DU21" i="3"/>
  <c r="DV21" i="3"/>
  <c r="DW21" i="3"/>
  <c r="DX21" i="3"/>
  <c r="DY21" i="3"/>
  <c r="DZ21" i="3"/>
  <c r="EA21" i="3"/>
  <c r="EB21" i="3"/>
  <c r="EC21" i="3"/>
  <c r="ED21" i="3"/>
  <c r="EE21" i="3"/>
  <c r="EF21" i="3"/>
  <c r="EG21" i="3"/>
  <c r="EH21" i="3"/>
  <c r="EI21" i="3"/>
  <c r="EJ21" i="3"/>
  <c r="EK21" i="3"/>
  <c r="EL21" i="3"/>
  <c r="EM21" i="3"/>
  <c r="EN21" i="3"/>
  <c r="EO21" i="3"/>
  <c r="EP21" i="3"/>
  <c r="EQ21" i="3"/>
  <c r="ER21" i="3"/>
  <c r="ES21" i="3"/>
  <c r="ET21" i="3"/>
  <c r="EU21" i="3"/>
  <c r="EV21" i="3"/>
  <c r="EW21" i="3"/>
  <c r="EX21" i="3"/>
  <c r="EY21" i="3"/>
  <c r="EZ21" i="3"/>
  <c r="FA21" i="3"/>
  <c r="FB21" i="3"/>
  <c r="FC21" i="3"/>
  <c r="FD21" i="3"/>
  <c r="FE21" i="3"/>
  <c r="FF21" i="3"/>
  <c r="FG21" i="3"/>
  <c r="FH21" i="3"/>
  <c r="FI21" i="3"/>
  <c r="FJ21" i="3"/>
  <c r="FK21" i="3"/>
  <c r="FL21" i="3"/>
  <c r="FM21" i="3"/>
  <c r="FN21" i="3"/>
  <c r="FO21" i="3"/>
  <c r="FP21" i="3"/>
  <c r="FQ21" i="3"/>
  <c r="FR21" i="3"/>
  <c r="FS21" i="3"/>
  <c r="FT21" i="3"/>
  <c r="FU21" i="3"/>
  <c r="FV21" i="3"/>
  <c r="FW21" i="3"/>
  <c r="FX21" i="3"/>
  <c r="FY21" i="3"/>
  <c r="FZ21" i="3"/>
  <c r="GA21" i="3"/>
  <c r="GB21" i="3"/>
  <c r="GC21" i="3"/>
  <c r="GD21" i="3"/>
  <c r="GE21" i="3"/>
  <c r="GF21" i="3"/>
  <c r="GG21" i="3"/>
  <c r="GH21" i="3"/>
  <c r="GI21" i="3"/>
  <c r="GJ21" i="3"/>
  <c r="GK21" i="3"/>
  <c r="GL21" i="3"/>
  <c r="GM21" i="3"/>
  <c r="GN21" i="3"/>
  <c r="GO21" i="3"/>
  <c r="GP21" i="3"/>
  <c r="GQ21" i="3"/>
  <c r="GR21" i="3"/>
  <c r="GS21" i="3"/>
  <c r="GT21" i="3"/>
  <c r="GU21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DF22" i="3"/>
  <c r="DG22" i="3"/>
  <c r="DH22" i="3"/>
  <c r="DI22" i="3"/>
  <c r="DJ22" i="3"/>
  <c r="DK22" i="3"/>
  <c r="DL22" i="3"/>
  <c r="DM22" i="3"/>
  <c r="DN22" i="3"/>
  <c r="DO22" i="3"/>
  <c r="DP22" i="3"/>
  <c r="DQ22" i="3"/>
  <c r="DR22" i="3"/>
  <c r="DS22" i="3"/>
  <c r="DT22" i="3"/>
  <c r="DU22" i="3"/>
  <c r="DV22" i="3"/>
  <c r="DW22" i="3"/>
  <c r="DX22" i="3"/>
  <c r="DY22" i="3"/>
  <c r="DZ22" i="3"/>
  <c r="EA22" i="3"/>
  <c r="EB22" i="3"/>
  <c r="EC22" i="3"/>
  <c r="ED22" i="3"/>
  <c r="EE22" i="3"/>
  <c r="EF22" i="3"/>
  <c r="EG22" i="3"/>
  <c r="EH22" i="3"/>
  <c r="EI22" i="3"/>
  <c r="EJ22" i="3"/>
  <c r="EK22" i="3"/>
  <c r="EL22" i="3"/>
  <c r="EM22" i="3"/>
  <c r="EN22" i="3"/>
  <c r="EO22" i="3"/>
  <c r="EP22" i="3"/>
  <c r="EQ22" i="3"/>
  <c r="ER22" i="3"/>
  <c r="ES22" i="3"/>
  <c r="ET22" i="3"/>
  <c r="EU22" i="3"/>
  <c r="EV22" i="3"/>
  <c r="EW22" i="3"/>
  <c r="EX22" i="3"/>
  <c r="EY22" i="3"/>
  <c r="EZ22" i="3"/>
  <c r="FA22" i="3"/>
  <c r="FB22" i="3"/>
  <c r="FC22" i="3"/>
  <c r="FD22" i="3"/>
  <c r="FE22" i="3"/>
  <c r="FF22" i="3"/>
  <c r="FG22" i="3"/>
  <c r="FH22" i="3"/>
  <c r="FI22" i="3"/>
  <c r="FJ22" i="3"/>
  <c r="FK22" i="3"/>
  <c r="FL22" i="3"/>
  <c r="FM22" i="3"/>
  <c r="FN22" i="3"/>
  <c r="FO22" i="3"/>
  <c r="FP22" i="3"/>
  <c r="FQ22" i="3"/>
  <c r="FR22" i="3"/>
  <c r="FS22" i="3"/>
  <c r="FT22" i="3"/>
  <c r="FU22" i="3"/>
  <c r="FV22" i="3"/>
  <c r="FW22" i="3"/>
  <c r="FX22" i="3"/>
  <c r="FY22" i="3"/>
  <c r="FZ22" i="3"/>
  <c r="GA22" i="3"/>
  <c r="GB22" i="3"/>
  <c r="GC22" i="3"/>
  <c r="GD22" i="3"/>
  <c r="GE22" i="3"/>
  <c r="GF22" i="3"/>
  <c r="GG22" i="3"/>
  <c r="GH22" i="3"/>
  <c r="GI22" i="3"/>
  <c r="GJ22" i="3"/>
  <c r="GK22" i="3"/>
  <c r="GL22" i="3"/>
  <c r="GM22" i="3"/>
  <c r="GN22" i="3"/>
  <c r="GO22" i="3"/>
  <c r="GP22" i="3"/>
  <c r="GQ22" i="3"/>
  <c r="GR22" i="3"/>
  <c r="GS22" i="3"/>
  <c r="GT22" i="3"/>
  <c r="GU22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DF23" i="3"/>
  <c r="DG23" i="3"/>
  <c r="DH23" i="3"/>
  <c r="DI23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V23" i="3"/>
  <c r="DW23" i="3"/>
  <c r="DX23" i="3"/>
  <c r="DY23" i="3"/>
  <c r="DZ23" i="3"/>
  <c r="EA23" i="3"/>
  <c r="EB23" i="3"/>
  <c r="EC23" i="3"/>
  <c r="ED23" i="3"/>
  <c r="EE23" i="3"/>
  <c r="EF23" i="3"/>
  <c r="EG23" i="3"/>
  <c r="EH23" i="3"/>
  <c r="EI23" i="3"/>
  <c r="EJ23" i="3"/>
  <c r="EK23" i="3"/>
  <c r="EL23" i="3"/>
  <c r="EM23" i="3"/>
  <c r="EN23" i="3"/>
  <c r="EO23" i="3"/>
  <c r="EP23" i="3"/>
  <c r="EQ23" i="3"/>
  <c r="ER23" i="3"/>
  <c r="ES23" i="3"/>
  <c r="ET23" i="3"/>
  <c r="EU23" i="3"/>
  <c r="EV23" i="3"/>
  <c r="EW23" i="3"/>
  <c r="EX23" i="3"/>
  <c r="EY23" i="3"/>
  <c r="EZ23" i="3"/>
  <c r="FA23" i="3"/>
  <c r="FB23" i="3"/>
  <c r="FC23" i="3"/>
  <c r="FD23" i="3"/>
  <c r="FE23" i="3"/>
  <c r="FF23" i="3"/>
  <c r="FG23" i="3"/>
  <c r="FH23" i="3"/>
  <c r="FI23" i="3"/>
  <c r="FJ23" i="3"/>
  <c r="FK23" i="3"/>
  <c r="FL23" i="3"/>
  <c r="FM23" i="3"/>
  <c r="FN23" i="3"/>
  <c r="FO23" i="3"/>
  <c r="FP23" i="3"/>
  <c r="FQ23" i="3"/>
  <c r="FR23" i="3"/>
  <c r="FS23" i="3"/>
  <c r="FT23" i="3"/>
  <c r="FU23" i="3"/>
  <c r="FV23" i="3"/>
  <c r="FW23" i="3"/>
  <c r="FX23" i="3"/>
  <c r="FY23" i="3"/>
  <c r="FZ23" i="3"/>
  <c r="GA23" i="3"/>
  <c r="GB23" i="3"/>
  <c r="GC23" i="3"/>
  <c r="GD23" i="3"/>
  <c r="GE23" i="3"/>
  <c r="GF23" i="3"/>
  <c r="GG23" i="3"/>
  <c r="GH23" i="3"/>
  <c r="GI23" i="3"/>
  <c r="GJ23" i="3"/>
  <c r="GK23" i="3"/>
  <c r="GL23" i="3"/>
  <c r="GM23" i="3"/>
  <c r="GN23" i="3"/>
  <c r="GO23" i="3"/>
  <c r="GP23" i="3"/>
  <c r="GQ23" i="3"/>
  <c r="GR23" i="3"/>
  <c r="GS23" i="3"/>
  <c r="GT23" i="3"/>
  <c r="GU23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DF24" i="3"/>
  <c r="DG24" i="3"/>
  <c r="DH24" i="3"/>
  <c r="DI24" i="3"/>
  <c r="DJ24" i="3"/>
  <c r="DK24" i="3"/>
  <c r="DL24" i="3"/>
  <c r="DM24" i="3"/>
  <c r="DN24" i="3"/>
  <c r="DO24" i="3"/>
  <c r="DP24" i="3"/>
  <c r="DQ24" i="3"/>
  <c r="DR24" i="3"/>
  <c r="DS24" i="3"/>
  <c r="DT24" i="3"/>
  <c r="DU24" i="3"/>
  <c r="DV24" i="3"/>
  <c r="DW24" i="3"/>
  <c r="DX24" i="3"/>
  <c r="DY24" i="3"/>
  <c r="DZ24" i="3"/>
  <c r="EA24" i="3"/>
  <c r="EB24" i="3"/>
  <c r="EC24" i="3"/>
  <c r="ED24" i="3"/>
  <c r="EE24" i="3"/>
  <c r="EF24" i="3"/>
  <c r="EG24" i="3"/>
  <c r="EH24" i="3"/>
  <c r="EI24" i="3"/>
  <c r="EJ24" i="3"/>
  <c r="EK24" i="3"/>
  <c r="EL24" i="3"/>
  <c r="EM24" i="3"/>
  <c r="EN24" i="3"/>
  <c r="EO24" i="3"/>
  <c r="EP24" i="3"/>
  <c r="EQ24" i="3"/>
  <c r="ER24" i="3"/>
  <c r="ES24" i="3"/>
  <c r="ET24" i="3"/>
  <c r="EU24" i="3"/>
  <c r="EV24" i="3"/>
  <c r="EW24" i="3"/>
  <c r="EX24" i="3"/>
  <c r="EY24" i="3"/>
  <c r="EZ24" i="3"/>
  <c r="FA24" i="3"/>
  <c r="FB24" i="3"/>
  <c r="FC24" i="3"/>
  <c r="FD24" i="3"/>
  <c r="FE24" i="3"/>
  <c r="FF24" i="3"/>
  <c r="FG24" i="3"/>
  <c r="FH24" i="3"/>
  <c r="FI24" i="3"/>
  <c r="FJ24" i="3"/>
  <c r="FK24" i="3"/>
  <c r="FL24" i="3"/>
  <c r="FM24" i="3"/>
  <c r="FN24" i="3"/>
  <c r="FO24" i="3"/>
  <c r="FP24" i="3"/>
  <c r="FQ24" i="3"/>
  <c r="FR24" i="3"/>
  <c r="FS24" i="3"/>
  <c r="FT24" i="3"/>
  <c r="FU24" i="3"/>
  <c r="FV24" i="3"/>
  <c r="FW24" i="3"/>
  <c r="FX24" i="3"/>
  <c r="FY24" i="3"/>
  <c r="FZ24" i="3"/>
  <c r="GA24" i="3"/>
  <c r="GB24" i="3"/>
  <c r="GC24" i="3"/>
  <c r="GD24" i="3"/>
  <c r="GE24" i="3"/>
  <c r="GF24" i="3"/>
  <c r="GG24" i="3"/>
  <c r="GH24" i="3"/>
  <c r="GI24" i="3"/>
  <c r="GJ24" i="3"/>
  <c r="GK24" i="3"/>
  <c r="GL24" i="3"/>
  <c r="GM24" i="3"/>
  <c r="GN24" i="3"/>
  <c r="GO24" i="3"/>
  <c r="GP24" i="3"/>
  <c r="GQ24" i="3"/>
  <c r="GR24" i="3"/>
  <c r="GS24" i="3"/>
  <c r="GT24" i="3"/>
  <c r="GU24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DF25" i="3"/>
  <c r="DG25" i="3"/>
  <c r="DH25" i="3"/>
  <c r="DI25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DV25" i="3"/>
  <c r="DW25" i="3"/>
  <c r="DX25" i="3"/>
  <c r="DY25" i="3"/>
  <c r="DZ25" i="3"/>
  <c r="EA25" i="3"/>
  <c r="EB25" i="3"/>
  <c r="EC25" i="3"/>
  <c r="ED25" i="3"/>
  <c r="EE25" i="3"/>
  <c r="EF25" i="3"/>
  <c r="EG25" i="3"/>
  <c r="EH25" i="3"/>
  <c r="EI25" i="3"/>
  <c r="EJ25" i="3"/>
  <c r="EK25" i="3"/>
  <c r="EL25" i="3"/>
  <c r="EM25" i="3"/>
  <c r="EN25" i="3"/>
  <c r="EO25" i="3"/>
  <c r="EP25" i="3"/>
  <c r="EQ25" i="3"/>
  <c r="ER25" i="3"/>
  <c r="ES25" i="3"/>
  <c r="ET25" i="3"/>
  <c r="EU25" i="3"/>
  <c r="EV25" i="3"/>
  <c r="EW25" i="3"/>
  <c r="EX25" i="3"/>
  <c r="EY25" i="3"/>
  <c r="EZ25" i="3"/>
  <c r="FA25" i="3"/>
  <c r="FB25" i="3"/>
  <c r="FC25" i="3"/>
  <c r="FD25" i="3"/>
  <c r="FE25" i="3"/>
  <c r="FF25" i="3"/>
  <c r="FG25" i="3"/>
  <c r="FH25" i="3"/>
  <c r="FI25" i="3"/>
  <c r="FJ25" i="3"/>
  <c r="FK25" i="3"/>
  <c r="FL25" i="3"/>
  <c r="FM25" i="3"/>
  <c r="FN25" i="3"/>
  <c r="FO25" i="3"/>
  <c r="FP25" i="3"/>
  <c r="FQ25" i="3"/>
  <c r="FR25" i="3"/>
  <c r="FS25" i="3"/>
  <c r="FT25" i="3"/>
  <c r="FU25" i="3"/>
  <c r="FV25" i="3"/>
  <c r="FW25" i="3"/>
  <c r="FX25" i="3"/>
  <c r="FY25" i="3"/>
  <c r="FZ25" i="3"/>
  <c r="GA25" i="3"/>
  <c r="GB25" i="3"/>
  <c r="GC25" i="3"/>
  <c r="GD25" i="3"/>
  <c r="GE25" i="3"/>
  <c r="GF25" i="3"/>
  <c r="GG25" i="3"/>
  <c r="GH25" i="3"/>
  <c r="GI25" i="3"/>
  <c r="GJ25" i="3"/>
  <c r="GK25" i="3"/>
  <c r="GL25" i="3"/>
  <c r="GM25" i="3"/>
  <c r="GN25" i="3"/>
  <c r="GO25" i="3"/>
  <c r="GP25" i="3"/>
  <c r="GQ25" i="3"/>
  <c r="GR25" i="3"/>
  <c r="GS25" i="3"/>
  <c r="GT25" i="3"/>
  <c r="GU25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DF26" i="3"/>
  <c r="DG26" i="3"/>
  <c r="DH26" i="3"/>
  <c r="DI26" i="3"/>
  <c r="DJ26" i="3"/>
  <c r="DK26" i="3"/>
  <c r="DL26" i="3"/>
  <c r="DM26" i="3"/>
  <c r="DN26" i="3"/>
  <c r="DO26" i="3"/>
  <c r="DP26" i="3"/>
  <c r="DQ26" i="3"/>
  <c r="DR26" i="3"/>
  <c r="DS26" i="3"/>
  <c r="DT26" i="3"/>
  <c r="DU26" i="3"/>
  <c r="DV26" i="3"/>
  <c r="DW26" i="3"/>
  <c r="DX26" i="3"/>
  <c r="DY26" i="3"/>
  <c r="DZ26" i="3"/>
  <c r="EA26" i="3"/>
  <c r="EB26" i="3"/>
  <c r="EC26" i="3"/>
  <c r="ED26" i="3"/>
  <c r="EE26" i="3"/>
  <c r="EF26" i="3"/>
  <c r="EG26" i="3"/>
  <c r="EH26" i="3"/>
  <c r="EI26" i="3"/>
  <c r="EJ26" i="3"/>
  <c r="EK26" i="3"/>
  <c r="EL26" i="3"/>
  <c r="EM26" i="3"/>
  <c r="EN26" i="3"/>
  <c r="EO26" i="3"/>
  <c r="EP26" i="3"/>
  <c r="EQ26" i="3"/>
  <c r="ER26" i="3"/>
  <c r="ES26" i="3"/>
  <c r="ET26" i="3"/>
  <c r="EU26" i="3"/>
  <c r="EV26" i="3"/>
  <c r="EW26" i="3"/>
  <c r="EX26" i="3"/>
  <c r="EY26" i="3"/>
  <c r="EZ26" i="3"/>
  <c r="FA26" i="3"/>
  <c r="FB26" i="3"/>
  <c r="FC26" i="3"/>
  <c r="FD26" i="3"/>
  <c r="FE26" i="3"/>
  <c r="FF26" i="3"/>
  <c r="FG26" i="3"/>
  <c r="FH26" i="3"/>
  <c r="FI26" i="3"/>
  <c r="FJ26" i="3"/>
  <c r="FK26" i="3"/>
  <c r="FL26" i="3"/>
  <c r="FM26" i="3"/>
  <c r="FN26" i="3"/>
  <c r="FO26" i="3"/>
  <c r="FP26" i="3"/>
  <c r="FQ26" i="3"/>
  <c r="FR26" i="3"/>
  <c r="FS26" i="3"/>
  <c r="FT26" i="3"/>
  <c r="FU26" i="3"/>
  <c r="FV26" i="3"/>
  <c r="FW26" i="3"/>
  <c r="FX26" i="3"/>
  <c r="FY26" i="3"/>
  <c r="FZ26" i="3"/>
  <c r="GA26" i="3"/>
  <c r="GB26" i="3"/>
  <c r="GC26" i="3"/>
  <c r="GD26" i="3"/>
  <c r="GE26" i="3"/>
  <c r="GF26" i="3"/>
  <c r="GG26" i="3"/>
  <c r="GH26" i="3"/>
  <c r="GI26" i="3"/>
  <c r="GJ26" i="3"/>
  <c r="GK26" i="3"/>
  <c r="GL26" i="3"/>
  <c r="GM26" i="3"/>
  <c r="GN26" i="3"/>
  <c r="GO26" i="3"/>
  <c r="GP26" i="3"/>
  <c r="GQ26" i="3"/>
  <c r="GR26" i="3"/>
  <c r="GS26" i="3"/>
  <c r="GT26" i="3"/>
  <c r="GU26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DF27" i="3"/>
  <c r="DG27" i="3"/>
  <c r="DH27" i="3"/>
  <c r="DI27" i="3"/>
  <c r="DJ27" i="3"/>
  <c r="DK27" i="3"/>
  <c r="DL27" i="3"/>
  <c r="DM27" i="3"/>
  <c r="DN27" i="3"/>
  <c r="DO27" i="3"/>
  <c r="DP27" i="3"/>
  <c r="DQ27" i="3"/>
  <c r="DR27" i="3"/>
  <c r="DS27" i="3"/>
  <c r="DT27" i="3"/>
  <c r="DU27" i="3"/>
  <c r="DV27" i="3"/>
  <c r="DW27" i="3"/>
  <c r="DX27" i="3"/>
  <c r="DY27" i="3"/>
  <c r="DZ27" i="3"/>
  <c r="EA27" i="3"/>
  <c r="EB27" i="3"/>
  <c r="EC27" i="3"/>
  <c r="ED27" i="3"/>
  <c r="EE27" i="3"/>
  <c r="EF27" i="3"/>
  <c r="EG27" i="3"/>
  <c r="EH27" i="3"/>
  <c r="EI27" i="3"/>
  <c r="EJ27" i="3"/>
  <c r="EK27" i="3"/>
  <c r="EL27" i="3"/>
  <c r="EM27" i="3"/>
  <c r="EN27" i="3"/>
  <c r="EO27" i="3"/>
  <c r="EP27" i="3"/>
  <c r="EQ27" i="3"/>
  <c r="ER27" i="3"/>
  <c r="ES27" i="3"/>
  <c r="ET27" i="3"/>
  <c r="EU27" i="3"/>
  <c r="EV27" i="3"/>
  <c r="EW27" i="3"/>
  <c r="EX27" i="3"/>
  <c r="EY27" i="3"/>
  <c r="EZ27" i="3"/>
  <c r="FA27" i="3"/>
  <c r="FB27" i="3"/>
  <c r="FC27" i="3"/>
  <c r="FD27" i="3"/>
  <c r="FE27" i="3"/>
  <c r="FF27" i="3"/>
  <c r="FG27" i="3"/>
  <c r="FH27" i="3"/>
  <c r="FI27" i="3"/>
  <c r="FJ27" i="3"/>
  <c r="FK27" i="3"/>
  <c r="FL27" i="3"/>
  <c r="FM27" i="3"/>
  <c r="FN27" i="3"/>
  <c r="FO27" i="3"/>
  <c r="FP27" i="3"/>
  <c r="FQ27" i="3"/>
  <c r="FR27" i="3"/>
  <c r="FS27" i="3"/>
  <c r="FT27" i="3"/>
  <c r="FU27" i="3"/>
  <c r="FV27" i="3"/>
  <c r="FW27" i="3"/>
  <c r="FX27" i="3"/>
  <c r="FY27" i="3"/>
  <c r="FZ27" i="3"/>
  <c r="GA27" i="3"/>
  <c r="GB27" i="3"/>
  <c r="GC27" i="3"/>
  <c r="GD27" i="3"/>
  <c r="GE27" i="3"/>
  <c r="GF27" i="3"/>
  <c r="GG27" i="3"/>
  <c r="GH27" i="3"/>
  <c r="GI27" i="3"/>
  <c r="GJ27" i="3"/>
  <c r="GK27" i="3"/>
  <c r="GL27" i="3"/>
  <c r="GM27" i="3"/>
  <c r="GN27" i="3"/>
  <c r="GO27" i="3"/>
  <c r="GP27" i="3"/>
  <c r="GQ27" i="3"/>
  <c r="GR27" i="3"/>
  <c r="GS27" i="3"/>
  <c r="GT27" i="3"/>
  <c r="GU27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DF28" i="3"/>
  <c r="DG28" i="3"/>
  <c r="DH28" i="3"/>
  <c r="DI28" i="3"/>
  <c r="DJ28" i="3"/>
  <c r="DK28" i="3"/>
  <c r="DL28" i="3"/>
  <c r="DM28" i="3"/>
  <c r="DN28" i="3"/>
  <c r="DO28" i="3"/>
  <c r="DP28" i="3"/>
  <c r="DQ28" i="3"/>
  <c r="DR28" i="3"/>
  <c r="DS28" i="3"/>
  <c r="DT28" i="3"/>
  <c r="DU28" i="3"/>
  <c r="DV28" i="3"/>
  <c r="DW28" i="3"/>
  <c r="DX28" i="3"/>
  <c r="DY28" i="3"/>
  <c r="DZ28" i="3"/>
  <c r="EA28" i="3"/>
  <c r="EB28" i="3"/>
  <c r="EC28" i="3"/>
  <c r="ED28" i="3"/>
  <c r="EE28" i="3"/>
  <c r="EF28" i="3"/>
  <c r="EG28" i="3"/>
  <c r="EH28" i="3"/>
  <c r="EI28" i="3"/>
  <c r="EJ28" i="3"/>
  <c r="EK28" i="3"/>
  <c r="EL28" i="3"/>
  <c r="EM28" i="3"/>
  <c r="EN28" i="3"/>
  <c r="EO28" i="3"/>
  <c r="EP28" i="3"/>
  <c r="EQ28" i="3"/>
  <c r="ER28" i="3"/>
  <c r="ES28" i="3"/>
  <c r="ET28" i="3"/>
  <c r="EU28" i="3"/>
  <c r="EV28" i="3"/>
  <c r="EW28" i="3"/>
  <c r="EX28" i="3"/>
  <c r="EY28" i="3"/>
  <c r="EZ28" i="3"/>
  <c r="FA28" i="3"/>
  <c r="FB28" i="3"/>
  <c r="FC28" i="3"/>
  <c r="FD28" i="3"/>
  <c r="FE28" i="3"/>
  <c r="FF28" i="3"/>
  <c r="FG28" i="3"/>
  <c r="FH28" i="3"/>
  <c r="FI28" i="3"/>
  <c r="FJ28" i="3"/>
  <c r="FK28" i="3"/>
  <c r="FL28" i="3"/>
  <c r="FM28" i="3"/>
  <c r="FN28" i="3"/>
  <c r="FO28" i="3"/>
  <c r="FP28" i="3"/>
  <c r="FQ28" i="3"/>
  <c r="FR28" i="3"/>
  <c r="FS28" i="3"/>
  <c r="FT28" i="3"/>
  <c r="FU28" i="3"/>
  <c r="FV28" i="3"/>
  <c r="FW28" i="3"/>
  <c r="FX28" i="3"/>
  <c r="FY28" i="3"/>
  <c r="FZ28" i="3"/>
  <c r="GA28" i="3"/>
  <c r="GB28" i="3"/>
  <c r="GC28" i="3"/>
  <c r="GD28" i="3"/>
  <c r="GE28" i="3"/>
  <c r="GF28" i="3"/>
  <c r="GG28" i="3"/>
  <c r="GH28" i="3"/>
  <c r="GI28" i="3"/>
  <c r="GJ28" i="3"/>
  <c r="GK28" i="3"/>
  <c r="GL28" i="3"/>
  <c r="GM28" i="3"/>
  <c r="GN28" i="3"/>
  <c r="GO28" i="3"/>
  <c r="GP28" i="3"/>
  <c r="GQ28" i="3"/>
  <c r="GR28" i="3"/>
  <c r="GS28" i="3"/>
  <c r="GT28" i="3"/>
  <c r="GU28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DF29" i="3"/>
  <c r="DG29" i="3"/>
  <c r="DH29" i="3"/>
  <c r="DI29" i="3"/>
  <c r="DJ29" i="3"/>
  <c r="DK29" i="3"/>
  <c r="DL29" i="3"/>
  <c r="DM29" i="3"/>
  <c r="DN29" i="3"/>
  <c r="DO29" i="3"/>
  <c r="DP29" i="3"/>
  <c r="DQ29" i="3"/>
  <c r="DR29" i="3"/>
  <c r="DS29" i="3"/>
  <c r="DT29" i="3"/>
  <c r="DU29" i="3"/>
  <c r="DV29" i="3"/>
  <c r="DW29" i="3"/>
  <c r="DX29" i="3"/>
  <c r="DY29" i="3"/>
  <c r="DZ29" i="3"/>
  <c r="EA29" i="3"/>
  <c r="EB29" i="3"/>
  <c r="EC29" i="3"/>
  <c r="ED29" i="3"/>
  <c r="EE29" i="3"/>
  <c r="EF29" i="3"/>
  <c r="EG29" i="3"/>
  <c r="EH29" i="3"/>
  <c r="EI29" i="3"/>
  <c r="EJ29" i="3"/>
  <c r="EK29" i="3"/>
  <c r="EL29" i="3"/>
  <c r="EM29" i="3"/>
  <c r="EN29" i="3"/>
  <c r="EO29" i="3"/>
  <c r="EP29" i="3"/>
  <c r="EQ29" i="3"/>
  <c r="ER29" i="3"/>
  <c r="ES29" i="3"/>
  <c r="ET29" i="3"/>
  <c r="EU29" i="3"/>
  <c r="EV29" i="3"/>
  <c r="EW29" i="3"/>
  <c r="EX29" i="3"/>
  <c r="EY29" i="3"/>
  <c r="EZ29" i="3"/>
  <c r="FA29" i="3"/>
  <c r="FB29" i="3"/>
  <c r="FC29" i="3"/>
  <c r="FD29" i="3"/>
  <c r="FE29" i="3"/>
  <c r="FF29" i="3"/>
  <c r="FG29" i="3"/>
  <c r="FH29" i="3"/>
  <c r="FI29" i="3"/>
  <c r="FJ29" i="3"/>
  <c r="FK29" i="3"/>
  <c r="FL29" i="3"/>
  <c r="FM29" i="3"/>
  <c r="FN29" i="3"/>
  <c r="FO29" i="3"/>
  <c r="FP29" i="3"/>
  <c r="FQ29" i="3"/>
  <c r="FR29" i="3"/>
  <c r="FS29" i="3"/>
  <c r="FT29" i="3"/>
  <c r="FU29" i="3"/>
  <c r="FV29" i="3"/>
  <c r="FW29" i="3"/>
  <c r="FX29" i="3"/>
  <c r="FY29" i="3"/>
  <c r="FZ29" i="3"/>
  <c r="GA29" i="3"/>
  <c r="GB29" i="3"/>
  <c r="GC29" i="3"/>
  <c r="GD29" i="3"/>
  <c r="GE29" i="3"/>
  <c r="GF29" i="3"/>
  <c r="GG29" i="3"/>
  <c r="GH29" i="3"/>
  <c r="GI29" i="3"/>
  <c r="GJ29" i="3"/>
  <c r="GK29" i="3"/>
  <c r="GL29" i="3"/>
  <c r="GM29" i="3"/>
  <c r="GN29" i="3"/>
  <c r="GO29" i="3"/>
  <c r="GP29" i="3"/>
  <c r="GQ29" i="3"/>
  <c r="GR29" i="3"/>
  <c r="GS29" i="3"/>
  <c r="GT29" i="3"/>
  <c r="GU29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DF30" i="3"/>
  <c r="DG30" i="3"/>
  <c r="DH30" i="3"/>
  <c r="DI30" i="3"/>
  <c r="DJ30" i="3"/>
  <c r="DK30" i="3"/>
  <c r="DL30" i="3"/>
  <c r="DM30" i="3"/>
  <c r="DN30" i="3"/>
  <c r="DO30" i="3"/>
  <c r="DP30" i="3"/>
  <c r="DQ30" i="3"/>
  <c r="DR30" i="3"/>
  <c r="DS30" i="3"/>
  <c r="DT30" i="3"/>
  <c r="DU30" i="3"/>
  <c r="DV30" i="3"/>
  <c r="DW30" i="3"/>
  <c r="DX30" i="3"/>
  <c r="DY30" i="3"/>
  <c r="DZ30" i="3"/>
  <c r="EA30" i="3"/>
  <c r="EB30" i="3"/>
  <c r="EC30" i="3"/>
  <c r="ED30" i="3"/>
  <c r="EE30" i="3"/>
  <c r="EF30" i="3"/>
  <c r="EG30" i="3"/>
  <c r="EH30" i="3"/>
  <c r="EI30" i="3"/>
  <c r="EJ30" i="3"/>
  <c r="EK30" i="3"/>
  <c r="EL30" i="3"/>
  <c r="EM30" i="3"/>
  <c r="EN30" i="3"/>
  <c r="EO30" i="3"/>
  <c r="EP30" i="3"/>
  <c r="EQ30" i="3"/>
  <c r="ER30" i="3"/>
  <c r="ES30" i="3"/>
  <c r="ET30" i="3"/>
  <c r="EU30" i="3"/>
  <c r="EV30" i="3"/>
  <c r="EW30" i="3"/>
  <c r="EX30" i="3"/>
  <c r="EY30" i="3"/>
  <c r="EZ30" i="3"/>
  <c r="FA30" i="3"/>
  <c r="FB30" i="3"/>
  <c r="FC30" i="3"/>
  <c r="FD30" i="3"/>
  <c r="FE30" i="3"/>
  <c r="FF30" i="3"/>
  <c r="FG30" i="3"/>
  <c r="FH30" i="3"/>
  <c r="FI30" i="3"/>
  <c r="FJ30" i="3"/>
  <c r="FK30" i="3"/>
  <c r="FL30" i="3"/>
  <c r="FM30" i="3"/>
  <c r="FN30" i="3"/>
  <c r="FO30" i="3"/>
  <c r="FP30" i="3"/>
  <c r="FQ30" i="3"/>
  <c r="FR30" i="3"/>
  <c r="FS30" i="3"/>
  <c r="FT30" i="3"/>
  <c r="FU30" i="3"/>
  <c r="FV30" i="3"/>
  <c r="FW30" i="3"/>
  <c r="FX30" i="3"/>
  <c r="FY30" i="3"/>
  <c r="FZ30" i="3"/>
  <c r="GA30" i="3"/>
  <c r="GB30" i="3"/>
  <c r="GC30" i="3"/>
  <c r="GD30" i="3"/>
  <c r="GE30" i="3"/>
  <c r="GF30" i="3"/>
  <c r="GG30" i="3"/>
  <c r="GH30" i="3"/>
  <c r="GI30" i="3"/>
  <c r="GJ30" i="3"/>
  <c r="GK30" i="3"/>
  <c r="GL30" i="3"/>
  <c r="GM30" i="3"/>
  <c r="GN30" i="3"/>
  <c r="GO30" i="3"/>
  <c r="GP30" i="3"/>
  <c r="GQ30" i="3"/>
  <c r="GR30" i="3"/>
  <c r="GS30" i="3"/>
  <c r="GT30" i="3"/>
  <c r="GU30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DC31" i="3"/>
  <c r="DD31" i="3"/>
  <c r="DE31" i="3"/>
  <c r="DF31" i="3"/>
  <c r="DG31" i="3"/>
  <c r="DH31" i="3"/>
  <c r="DI31" i="3"/>
  <c r="DJ31" i="3"/>
  <c r="DK31" i="3"/>
  <c r="DL31" i="3"/>
  <c r="DM31" i="3"/>
  <c r="DN31" i="3"/>
  <c r="DO31" i="3"/>
  <c r="DP31" i="3"/>
  <c r="DQ31" i="3"/>
  <c r="DR31" i="3"/>
  <c r="DS31" i="3"/>
  <c r="DT31" i="3"/>
  <c r="DU31" i="3"/>
  <c r="DV31" i="3"/>
  <c r="DW31" i="3"/>
  <c r="DX31" i="3"/>
  <c r="DY31" i="3"/>
  <c r="DZ31" i="3"/>
  <c r="EA31" i="3"/>
  <c r="EB31" i="3"/>
  <c r="EC31" i="3"/>
  <c r="ED31" i="3"/>
  <c r="EE31" i="3"/>
  <c r="EF31" i="3"/>
  <c r="EG31" i="3"/>
  <c r="EH31" i="3"/>
  <c r="EI31" i="3"/>
  <c r="EJ31" i="3"/>
  <c r="EK31" i="3"/>
  <c r="EL31" i="3"/>
  <c r="EM31" i="3"/>
  <c r="EN31" i="3"/>
  <c r="EO31" i="3"/>
  <c r="EP31" i="3"/>
  <c r="EQ31" i="3"/>
  <c r="ER31" i="3"/>
  <c r="ES31" i="3"/>
  <c r="ET31" i="3"/>
  <c r="EU31" i="3"/>
  <c r="EV31" i="3"/>
  <c r="EW31" i="3"/>
  <c r="EX31" i="3"/>
  <c r="EY31" i="3"/>
  <c r="EZ31" i="3"/>
  <c r="FA31" i="3"/>
  <c r="FB31" i="3"/>
  <c r="FC31" i="3"/>
  <c r="FD31" i="3"/>
  <c r="FE31" i="3"/>
  <c r="FF31" i="3"/>
  <c r="FG31" i="3"/>
  <c r="FH31" i="3"/>
  <c r="FI31" i="3"/>
  <c r="FJ31" i="3"/>
  <c r="FK31" i="3"/>
  <c r="FL31" i="3"/>
  <c r="FM31" i="3"/>
  <c r="FN31" i="3"/>
  <c r="FO31" i="3"/>
  <c r="FP31" i="3"/>
  <c r="FQ31" i="3"/>
  <c r="FR31" i="3"/>
  <c r="FS31" i="3"/>
  <c r="FT31" i="3"/>
  <c r="FU31" i="3"/>
  <c r="FV31" i="3"/>
  <c r="FW31" i="3"/>
  <c r="FX31" i="3"/>
  <c r="FY31" i="3"/>
  <c r="FZ31" i="3"/>
  <c r="GA31" i="3"/>
  <c r="GB31" i="3"/>
  <c r="GC31" i="3"/>
  <c r="GD31" i="3"/>
  <c r="GE31" i="3"/>
  <c r="GF31" i="3"/>
  <c r="GG31" i="3"/>
  <c r="GH31" i="3"/>
  <c r="GI31" i="3"/>
  <c r="GJ31" i="3"/>
  <c r="GK31" i="3"/>
  <c r="GL31" i="3"/>
  <c r="GM31" i="3"/>
  <c r="GN31" i="3"/>
  <c r="GO31" i="3"/>
  <c r="GP31" i="3"/>
  <c r="GQ31" i="3"/>
  <c r="GR31" i="3"/>
  <c r="GS31" i="3"/>
  <c r="GT31" i="3"/>
  <c r="GU31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DC32" i="3"/>
  <c r="DD32" i="3"/>
  <c r="DE32" i="3"/>
  <c r="DF32" i="3"/>
  <c r="DG32" i="3"/>
  <c r="DH32" i="3"/>
  <c r="DI32" i="3"/>
  <c r="DJ32" i="3"/>
  <c r="DK32" i="3"/>
  <c r="DL32" i="3"/>
  <c r="DM32" i="3"/>
  <c r="DN32" i="3"/>
  <c r="DO32" i="3"/>
  <c r="DP32" i="3"/>
  <c r="DQ32" i="3"/>
  <c r="DR32" i="3"/>
  <c r="DS32" i="3"/>
  <c r="DT32" i="3"/>
  <c r="DU32" i="3"/>
  <c r="DV32" i="3"/>
  <c r="DW32" i="3"/>
  <c r="DX32" i="3"/>
  <c r="DY32" i="3"/>
  <c r="DZ32" i="3"/>
  <c r="EA32" i="3"/>
  <c r="EB32" i="3"/>
  <c r="EC32" i="3"/>
  <c r="ED32" i="3"/>
  <c r="EE32" i="3"/>
  <c r="EF32" i="3"/>
  <c r="EG32" i="3"/>
  <c r="EH32" i="3"/>
  <c r="EI32" i="3"/>
  <c r="EJ32" i="3"/>
  <c r="EK32" i="3"/>
  <c r="EL32" i="3"/>
  <c r="EM32" i="3"/>
  <c r="EN32" i="3"/>
  <c r="EO32" i="3"/>
  <c r="EP32" i="3"/>
  <c r="EQ32" i="3"/>
  <c r="ER32" i="3"/>
  <c r="ES32" i="3"/>
  <c r="ET32" i="3"/>
  <c r="EU32" i="3"/>
  <c r="EV32" i="3"/>
  <c r="EW32" i="3"/>
  <c r="EX32" i="3"/>
  <c r="EY32" i="3"/>
  <c r="EZ32" i="3"/>
  <c r="FA32" i="3"/>
  <c r="FB32" i="3"/>
  <c r="FC32" i="3"/>
  <c r="FD32" i="3"/>
  <c r="FE32" i="3"/>
  <c r="FF32" i="3"/>
  <c r="FG32" i="3"/>
  <c r="FH32" i="3"/>
  <c r="FI32" i="3"/>
  <c r="FJ32" i="3"/>
  <c r="FK32" i="3"/>
  <c r="FL32" i="3"/>
  <c r="FM32" i="3"/>
  <c r="FN32" i="3"/>
  <c r="FO32" i="3"/>
  <c r="FP32" i="3"/>
  <c r="FQ32" i="3"/>
  <c r="FR32" i="3"/>
  <c r="FS32" i="3"/>
  <c r="FT32" i="3"/>
  <c r="FU32" i="3"/>
  <c r="FV32" i="3"/>
  <c r="FW32" i="3"/>
  <c r="FX32" i="3"/>
  <c r="FY32" i="3"/>
  <c r="FZ32" i="3"/>
  <c r="GA32" i="3"/>
  <c r="GB32" i="3"/>
  <c r="GC32" i="3"/>
  <c r="GD32" i="3"/>
  <c r="GE32" i="3"/>
  <c r="GF32" i="3"/>
  <c r="GG32" i="3"/>
  <c r="GH32" i="3"/>
  <c r="GI32" i="3"/>
  <c r="GJ32" i="3"/>
  <c r="GK32" i="3"/>
  <c r="GL32" i="3"/>
  <c r="GM32" i="3"/>
  <c r="GN32" i="3"/>
  <c r="GO32" i="3"/>
  <c r="GP32" i="3"/>
  <c r="GQ32" i="3"/>
  <c r="GR32" i="3"/>
  <c r="GS32" i="3"/>
  <c r="GT32" i="3"/>
  <c r="GU32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DC33" i="3"/>
  <c r="DD33" i="3"/>
  <c r="DE33" i="3"/>
  <c r="DF33" i="3"/>
  <c r="DG33" i="3"/>
  <c r="DH33" i="3"/>
  <c r="DI33" i="3"/>
  <c r="DJ33" i="3"/>
  <c r="DK33" i="3"/>
  <c r="DL33" i="3"/>
  <c r="DM33" i="3"/>
  <c r="DN33" i="3"/>
  <c r="DO33" i="3"/>
  <c r="DP33" i="3"/>
  <c r="DQ33" i="3"/>
  <c r="DR33" i="3"/>
  <c r="DS33" i="3"/>
  <c r="DT33" i="3"/>
  <c r="DU33" i="3"/>
  <c r="DV33" i="3"/>
  <c r="DW33" i="3"/>
  <c r="DX33" i="3"/>
  <c r="DY33" i="3"/>
  <c r="DZ33" i="3"/>
  <c r="EA33" i="3"/>
  <c r="EB33" i="3"/>
  <c r="EC33" i="3"/>
  <c r="ED33" i="3"/>
  <c r="EE33" i="3"/>
  <c r="EF33" i="3"/>
  <c r="EG33" i="3"/>
  <c r="EH33" i="3"/>
  <c r="EI33" i="3"/>
  <c r="EJ33" i="3"/>
  <c r="EK33" i="3"/>
  <c r="EL33" i="3"/>
  <c r="EM33" i="3"/>
  <c r="EN33" i="3"/>
  <c r="EO33" i="3"/>
  <c r="EP33" i="3"/>
  <c r="EQ33" i="3"/>
  <c r="ER33" i="3"/>
  <c r="ES33" i="3"/>
  <c r="ET33" i="3"/>
  <c r="EU33" i="3"/>
  <c r="EV33" i="3"/>
  <c r="EW33" i="3"/>
  <c r="EX33" i="3"/>
  <c r="EY33" i="3"/>
  <c r="EZ33" i="3"/>
  <c r="FA33" i="3"/>
  <c r="FB33" i="3"/>
  <c r="FC33" i="3"/>
  <c r="FD33" i="3"/>
  <c r="FE33" i="3"/>
  <c r="FF33" i="3"/>
  <c r="FG33" i="3"/>
  <c r="FH33" i="3"/>
  <c r="FI33" i="3"/>
  <c r="FJ33" i="3"/>
  <c r="FK33" i="3"/>
  <c r="FL33" i="3"/>
  <c r="FM33" i="3"/>
  <c r="FN33" i="3"/>
  <c r="FO33" i="3"/>
  <c r="FP33" i="3"/>
  <c r="FQ33" i="3"/>
  <c r="FR33" i="3"/>
  <c r="FS33" i="3"/>
  <c r="FT33" i="3"/>
  <c r="FU33" i="3"/>
  <c r="FV33" i="3"/>
  <c r="FW33" i="3"/>
  <c r="FX33" i="3"/>
  <c r="FY33" i="3"/>
  <c r="FZ33" i="3"/>
  <c r="GA33" i="3"/>
  <c r="GB33" i="3"/>
  <c r="GC33" i="3"/>
  <c r="GD33" i="3"/>
  <c r="GE33" i="3"/>
  <c r="GF33" i="3"/>
  <c r="GG33" i="3"/>
  <c r="GH33" i="3"/>
  <c r="GI33" i="3"/>
  <c r="GJ33" i="3"/>
  <c r="GK33" i="3"/>
  <c r="GL33" i="3"/>
  <c r="GM33" i="3"/>
  <c r="GN33" i="3"/>
  <c r="GO33" i="3"/>
  <c r="GP33" i="3"/>
  <c r="GQ33" i="3"/>
  <c r="GR33" i="3"/>
  <c r="GS33" i="3"/>
  <c r="GT33" i="3"/>
  <c r="GU33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DC34" i="3"/>
  <c r="DD34" i="3"/>
  <c r="DE34" i="3"/>
  <c r="DF34" i="3"/>
  <c r="DG34" i="3"/>
  <c r="DH34" i="3"/>
  <c r="DI34" i="3"/>
  <c r="DJ34" i="3"/>
  <c r="DK34" i="3"/>
  <c r="DL34" i="3"/>
  <c r="DM34" i="3"/>
  <c r="DN34" i="3"/>
  <c r="DO34" i="3"/>
  <c r="DP34" i="3"/>
  <c r="DQ34" i="3"/>
  <c r="DR34" i="3"/>
  <c r="DS34" i="3"/>
  <c r="DT34" i="3"/>
  <c r="DU34" i="3"/>
  <c r="DV34" i="3"/>
  <c r="DW34" i="3"/>
  <c r="DX34" i="3"/>
  <c r="DY34" i="3"/>
  <c r="DZ34" i="3"/>
  <c r="EA34" i="3"/>
  <c r="EB34" i="3"/>
  <c r="EC34" i="3"/>
  <c r="ED34" i="3"/>
  <c r="EE34" i="3"/>
  <c r="EF34" i="3"/>
  <c r="EG34" i="3"/>
  <c r="EH34" i="3"/>
  <c r="EI34" i="3"/>
  <c r="EJ34" i="3"/>
  <c r="EK34" i="3"/>
  <c r="EL34" i="3"/>
  <c r="EM34" i="3"/>
  <c r="EN34" i="3"/>
  <c r="EO34" i="3"/>
  <c r="EP34" i="3"/>
  <c r="EQ34" i="3"/>
  <c r="ER34" i="3"/>
  <c r="ES34" i="3"/>
  <c r="ET34" i="3"/>
  <c r="EU34" i="3"/>
  <c r="EV34" i="3"/>
  <c r="EW34" i="3"/>
  <c r="EX34" i="3"/>
  <c r="EY34" i="3"/>
  <c r="EZ34" i="3"/>
  <c r="FA34" i="3"/>
  <c r="FB34" i="3"/>
  <c r="FC34" i="3"/>
  <c r="FD34" i="3"/>
  <c r="FE34" i="3"/>
  <c r="FF34" i="3"/>
  <c r="FG34" i="3"/>
  <c r="FH34" i="3"/>
  <c r="FI34" i="3"/>
  <c r="FJ34" i="3"/>
  <c r="FK34" i="3"/>
  <c r="FL34" i="3"/>
  <c r="FM34" i="3"/>
  <c r="FN34" i="3"/>
  <c r="FO34" i="3"/>
  <c r="FP34" i="3"/>
  <c r="FQ34" i="3"/>
  <c r="FR34" i="3"/>
  <c r="FS34" i="3"/>
  <c r="FT34" i="3"/>
  <c r="FU34" i="3"/>
  <c r="FV34" i="3"/>
  <c r="FW34" i="3"/>
  <c r="FX34" i="3"/>
  <c r="FY34" i="3"/>
  <c r="FZ34" i="3"/>
  <c r="GA34" i="3"/>
  <c r="GB34" i="3"/>
  <c r="GC34" i="3"/>
  <c r="GD34" i="3"/>
  <c r="GE34" i="3"/>
  <c r="GF34" i="3"/>
  <c r="GG34" i="3"/>
  <c r="GH34" i="3"/>
  <c r="GI34" i="3"/>
  <c r="GJ34" i="3"/>
  <c r="GK34" i="3"/>
  <c r="GL34" i="3"/>
  <c r="GM34" i="3"/>
  <c r="GN34" i="3"/>
  <c r="GO34" i="3"/>
  <c r="GP34" i="3"/>
  <c r="GQ34" i="3"/>
  <c r="GR34" i="3"/>
  <c r="GS34" i="3"/>
  <c r="GT34" i="3"/>
  <c r="GU34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DC35" i="3"/>
  <c r="DD35" i="3"/>
  <c r="DE35" i="3"/>
  <c r="DF35" i="3"/>
  <c r="DG35" i="3"/>
  <c r="DH35" i="3"/>
  <c r="DI35" i="3"/>
  <c r="DJ35" i="3"/>
  <c r="DK35" i="3"/>
  <c r="DL35" i="3"/>
  <c r="DM35" i="3"/>
  <c r="DN35" i="3"/>
  <c r="DO35" i="3"/>
  <c r="DP35" i="3"/>
  <c r="DQ35" i="3"/>
  <c r="DR35" i="3"/>
  <c r="DS35" i="3"/>
  <c r="DT35" i="3"/>
  <c r="DU35" i="3"/>
  <c r="DV35" i="3"/>
  <c r="DW35" i="3"/>
  <c r="DX35" i="3"/>
  <c r="DY35" i="3"/>
  <c r="DZ35" i="3"/>
  <c r="EA35" i="3"/>
  <c r="EB35" i="3"/>
  <c r="EC35" i="3"/>
  <c r="ED35" i="3"/>
  <c r="EE35" i="3"/>
  <c r="EF35" i="3"/>
  <c r="EG35" i="3"/>
  <c r="EH35" i="3"/>
  <c r="EI35" i="3"/>
  <c r="EJ35" i="3"/>
  <c r="EK35" i="3"/>
  <c r="EL35" i="3"/>
  <c r="EM35" i="3"/>
  <c r="EN35" i="3"/>
  <c r="EO35" i="3"/>
  <c r="EP35" i="3"/>
  <c r="EQ35" i="3"/>
  <c r="ER35" i="3"/>
  <c r="ES35" i="3"/>
  <c r="ET35" i="3"/>
  <c r="EU35" i="3"/>
  <c r="EV35" i="3"/>
  <c r="EW35" i="3"/>
  <c r="EX35" i="3"/>
  <c r="EY35" i="3"/>
  <c r="EZ35" i="3"/>
  <c r="FA35" i="3"/>
  <c r="FB35" i="3"/>
  <c r="FC35" i="3"/>
  <c r="FD35" i="3"/>
  <c r="FE35" i="3"/>
  <c r="FF35" i="3"/>
  <c r="FG35" i="3"/>
  <c r="FH35" i="3"/>
  <c r="FI35" i="3"/>
  <c r="FJ35" i="3"/>
  <c r="FK35" i="3"/>
  <c r="FL35" i="3"/>
  <c r="FM35" i="3"/>
  <c r="FN35" i="3"/>
  <c r="FO35" i="3"/>
  <c r="FP35" i="3"/>
  <c r="FQ35" i="3"/>
  <c r="FR35" i="3"/>
  <c r="FS35" i="3"/>
  <c r="FT35" i="3"/>
  <c r="FU35" i="3"/>
  <c r="FV35" i="3"/>
  <c r="FW35" i="3"/>
  <c r="FX35" i="3"/>
  <c r="FY35" i="3"/>
  <c r="FZ35" i="3"/>
  <c r="GA35" i="3"/>
  <c r="GB35" i="3"/>
  <c r="GC35" i="3"/>
  <c r="GD35" i="3"/>
  <c r="GE35" i="3"/>
  <c r="GF35" i="3"/>
  <c r="GG35" i="3"/>
  <c r="GH35" i="3"/>
  <c r="GI35" i="3"/>
  <c r="GJ35" i="3"/>
  <c r="GK35" i="3"/>
  <c r="GL35" i="3"/>
  <c r="GM35" i="3"/>
  <c r="GN35" i="3"/>
  <c r="GO35" i="3"/>
  <c r="GP35" i="3"/>
  <c r="GQ35" i="3"/>
  <c r="GR35" i="3"/>
  <c r="GS35" i="3"/>
  <c r="GT35" i="3"/>
  <c r="GU35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DC36" i="3"/>
  <c r="DD36" i="3"/>
  <c r="DE36" i="3"/>
  <c r="DF36" i="3"/>
  <c r="DG36" i="3"/>
  <c r="DH36" i="3"/>
  <c r="DI36" i="3"/>
  <c r="DJ36" i="3"/>
  <c r="DK36" i="3"/>
  <c r="DL36" i="3"/>
  <c r="DM36" i="3"/>
  <c r="DN36" i="3"/>
  <c r="DO36" i="3"/>
  <c r="DP36" i="3"/>
  <c r="DQ36" i="3"/>
  <c r="DR36" i="3"/>
  <c r="DS36" i="3"/>
  <c r="DT36" i="3"/>
  <c r="DU36" i="3"/>
  <c r="DV36" i="3"/>
  <c r="DW36" i="3"/>
  <c r="DX36" i="3"/>
  <c r="DY36" i="3"/>
  <c r="DZ36" i="3"/>
  <c r="EA36" i="3"/>
  <c r="EB36" i="3"/>
  <c r="EC36" i="3"/>
  <c r="ED36" i="3"/>
  <c r="EE36" i="3"/>
  <c r="EF36" i="3"/>
  <c r="EG36" i="3"/>
  <c r="EH36" i="3"/>
  <c r="EI36" i="3"/>
  <c r="EJ36" i="3"/>
  <c r="EK36" i="3"/>
  <c r="EL36" i="3"/>
  <c r="EM36" i="3"/>
  <c r="EN36" i="3"/>
  <c r="EO36" i="3"/>
  <c r="EP36" i="3"/>
  <c r="EQ36" i="3"/>
  <c r="ER36" i="3"/>
  <c r="ES36" i="3"/>
  <c r="ET36" i="3"/>
  <c r="EU36" i="3"/>
  <c r="EV36" i="3"/>
  <c r="EW36" i="3"/>
  <c r="EX36" i="3"/>
  <c r="EY36" i="3"/>
  <c r="EZ36" i="3"/>
  <c r="FA36" i="3"/>
  <c r="FB36" i="3"/>
  <c r="FC36" i="3"/>
  <c r="FD36" i="3"/>
  <c r="FE36" i="3"/>
  <c r="FF36" i="3"/>
  <c r="FG36" i="3"/>
  <c r="FH36" i="3"/>
  <c r="FI36" i="3"/>
  <c r="FJ36" i="3"/>
  <c r="FK36" i="3"/>
  <c r="FL36" i="3"/>
  <c r="FM36" i="3"/>
  <c r="FN36" i="3"/>
  <c r="FO36" i="3"/>
  <c r="FP36" i="3"/>
  <c r="FQ36" i="3"/>
  <c r="FR36" i="3"/>
  <c r="FS36" i="3"/>
  <c r="FT36" i="3"/>
  <c r="FU36" i="3"/>
  <c r="FV36" i="3"/>
  <c r="FW36" i="3"/>
  <c r="FX36" i="3"/>
  <c r="FY36" i="3"/>
  <c r="FZ36" i="3"/>
  <c r="GA36" i="3"/>
  <c r="GB36" i="3"/>
  <c r="GC36" i="3"/>
  <c r="GD36" i="3"/>
  <c r="GE36" i="3"/>
  <c r="GF36" i="3"/>
  <c r="GG36" i="3"/>
  <c r="GH36" i="3"/>
  <c r="GI36" i="3"/>
  <c r="GJ36" i="3"/>
  <c r="GK36" i="3"/>
  <c r="GL36" i="3"/>
  <c r="GM36" i="3"/>
  <c r="GN36" i="3"/>
  <c r="GO36" i="3"/>
  <c r="GP36" i="3"/>
  <c r="GQ36" i="3"/>
  <c r="GR36" i="3"/>
  <c r="GS36" i="3"/>
  <c r="GT36" i="3"/>
  <c r="GU36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DC37" i="3"/>
  <c r="DD37" i="3"/>
  <c r="DE37" i="3"/>
  <c r="DF37" i="3"/>
  <c r="DG37" i="3"/>
  <c r="DH37" i="3"/>
  <c r="DI37" i="3"/>
  <c r="DJ37" i="3"/>
  <c r="DK37" i="3"/>
  <c r="DL37" i="3"/>
  <c r="DM37" i="3"/>
  <c r="DN37" i="3"/>
  <c r="DO37" i="3"/>
  <c r="DP37" i="3"/>
  <c r="DQ37" i="3"/>
  <c r="DR37" i="3"/>
  <c r="DS37" i="3"/>
  <c r="DT37" i="3"/>
  <c r="DU37" i="3"/>
  <c r="DV37" i="3"/>
  <c r="DW37" i="3"/>
  <c r="DX37" i="3"/>
  <c r="DY37" i="3"/>
  <c r="DZ37" i="3"/>
  <c r="EA37" i="3"/>
  <c r="EB37" i="3"/>
  <c r="EC37" i="3"/>
  <c r="ED37" i="3"/>
  <c r="EE37" i="3"/>
  <c r="EF37" i="3"/>
  <c r="EG37" i="3"/>
  <c r="EH37" i="3"/>
  <c r="EI37" i="3"/>
  <c r="EJ37" i="3"/>
  <c r="EK37" i="3"/>
  <c r="EL37" i="3"/>
  <c r="EM37" i="3"/>
  <c r="EN37" i="3"/>
  <c r="EO37" i="3"/>
  <c r="EP37" i="3"/>
  <c r="EQ37" i="3"/>
  <c r="ER37" i="3"/>
  <c r="ES37" i="3"/>
  <c r="ET37" i="3"/>
  <c r="EU37" i="3"/>
  <c r="EV37" i="3"/>
  <c r="EW37" i="3"/>
  <c r="EX37" i="3"/>
  <c r="EY37" i="3"/>
  <c r="EZ37" i="3"/>
  <c r="FA37" i="3"/>
  <c r="FB37" i="3"/>
  <c r="FC37" i="3"/>
  <c r="FD37" i="3"/>
  <c r="FE37" i="3"/>
  <c r="FF37" i="3"/>
  <c r="FG37" i="3"/>
  <c r="FH37" i="3"/>
  <c r="FI37" i="3"/>
  <c r="FJ37" i="3"/>
  <c r="FK37" i="3"/>
  <c r="FL37" i="3"/>
  <c r="FM37" i="3"/>
  <c r="FN37" i="3"/>
  <c r="FO37" i="3"/>
  <c r="FP37" i="3"/>
  <c r="FQ37" i="3"/>
  <c r="FR37" i="3"/>
  <c r="FS37" i="3"/>
  <c r="FT37" i="3"/>
  <c r="FU37" i="3"/>
  <c r="FV37" i="3"/>
  <c r="FW37" i="3"/>
  <c r="FX37" i="3"/>
  <c r="FY37" i="3"/>
  <c r="FZ37" i="3"/>
  <c r="GA37" i="3"/>
  <c r="GB37" i="3"/>
  <c r="GC37" i="3"/>
  <c r="GD37" i="3"/>
  <c r="GE37" i="3"/>
  <c r="GF37" i="3"/>
  <c r="GG37" i="3"/>
  <c r="GH37" i="3"/>
  <c r="GI37" i="3"/>
  <c r="GJ37" i="3"/>
  <c r="GK37" i="3"/>
  <c r="GL37" i="3"/>
  <c r="GM37" i="3"/>
  <c r="GN37" i="3"/>
  <c r="GO37" i="3"/>
  <c r="GP37" i="3"/>
  <c r="GQ37" i="3"/>
  <c r="GR37" i="3"/>
  <c r="GS37" i="3"/>
  <c r="GT37" i="3"/>
  <c r="GU37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DC38" i="3"/>
  <c r="DD38" i="3"/>
  <c r="DE38" i="3"/>
  <c r="DF38" i="3"/>
  <c r="DG38" i="3"/>
  <c r="DH38" i="3"/>
  <c r="DI38" i="3"/>
  <c r="DJ38" i="3"/>
  <c r="DK38" i="3"/>
  <c r="DL38" i="3"/>
  <c r="DM38" i="3"/>
  <c r="DN38" i="3"/>
  <c r="DO38" i="3"/>
  <c r="DP38" i="3"/>
  <c r="DQ38" i="3"/>
  <c r="DR38" i="3"/>
  <c r="DS38" i="3"/>
  <c r="DT38" i="3"/>
  <c r="DU38" i="3"/>
  <c r="DV38" i="3"/>
  <c r="DW38" i="3"/>
  <c r="DX38" i="3"/>
  <c r="DY38" i="3"/>
  <c r="DZ38" i="3"/>
  <c r="EA38" i="3"/>
  <c r="EB38" i="3"/>
  <c r="EC38" i="3"/>
  <c r="ED38" i="3"/>
  <c r="EE38" i="3"/>
  <c r="EF38" i="3"/>
  <c r="EG38" i="3"/>
  <c r="EH38" i="3"/>
  <c r="EI38" i="3"/>
  <c r="EJ38" i="3"/>
  <c r="EK38" i="3"/>
  <c r="EL38" i="3"/>
  <c r="EM38" i="3"/>
  <c r="EN38" i="3"/>
  <c r="EO38" i="3"/>
  <c r="EP38" i="3"/>
  <c r="EQ38" i="3"/>
  <c r="ER38" i="3"/>
  <c r="ES38" i="3"/>
  <c r="ET38" i="3"/>
  <c r="EU38" i="3"/>
  <c r="EV38" i="3"/>
  <c r="EW38" i="3"/>
  <c r="EX38" i="3"/>
  <c r="EY38" i="3"/>
  <c r="EZ38" i="3"/>
  <c r="FA38" i="3"/>
  <c r="FB38" i="3"/>
  <c r="FC38" i="3"/>
  <c r="FD38" i="3"/>
  <c r="FE38" i="3"/>
  <c r="FF38" i="3"/>
  <c r="FG38" i="3"/>
  <c r="FH38" i="3"/>
  <c r="FI38" i="3"/>
  <c r="FJ38" i="3"/>
  <c r="FK38" i="3"/>
  <c r="FL38" i="3"/>
  <c r="FM38" i="3"/>
  <c r="FN38" i="3"/>
  <c r="FO38" i="3"/>
  <c r="FP38" i="3"/>
  <c r="FQ38" i="3"/>
  <c r="FR38" i="3"/>
  <c r="FS38" i="3"/>
  <c r="FT38" i="3"/>
  <c r="FU38" i="3"/>
  <c r="FV38" i="3"/>
  <c r="FW38" i="3"/>
  <c r="FX38" i="3"/>
  <c r="FY38" i="3"/>
  <c r="FZ38" i="3"/>
  <c r="GA38" i="3"/>
  <c r="GB38" i="3"/>
  <c r="GC38" i="3"/>
  <c r="GD38" i="3"/>
  <c r="GE38" i="3"/>
  <c r="GF38" i="3"/>
  <c r="GG38" i="3"/>
  <c r="GH38" i="3"/>
  <c r="GI38" i="3"/>
  <c r="GJ38" i="3"/>
  <c r="GK38" i="3"/>
  <c r="GL38" i="3"/>
  <c r="GM38" i="3"/>
  <c r="GN38" i="3"/>
  <c r="GO38" i="3"/>
  <c r="GP38" i="3"/>
  <c r="GQ38" i="3"/>
  <c r="GR38" i="3"/>
  <c r="GS38" i="3"/>
  <c r="GT38" i="3"/>
  <c r="GU38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DC39" i="3"/>
  <c r="DD39" i="3"/>
  <c r="DE39" i="3"/>
  <c r="DF39" i="3"/>
  <c r="DG39" i="3"/>
  <c r="DH39" i="3"/>
  <c r="DI39" i="3"/>
  <c r="DJ39" i="3"/>
  <c r="DK39" i="3"/>
  <c r="DL39" i="3"/>
  <c r="DM39" i="3"/>
  <c r="DN39" i="3"/>
  <c r="DO39" i="3"/>
  <c r="DP39" i="3"/>
  <c r="DQ39" i="3"/>
  <c r="DR39" i="3"/>
  <c r="DS39" i="3"/>
  <c r="DT39" i="3"/>
  <c r="DU39" i="3"/>
  <c r="DV39" i="3"/>
  <c r="DW39" i="3"/>
  <c r="DX39" i="3"/>
  <c r="DY39" i="3"/>
  <c r="DZ39" i="3"/>
  <c r="EA39" i="3"/>
  <c r="EB39" i="3"/>
  <c r="EC39" i="3"/>
  <c r="ED39" i="3"/>
  <c r="EE39" i="3"/>
  <c r="EF39" i="3"/>
  <c r="EG39" i="3"/>
  <c r="EH39" i="3"/>
  <c r="EI39" i="3"/>
  <c r="EJ39" i="3"/>
  <c r="EK39" i="3"/>
  <c r="EL39" i="3"/>
  <c r="EM39" i="3"/>
  <c r="EN39" i="3"/>
  <c r="EO39" i="3"/>
  <c r="EP39" i="3"/>
  <c r="EQ39" i="3"/>
  <c r="ER39" i="3"/>
  <c r="ES39" i="3"/>
  <c r="ET39" i="3"/>
  <c r="EU39" i="3"/>
  <c r="EV39" i="3"/>
  <c r="EW39" i="3"/>
  <c r="EX39" i="3"/>
  <c r="EY39" i="3"/>
  <c r="EZ39" i="3"/>
  <c r="FA39" i="3"/>
  <c r="FB39" i="3"/>
  <c r="FC39" i="3"/>
  <c r="FD39" i="3"/>
  <c r="FE39" i="3"/>
  <c r="FF39" i="3"/>
  <c r="FG39" i="3"/>
  <c r="FH39" i="3"/>
  <c r="FI39" i="3"/>
  <c r="FJ39" i="3"/>
  <c r="FK39" i="3"/>
  <c r="FL39" i="3"/>
  <c r="FM39" i="3"/>
  <c r="FN39" i="3"/>
  <c r="FO39" i="3"/>
  <c r="FP39" i="3"/>
  <c r="FQ39" i="3"/>
  <c r="FR39" i="3"/>
  <c r="FS39" i="3"/>
  <c r="FT39" i="3"/>
  <c r="FU39" i="3"/>
  <c r="FV39" i="3"/>
  <c r="FW39" i="3"/>
  <c r="FX39" i="3"/>
  <c r="FY39" i="3"/>
  <c r="FZ39" i="3"/>
  <c r="GA39" i="3"/>
  <c r="GB39" i="3"/>
  <c r="GC39" i="3"/>
  <c r="GD39" i="3"/>
  <c r="GE39" i="3"/>
  <c r="GF39" i="3"/>
  <c r="GG39" i="3"/>
  <c r="GH39" i="3"/>
  <c r="GI39" i="3"/>
  <c r="GJ39" i="3"/>
  <c r="GK39" i="3"/>
  <c r="GL39" i="3"/>
  <c r="GM39" i="3"/>
  <c r="GN39" i="3"/>
  <c r="GO39" i="3"/>
  <c r="GP39" i="3"/>
  <c r="GQ39" i="3"/>
  <c r="GR39" i="3"/>
  <c r="GS39" i="3"/>
  <c r="GT39" i="3"/>
  <c r="GU39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DC40" i="3"/>
  <c r="DD40" i="3"/>
  <c r="DE40" i="3"/>
  <c r="DF40" i="3"/>
  <c r="DG40" i="3"/>
  <c r="DH40" i="3"/>
  <c r="DI40" i="3"/>
  <c r="DJ40" i="3"/>
  <c r="DK40" i="3"/>
  <c r="DL40" i="3"/>
  <c r="DM40" i="3"/>
  <c r="DN40" i="3"/>
  <c r="DO40" i="3"/>
  <c r="DP40" i="3"/>
  <c r="DQ40" i="3"/>
  <c r="DR40" i="3"/>
  <c r="DS40" i="3"/>
  <c r="DT40" i="3"/>
  <c r="DU40" i="3"/>
  <c r="DV40" i="3"/>
  <c r="DW40" i="3"/>
  <c r="DX40" i="3"/>
  <c r="DY40" i="3"/>
  <c r="DZ40" i="3"/>
  <c r="EA40" i="3"/>
  <c r="EB40" i="3"/>
  <c r="EC40" i="3"/>
  <c r="ED40" i="3"/>
  <c r="EE40" i="3"/>
  <c r="EF40" i="3"/>
  <c r="EG40" i="3"/>
  <c r="EH40" i="3"/>
  <c r="EI40" i="3"/>
  <c r="EJ40" i="3"/>
  <c r="EK40" i="3"/>
  <c r="EL40" i="3"/>
  <c r="EM40" i="3"/>
  <c r="EN40" i="3"/>
  <c r="EO40" i="3"/>
  <c r="EP40" i="3"/>
  <c r="EQ40" i="3"/>
  <c r="ER40" i="3"/>
  <c r="ES40" i="3"/>
  <c r="ET40" i="3"/>
  <c r="EU40" i="3"/>
  <c r="EV40" i="3"/>
  <c r="EW40" i="3"/>
  <c r="EX40" i="3"/>
  <c r="EY40" i="3"/>
  <c r="EZ40" i="3"/>
  <c r="FA40" i="3"/>
  <c r="FB40" i="3"/>
  <c r="FC40" i="3"/>
  <c r="FD40" i="3"/>
  <c r="FE40" i="3"/>
  <c r="FF40" i="3"/>
  <c r="FG40" i="3"/>
  <c r="FH40" i="3"/>
  <c r="FI40" i="3"/>
  <c r="FJ40" i="3"/>
  <c r="FK40" i="3"/>
  <c r="FL40" i="3"/>
  <c r="FM40" i="3"/>
  <c r="FN40" i="3"/>
  <c r="FO40" i="3"/>
  <c r="FP40" i="3"/>
  <c r="FQ40" i="3"/>
  <c r="FR40" i="3"/>
  <c r="FS40" i="3"/>
  <c r="FT40" i="3"/>
  <c r="FU40" i="3"/>
  <c r="FV40" i="3"/>
  <c r="FW40" i="3"/>
  <c r="FX40" i="3"/>
  <c r="FY40" i="3"/>
  <c r="FZ40" i="3"/>
  <c r="GA40" i="3"/>
  <c r="GB40" i="3"/>
  <c r="GC40" i="3"/>
  <c r="GD40" i="3"/>
  <c r="GE40" i="3"/>
  <c r="GF40" i="3"/>
  <c r="GG40" i="3"/>
  <c r="GH40" i="3"/>
  <c r="GI40" i="3"/>
  <c r="GJ40" i="3"/>
  <c r="GK40" i="3"/>
  <c r="GL40" i="3"/>
  <c r="GM40" i="3"/>
  <c r="GN40" i="3"/>
  <c r="GO40" i="3"/>
  <c r="GP40" i="3"/>
  <c r="GQ40" i="3"/>
  <c r="GR40" i="3"/>
  <c r="GS40" i="3"/>
  <c r="GT40" i="3"/>
  <c r="GU40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DC41" i="3"/>
  <c r="DD41" i="3"/>
  <c r="DE41" i="3"/>
  <c r="DF41" i="3"/>
  <c r="DG41" i="3"/>
  <c r="DH41" i="3"/>
  <c r="DI41" i="3"/>
  <c r="DJ41" i="3"/>
  <c r="DK41" i="3"/>
  <c r="DL41" i="3"/>
  <c r="DM41" i="3"/>
  <c r="DN41" i="3"/>
  <c r="DO41" i="3"/>
  <c r="DP41" i="3"/>
  <c r="DQ41" i="3"/>
  <c r="DR41" i="3"/>
  <c r="DS41" i="3"/>
  <c r="DT41" i="3"/>
  <c r="DU41" i="3"/>
  <c r="DV41" i="3"/>
  <c r="DW41" i="3"/>
  <c r="DX41" i="3"/>
  <c r="DY41" i="3"/>
  <c r="DZ41" i="3"/>
  <c r="EA41" i="3"/>
  <c r="EB41" i="3"/>
  <c r="EC41" i="3"/>
  <c r="ED41" i="3"/>
  <c r="EE41" i="3"/>
  <c r="EF41" i="3"/>
  <c r="EG41" i="3"/>
  <c r="EH41" i="3"/>
  <c r="EI41" i="3"/>
  <c r="EJ41" i="3"/>
  <c r="EK41" i="3"/>
  <c r="EL41" i="3"/>
  <c r="EM41" i="3"/>
  <c r="EN41" i="3"/>
  <c r="EO41" i="3"/>
  <c r="EP41" i="3"/>
  <c r="EQ41" i="3"/>
  <c r="ER41" i="3"/>
  <c r="ES41" i="3"/>
  <c r="ET41" i="3"/>
  <c r="EU41" i="3"/>
  <c r="EV41" i="3"/>
  <c r="EW41" i="3"/>
  <c r="EX41" i="3"/>
  <c r="EY41" i="3"/>
  <c r="EZ41" i="3"/>
  <c r="FA41" i="3"/>
  <c r="FB41" i="3"/>
  <c r="FC41" i="3"/>
  <c r="FD41" i="3"/>
  <c r="FE41" i="3"/>
  <c r="FF41" i="3"/>
  <c r="FG41" i="3"/>
  <c r="FH41" i="3"/>
  <c r="FI41" i="3"/>
  <c r="FJ41" i="3"/>
  <c r="FK41" i="3"/>
  <c r="FL41" i="3"/>
  <c r="FM41" i="3"/>
  <c r="FN41" i="3"/>
  <c r="FO41" i="3"/>
  <c r="FP41" i="3"/>
  <c r="FQ41" i="3"/>
  <c r="FR41" i="3"/>
  <c r="FS41" i="3"/>
  <c r="FT41" i="3"/>
  <c r="FU41" i="3"/>
  <c r="FV41" i="3"/>
  <c r="FW41" i="3"/>
  <c r="FX41" i="3"/>
  <c r="FY41" i="3"/>
  <c r="FZ41" i="3"/>
  <c r="GA41" i="3"/>
  <c r="GB41" i="3"/>
  <c r="GC41" i="3"/>
  <c r="GD41" i="3"/>
  <c r="GE41" i="3"/>
  <c r="GF41" i="3"/>
  <c r="GG41" i="3"/>
  <c r="GH41" i="3"/>
  <c r="GI41" i="3"/>
  <c r="GJ41" i="3"/>
  <c r="GK41" i="3"/>
  <c r="GL41" i="3"/>
  <c r="GM41" i="3"/>
  <c r="GN41" i="3"/>
  <c r="GO41" i="3"/>
  <c r="GP41" i="3"/>
  <c r="GQ41" i="3"/>
  <c r="GR41" i="3"/>
  <c r="GS41" i="3"/>
  <c r="GT41" i="3"/>
  <c r="GU41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DC42" i="3"/>
  <c r="DD42" i="3"/>
  <c r="DE42" i="3"/>
  <c r="DF42" i="3"/>
  <c r="DG42" i="3"/>
  <c r="DH42" i="3"/>
  <c r="DI42" i="3"/>
  <c r="DJ42" i="3"/>
  <c r="DK42" i="3"/>
  <c r="DL42" i="3"/>
  <c r="DM42" i="3"/>
  <c r="DN42" i="3"/>
  <c r="DO42" i="3"/>
  <c r="DP42" i="3"/>
  <c r="DQ42" i="3"/>
  <c r="DR42" i="3"/>
  <c r="DS42" i="3"/>
  <c r="DT42" i="3"/>
  <c r="DU42" i="3"/>
  <c r="DV42" i="3"/>
  <c r="DW42" i="3"/>
  <c r="DX42" i="3"/>
  <c r="DY42" i="3"/>
  <c r="DZ42" i="3"/>
  <c r="EA42" i="3"/>
  <c r="EB42" i="3"/>
  <c r="EC42" i="3"/>
  <c r="ED42" i="3"/>
  <c r="EE42" i="3"/>
  <c r="EF42" i="3"/>
  <c r="EG42" i="3"/>
  <c r="EH42" i="3"/>
  <c r="EI42" i="3"/>
  <c r="EJ42" i="3"/>
  <c r="EK42" i="3"/>
  <c r="EL42" i="3"/>
  <c r="EM42" i="3"/>
  <c r="EN42" i="3"/>
  <c r="EO42" i="3"/>
  <c r="EP42" i="3"/>
  <c r="EQ42" i="3"/>
  <c r="ER42" i="3"/>
  <c r="ES42" i="3"/>
  <c r="ET42" i="3"/>
  <c r="EU42" i="3"/>
  <c r="EV42" i="3"/>
  <c r="EW42" i="3"/>
  <c r="EX42" i="3"/>
  <c r="EY42" i="3"/>
  <c r="EZ42" i="3"/>
  <c r="FA42" i="3"/>
  <c r="FB42" i="3"/>
  <c r="FC42" i="3"/>
  <c r="FD42" i="3"/>
  <c r="FE42" i="3"/>
  <c r="FF42" i="3"/>
  <c r="FG42" i="3"/>
  <c r="FH42" i="3"/>
  <c r="FI42" i="3"/>
  <c r="FJ42" i="3"/>
  <c r="FK42" i="3"/>
  <c r="FL42" i="3"/>
  <c r="FM42" i="3"/>
  <c r="FN42" i="3"/>
  <c r="FO42" i="3"/>
  <c r="FP42" i="3"/>
  <c r="FQ42" i="3"/>
  <c r="FR42" i="3"/>
  <c r="FS42" i="3"/>
  <c r="FT42" i="3"/>
  <c r="FU42" i="3"/>
  <c r="FV42" i="3"/>
  <c r="FW42" i="3"/>
  <c r="FX42" i="3"/>
  <c r="FY42" i="3"/>
  <c r="FZ42" i="3"/>
  <c r="GA42" i="3"/>
  <c r="GB42" i="3"/>
  <c r="GC42" i="3"/>
  <c r="GD42" i="3"/>
  <c r="GE42" i="3"/>
  <c r="GF42" i="3"/>
  <c r="GG42" i="3"/>
  <c r="GH42" i="3"/>
  <c r="GI42" i="3"/>
  <c r="GJ42" i="3"/>
  <c r="GK42" i="3"/>
  <c r="GL42" i="3"/>
  <c r="GM42" i="3"/>
  <c r="GN42" i="3"/>
  <c r="GO42" i="3"/>
  <c r="GP42" i="3"/>
  <c r="GQ42" i="3"/>
  <c r="GR42" i="3"/>
  <c r="GS42" i="3"/>
  <c r="GT42" i="3"/>
  <c r="GU42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DC43" i="3"/>
  <c r="DD43" i="3"/>
  <c r="DE43" i="3"/>
  <c r="DF43" i="3"/>
  <c r="DG43" i="3"/>
  <c r="DH43" i="3"/>
  <c r="DI43" i="3"/>
  <c r="DJ43" i="3"/>
  <c r="DK43" i="3"/>
  <c r="DL43" i="3"/>
  <c r="DM43" i="3"/>
  <c r="DN43" i="3"/>
  <c r="DO43" i="3"/>
  <c r="DP43" i="3"/>
  <c r="DQ43" i="3"/>
  <c r="DR43" i="3"/>
  <c r="DS43" i="3"/>
  <c r="DT43" i="3"/>
  <c r="DU43" i="3"/>
  <c r="DV43" i="3"/>
  <c r="DW43" i="3"/>
  <c r="DX43" i="3"/>
  <c r="DY43" i="3"/>
  <c r="DZ43" i="3"/>
  <c r="EA43" i="3"/>
  <c r="EB43" i="3"/>
  <c r="EC43" i="3"/>
  <c r="ED43" i="3"/>
  <c r="EE43" i="3"/>
  <c r="EF43" i="3"/>
  <c r="EG43" i="3"/>
  <c r="EH43" i="3"/>
  <c r="EI43" i="3"/>
  <c r="EJ43" i="3"/>
  <c r="EK43" i="3"/>
  <c r="EL43" i="3"/>
  <c r="EM43" i="3"/>
  <c r="EN43" i="3"/>
  <c r="EO43" i="3"/>
  <c r="EP43" i="3"/>
  <c r="EQ43" i="3"/>
  <c r="ER43" i="3"/>
  <c r="ES43" i="3"/>
  <c r="ET43" i="3"/>
  <c r="EU43" i="3"/>
  <c r="EV43" i="3"/>
  <c r="EW43" i="3"/>
  <c r="EX43" i="3"/>
  <c r="EY43" i="3"/>
  <c r="EZ43" i="3"/>
  <c r="FA43" i="3"/>
  <c r="FB43" i="3"/>
  <c r="FC43" i="3"/>
  <c r="FD43" i="3"/>
  <c r="FE43" i="3"/>
  <c r="FF43" i="3"/>
  <c r="FG43" i="3"/>
  <c r="FH43" i="3"/>
  <c r="FI43" i="3"/>
  <c r="FJ43" i="3"/>
  <c r="FK43" i="3"/>
  <c r="FL43" i="3"/>
  <c r="FM43" i="3"/>
  <c r="FN43" i="3"/>
  <c r="FO43" i="3"/>
  <c r="FP43" i="3"/>
  <c r="FQ43" i="3"/>
  <c r="FR43" i="3"/>
  <c r="FS43" i="3"/>
  <c r="FT43" i="3"/>
  <c r="FU43" i="3"/>
  <c r="FV43" i="3"/>
  <c r="FW43" i="3"/>
  <c r="FX43" i="3"/>
  <c r="FY43" i="3"/>
  <c r="FZ43" i="3"/>
  <c r="GA43" i="3"/>
  <c r="GB43" i="3"/>
  <c r="GC43" i="3"/>
  <c r="GD43" i="3"/>
  <c r="GE43" i="3"/>
  <c r="GF43" i="3"/>
  <c r="GG43" i="3"/>
  <c r="GH43" i="3"/>
  <c r="GI43" i="3"/>
  <c r="GJ43" i="3"/>
  <c r="GK43" i="3"/>
  <c r="GL43" i="3"/>
  <c r="GM43" i="3"/>
  <c r="GN43" i="3"/>
  <c r="GO43" i="3"/>
  <c r="GP43" i="3"/>
  <c r="GQ43" i="3"/>
  <c r="GR43" i="3"/>
  <c r="GS43" i="3"/>
  <c r="GT43" i="3"/>
  <c r="GU43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DC44" i="3"/>
  <c r="DD44" i="3"/>
  <c r="DE44" i="3"/>
  <c r="DF44" i="3"/>
  <c r="DG44" i="3"/>
  <c r="DH44" i="3"/>
  <c r="DI44" i="3"/>
  <c r="DJ44" i="3"/>
  <c r="DK44" i="3"/>
  <c r="DL44" i="3"/>
  <c r="DM44" i="3"/>
  <c r="DN44" i="3"/>
  <c r="DO44" i="3"/>
  <c r="DP44" i="3"/>
  <c r="DQ44" i="3"/>
  <c r="DR44" i="3"/>
  <c r="DS44" i="3"/>
  <c r="DT44" i="3"/>
  <c r="DU44" i="3"/>
  <c r="DV44" i="3"/>
  <c r="DW44" i="3"/>
  <c r="DX44" i="3"/>
  <c r="DY44" i="3"/>
  <c r="DZ44" i="3"/>
  <c r="EA44" i="3"/>
  <c r="EB44" i="3"/>
  <c r="EC44" i="3"/>
  <c r="ED44" i="3"/>
  <c r="EE44" i="3"/>
  <c r="EF44" i="3"/>
  <c r="EG44" i="3"/>
  <c r="EH44" i="3"/>
  <c r="EI44" i="3"/>
  <c r="EJ44" i="3"/>
  <c r="EK44" i="3"/>
  <c r="EL44" i="3"/>
  <c r="EM44" i="3"/>
  <c r="EN44" i="3"/>
  <c r="EO44" i="3"/>
  <c r="EP44" i="3"/>
  <c r="EQ44" i="3"/>
  <c r="ER44" i="3"/>
  <c r="ES44" i="3"/>
  <c r="ET44" i="3"/>
  <c r="EU44" i="3"/>
  <c r="EV44" i="3"/>
  <c r="EW44" i="3"/>
  <c r="EX44" i="3"/>
  <c r="EY44" i="3"/>
  <c r="EZ44" i="3"/>
  <c r="FA44" i="3"/>
  <c r="FB44" i="3"/>
  <c r="FC44" i="3"/>
  <c r="FD44" i="3"/>
  <c r="FE44" i="3"/>
  <c r="FF44" i="3"/>
  <c r="FG44" i="3"/>
  <c r="FH44" i="3"/>
  <c r="FI44" i="3"/>
  <c r="FJ44" i="3"/>
  <c r="FK44" i="3"/>
  <c r="FL44" i="3"/>
  <c r="FM44" i="3"/>
  <c r="FN44" i="3"/>
  <c r="FO44" i="3"/>
  <c r="FP44" i="3"/>
  <c r="FQ44" i="3"/>
  <c r="FR44" i="3"/>
  <c r="FS44" i="3"/>
  <c r="FT44" i="3"/>
  <c r="FU44" i="3"/>
  <c r="FV44" i="3"/>
  <c r="FW44" i="3"/>
  <c r="FX44" i="3"/>
  <c r="FY44" i="3"/>
  <c r="FZ44" i="3"/>
  <c r="GA44" i="3"/>
  <c r="GB44" i="3"/>
  <c r="GC44" i="3"/>
  <c r="GD44" i="3"/>
  <c r="GE44" i="3"/>
  <c r="GF44" i="3"/>
  <c r="GG44" i="3"/>
  <c r="GH44" i="3"/>
  <c r="GI44" i="3"/>
  <c r="GJ44" i="3"/>
  <c r="GK44" i="3"/>
  <c r="GL44" i="3"/>
  <c r="GM44" i="3"/>
  <c r="GN44" i="3"/>
  <c r="GO44" i="3"/>
  <c r="GP44" i="3"/>
  <c r="GQ44" i="3"/>
  <c r="GR44" i="3"/>
  <c r="GS44" i="3"/>
  <c r="GT44" i="3"/>
  <c r="GU44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DC45" i="3"/>
  <c r="DD45" i="3"/>
  <c r="DE45" i="3"/>
  <c r="DF45" i="3"/>
  <c r="DG45" i="3"/>
  <c r="DH45" i="3"/>
  <c r="DI45" i="3"/>
  <c r="DJ45" i="3"/>
  <c r="DK45" i="3"/>
  <c r="DL45" i="3"/>
  <c r="DM45" i="3"/>
  <c r="DN45" i="3"/>
  <c r="DO45" i="3"/>
  <c r="DP45" i="3"/>
  <c r="DQ45" i="3"/>
  <c r="DR45" i="3"/>
  <c r="DS45" i="3"/>
  <c r="DT45" i="3"/>
  <c r="DU45" i="3"/>
  <c r="DV45" i="3"/>
  <c r="DW45" i="3"/>
  <c r="DX45" i="3"/>
  <c r="DY45" i="3"/>
  <c r="DZ45" i="3"/>
  <c r="EA45" i="3"/>
  <c r="EB45" i="3"/>
  <c r="EC45" i="3"/>
  <c r="ED45" i="3"/>
  <c r="EE45" i="3"/>
  <c r="EF45" i="3"/>
  <c r="EG45" i="3"/>
  <c r="EH45" i="3"/>
  <c r="EI45" i="3"/>
  <c r="EJ45" i="3"/>
  <c r="EK45" i="3"/>
  <c r="EL45" i="3"/>
  <c r="EM45" i="3"/>
  <c r="EN45" i="3"/>
  <c r="EO45" i="3"/>
  <c r="EP45" i="3"/>
  <c r="EQ45" i="3"/>
  <c r="ER45" i="3"/>
  <c r="ES45" i="3"/>
  <c r="ET45" i="3"/>
  <c r="EU45" i="3"/>
  <c r="EV45" i="3"/>
  <c r="EW45" i="3"/>
  <c r="EX45" i="3"/>
  <c r="EY45" i="3"/>
  <c r="EZ45" i="3"/>
  <c r="FA45" i="3"/>
  <c r="FB45" i="3"/>
  <c r="FC45" i="3"/>
  <c r="FD45" i="3"/>
  <c r="FE45" i="3"/>
  <c r="FF45" i="3"/>
  <c r="FG45" i="3"/>
  <c r="FH45" i="3"/>
  <c r="FI45" i="3"/>
  <c r="FJ45" i="3"/>
  <c r="FK45" i="3"/>
  <c r="FL45" i="3"/>
  <c r="FM45" i="3"/>
  <c r="FN45" i="3"/>
  <c r="FO45" i="3"/>
  <c r="FP45" i="3"/>
  <c r="FQ45" i="3"/>
  <c r="FR45" i="3"/>
  <c r="FS45" i="3"/>
  <c r="FT45" i="3"/>
  <c r="FU45" i="3"/>
  <c r="FV45" i="3"/>
  <c r="FW45" i="3"/>
  <c r="FX45" i="3"/>
  <c r="FY45" i="3"/>
  <c r="FZ45" i="3"/>
  <c r="GA45" i="3"/>
  <c r="GB45" i="3"/>
  <c r="GC45" i="3"/>
  <c r="GD45" i="3"/>
  <c r="GE45" i="3"/>
  <c r="GF45" i="3"/>
  <c r="GG45" i="3"/>
  <c r="GH45" i="3"/>
  <c r="GI45" i="3"/>
  <c r="GJ45" i="3"/>
  <c r="GK45" i="3"/>
  <c r="GL45" i="3"/>
  <c r="GM45" i="3"/>
  <c r="GN45" i="3"/>
  <c r="GO45" i="3"/>
  <c r="GP45" i="3"/>
  <c r="GQ45" i="3"/>
  <c r="GR45" i="3"/>
  <c r="GS45" i="3"/>
  <c r="GT45" i="3"/>
  <c r="GU45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DC46" i="3"/>
  <c r="DD46" i="3"/>
  <c r="DE46" i="3"/>
  <c r="DF46" i="3"/>
  <c r="DG46" i="3"/>
  <c r="DH46" i="3"/>
  <c r="DI46" i="3"/>
  <c r="DJ46" i="3"/>
  <c r="DK46" i="3"/>
  <c r="DL46" i="3"/>
  <c r="DM46" i="3"/>
  <c r="DN46" i="3"/>
  <c r="DO46" i="3"/>
  <c r="DP46" i="3"/>
  <c r="DQ46" i="3"/>
  <c r="DR46" i="3"/>
  <c r="DS46" i="3"/>
  <c r="DT46" i="3"/>
  <c r="DU46" i="3"/>
  <c r="DV46" i="3"/>
  <c r="DW46" i="3"/>
  <c r="DX46" i="3"/>
  <c r="DY46" i="3"/>
  <c r="DZ46" i="3"/>
  <c r="EA46" i="3"/>
  <c r="EB46" i="3"/>
  <c r="EC46" i="3"/>
  <c r="ED46" i="3"/>
  <c r="EE46" i="3"/>
  <c r="EF46" i="3"/>
  <c r="EG46" i="3"/>
  <c r="EH46" i="3"/>
  <c r="EI46" i="3"/>
  <c r="EJ46" i="3"/>
  <c r="EK46" i="3"/>
  <c r="EL46" i="3"/>
  <c r="EM46" i="3"/>
  <c r="EN46" i="3"/>
  <c r="EO46" i="3"/>
  <c r="EP46" i="3"/>
  <c r="EQ46" i="3"/>
  <c r="ER46" i="3"/>
  <c r="ES46" i="3"/>
  <c r="ET46" i="3"/>
  <c r="EU46" i="3"/>
  <c r="EV46" i="3"/>
  <c r="EW46" i="3"/>
  <c r="EX46" i="3"/>
  <c r="EY46" i="3"/>
  <c r="EZ46" i="3"/>
  <c r="FA46" i="3"/>
  <c r="FB46" i="3"/>
  <c r="FC46" i="3"/>
  <c r="FD46" i="3"/>
  <c r="FE46" i="3"/>
  <c r="FF46" i="3"/>
  <c r="FG46" i="3"/>
  <c r="FH46" i="3"/>
  <c r="FI46" i="3"/>
  <c r="FJ46" i="3"/>
  <c r="FK46" i="3"/>
  <c r="FL46" i="3"/>
  <c r="FM46" i="3"/>
  <c r="FN46" i="3"/>
  <c r="FO46" i="3"/>
  <c r="FP46" i="3"/>
  <c r="FQ46" i="3"/>
  <c r="FR46" i="3"/>
  <c r="FS46" i="3"/>
  <c r="FT46" i="3"/>
  <c r="FU46" i="3"/>
  <c r="FV46" i="3"/>
  <c r="FW46" i="3"/>
  <c r="FX46" i="3"/>
  <c r="FY46" i="3"/>
  <c r="FZ46" i="3"/>
  <c r="GA46" i="3"/>
  <c r="GB46" i="3"/>
  <c r="GC46" i="3"/>
  <c r="GD46" i="3"/>
  <c r="GE46" i="3"/>
  <c r="GF46" i="3"/>
  <c r="GG46" i="3"/>
  <c r="GH46" i="3"/>
  <c r="GI46" i="3"/>
  <c r="GJ46" i="3"/>
  <c r="GK46" i="3"/>
  <c r="GL46" i="3"/>
  <c r="GM46" i="3"/>
  <c r="GN46" i="3"/>
  <c r="GO46" i="3"/>
  <c r="GP46" i="3"/>
  <c r="GQ46" i="3"/>
  <c r="GR46" i="3"/>
  <c r="GS46" i="3"/>
  <c r="GT46" i="3"/>
  <c r="GU46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DC47" i="3"/>
  <c r="DD47" i="3"/>
  <c r="DE47" i="3"/>
  <c r="DF47" i="3"/>
  <c r="DG47" i="3"/>
  <c r="DH47" i="3"/>
  <c r="DI47" i="3"/>
  <c r="DJ47" i="3"/>
  <c r="DK47" i="3"/>
  <c r="DL47" i="3"/>
  <c r="DM47" i="3"/>
  <c r="DN47" i="3"/>
  <c r="DO47" i="3"/>
  <c r="DP47" i="3"/>
  <c r="DQ47" i="3"/>
  <c r="DR47" i="3"/>
  <c r="DS47" i="3"/>
  <c r="DT47" i="3"/>
  <c r="DU47" i="3"/>
  <c r="DV47" i="3"/>
  <c r="DW47" i="3"/>
  <c r="DX47" i="3"/>
  <c r="DY47" i="3"/>
  <c r="DZ47" i="3"/>
  <c r="EA47" i="3"/>
  <c r="EB47" i="3"/>
  <c r="EC47" i="3"/>
  <c r="ED47" i="3"/>
  <c r="EE47" i="3"/>
  <c r="EF47" i="3"/>
  <c r="EG47" i="3"/>
  <c r="EH47" i="3"/>
  <c r="EI47" i="3"/>
  <c r="EJ47" i="3"/>
  <c r="EK47" i="3"/>
  <c r="EL47" i="3"/>
  <c r="EM47" i="3"/>
  <c r="EN47" i="3"/>
  <c r="EO47" i="3"/>
  <c r="EP47" i="3"/>
  <c r="EQ47" i="3"/>
  <c r="ER47" i="3"/>
  <c r="ES47" i="3"/>
  <c r="ET47" i="3"/>
  <c r="EU47" i="3"/>
  <c r="EV47" i="3"/>
  <c r="EW47" i="3"/>
  <c r="EX47" i="3"/>
  <c r="EY47" i="3"/>
  <c r="EZ47" i="3"/>
  <c r="FA47" i="3"/>
  <c r="FB47" i="3"/>
  <c r="FC47" i="3"/>
  <c r="FD47" i="3"/>
  <c r="FE47" i="3"/>
  <c r="FF47" i="3"/>
  <c r="FG47" i="3"/>
  <c r="FH47" i="3"/>
  <c r="FI47" i="3"/>
  <c r="FJ47" i="3"/>
  <c r="FK47" i="3"/>
  <c r="FL47" i="3"/>
  <c r="FM47" i="3"/>
  <c r="FN47" i="3"/>
  <c r="FO47" i="3"/>
  <c r="FP47" i="3"/>
  <c r="FQ47" i="3"/>
  <c r="FR47" i="3"/>
  <c r="FS47" i="3"/>
  <c r="FT47" i="3"/>
  <c r="FU47" i="3"/>
  <c r="FV47" i="3"/>
  <c r="FW47" i="3"/>
  <c r="FX47" i="3"/>
  <c r="FY47" i="3"/>
  <c r="FZ47" i="3"/>
  <c r="GA47" i="3"/>
  <c r="GB47" i="3"/>
  <c r="GC47" i="3"/>
  <c r="GD47" i="3"/>
  <c r="GE47" i="3"/>
  <c r="GF47" i="3"/>
  <c r="GG47" i="3"/>
  <c r="GH47" i="3"/>
  <c r="GI47" i="3"/>
  <c r="GJ47" i="3"/>
  <c r="GK47" i="3"/>
  <c r="GL47" i="3"/>
  <c r="GM47" i="3"/>
  <c r="GN47" i="3"/>
  <c r="GO47" i="3"/>
  <c r="GP47" i="3"/>
  <c r="GQ47" i="3"/>
  <c r="GR47" i="3"/>
  <c r="GS47" i="3"/>
  <c r="GT47" i="3"/>
  <c r="GU47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DC48" i="3"/>
  <c r="DD48" i="3"/>
  <c r="DE48" i="3"/>
  <c r="DF48" i="3"/>
  <c r="DG48" i="3"/>
  <c r="DH48" i="3"/>
  <c r="DI48" i="3"/>
  <c r="DJ48" i="3"/>
  <c r="DK48" i="3"/>
  <c r="DL48" i="3"/>
  <c r="DM48" i="3"/>
  <c r="DN48" i="3"/>
  <c r="DO48" i="3"/>
  <c r="DP48" i="3"/>
  <c r="DQ48" i="3"/>
  <c r="DR48" i="3"/>
  <c r="DS48" i="3"/>
  <c r="DT48" i="3"/>
  <c r="DU48" i="3"/>
  <c r="DV48" i="3"/>
  <c r="DW48" i="3"/>
  <c r="DX48" i="3"/>
  <c r="DY48" i="3"/>
  <c r="DZ48" i="3"/>
  <c r="EA48" i="3"/>
  <c r="EB48" i="3"/>
  <c r="EC48" i="3"/>
  <c r="ED48" i="3"/>
  <c r="EE48" i="3"/>
  <c r="EF48" i="3"/>
  <c r="EG48" i="3"/>
  <c r="EH48" i="3"/>
  <c r="EI48" i="3"/>
  <c r="EJ48" i="3"/>
  <c r="EK48" i="3"/>
  <c r="EL48" i="3"/>
  <c r="EM48" i="3"/>
  <c r="EN48" i="3"/>
  <c r="EO48" i="3"/>
  <c r="EP48" i="3"/>
  <c r="EQ48" i="3"/>
  <c r="ER48" i="3"/>
  <c r="ES48" i="3"/>
  <c r="ET48" i="3"/>
  <c r="EU48" i="3"/>
  <c r="EV48" i="3"/>
  <c r="EW48" i="3"/>
  <c r="EX48" i="3"/>
  <c r="EY48" i="3"/>
  <c r="EZ48" i="3"/>
  <c r="FA48" i="3"/>
  <c r="FB48" i="3"/>
  <c r="FC48" i="3"/>
  <c r="FD48" i="3"/>
  <c r="FE48" i="3"/>
  <c r="FF48" i="3"/>
  <c r="FG48" i="3"/>
  <c r="FH48" i="3"/>
  <c r="FI48" i="3"/>
  <c r="FJ48" i="3"/>
  <c r="FK48" i="3"/>
  <c r="FL48" i="3"/>
  <c r="FM48" i="3"/>
  <c r="FN48" i="3"/>
  <c r="FO48" i="3"/>
  <c r="FP48" i="3"/>
  <c r="FQ48" i="3"/>
  <c r="FR48" i="3"/>
  <c r="FS48" i="3"/>
  <c r="FT48" i="3"/>
  <c r="FU48" i="3"/>
  <c r="FV48" i="3"/>
  <c r="FW48" i="3"/>
  <c r="FX48" i="3"/>
  <c r="FY48" i="3"/>
  <c r="FZ48" i="3"/>
  <c r="GA48" i="3"/>
  <c r="GB48" i="3"/>
  <c r="GC48" i="3"/>
  <c r="GD48" i="3"/>
  <c r="GE48" i="3"/>
  <c r="GF48" i="3"/>
  <c r="GG48" i="3"/>
  <c r="GH48" i="3"/>
  <c r="GI48" i="3"/>
  <c r="GJ48" i="3"/>
  <c r="GK48" i="3"/>
  <c r="GL48" i="3"/>
  <c r="GM48" i="3"/>
  <c r="GN48" i="3"/>
  <c r="GO48" i="3"/>
  <c r="GP48" i="3"/>
  <c r="GQ48" i="3"/>
  <c r="GR48" i="3"/>
  <c r="GS48" i="3"/>
  <c r="GT48" i="3"/>
  <c r="GU48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DC49" i="3"/>
  <c r="DD49" i="3"/>
  <c r="DE49" i="3"/>
  <c r="DF49" i="3"/>
  <c r="DG49" i="3"/>
  <c r="DH49" i="3"/>
  <c r="DI49" i="3"/>
  <c r="DJ49" i="3"/>
  <c r="DK49" i="3"/>
  <c r="DL49" i="3"/>
  <c r="DM49" i="3"/>
  <c r="DN49" i="3"/>
  <c r="DO49" i="3"/>
  <c r="DP49" i="3"/>
  <c r="DQ49" i="3"/>
  <c r="DR49" i="3"/>
  <c r="DS49" i="3"/>
  <c r="DT49" i="3"/>
  <c r="DU49" i="3"/>
  <c r="DV49" i="3"/>
  <c r="DW49" i="3"/>
  <c r="DX49" i="3"/>
  <c r="DY49" i="3"/>
  <c r="DZ49" i="3"/>
  <c r="EA49" i="3"/>
  <c r="EB49" i="3"/>
  <c r="EC49" i="3"/>
  <c r="ED49" i="3"/>
  <c r="EE49" i="3"/>
  <c r="EF49" i="3"/>
  <c r="EG49" i="3"/>
  <c r="EH49" i="3"/>
  <c r="EI49" i="3"/>
  <c r="EJ49" i="3"/>
  <c r="EK49" i="3"/>
  <c r="EL49" i="3"/>
  <c r="EM49" i="3"/>
  <c r="EN49" i="3"/>
  <c r="EO49" i="3"/>
  <c r="EP49" i="3"/>
  <c r="EQ49" i="3"/>
  <c r="ER49" i="3"/>
  <c r="ES49" i="3"/>
  <c r="ET49" i="3"/>
  <c r="EU49" i="3"/>
  <c r="EV49" i="3"/>
  <c r="EW49" i="3"/>
  <c r="EX49" i="3"/>
  <c r="EY49" i="3"/>
  <c r="EZ49" i="3"/>
  <c r="FA49" i="3"/>
  <c r="FB49" i="3"/>
  <c r="FC49" i="3"/>
  <c r="FD49" i="3"/>
  <c r="FE49" i="3"/>
  <c r="FF49" i="3"/>
  <c r="FG49" i="3"/>
  <c r="FH49" i="3"/>
  <c r="FI49" i="3"/>
  <c r="FJ49" i="3"/>
  <c r="FK49" i="3"/>
  <c r="FL49" i="3"/>
  <c r="FM49" i="3"/>
  <c r="FN49" i="3"/>
  <c r="FO49" i="3"/>
  <c r="FP49" i="3"/>
  <c r="FQ49" i="3"/>
  <c r="FR49" i="3"/>
  <c r="FS49" i="3"/>
  <c r="FT49" i="3"/>
  <c r="FU49" i="3"/>
  <c r="FV49" i="3"/>
  <c r="FW49" i="3"/>
  <c r="FX49" i="3"/>
  <c r="FY49" i="3"/>
  <c r="FZ49" i="3"/>
  <c r="GA49" i="3"/>
  <c r="GB49" i="3"/>
  <c r="GC49" i="3"/>
  <c r="GD49" i="3"/>
  <c r="GE49" i="3"/>
  <c r="GF49" i="3"/>
  <c r="GG49" i="3"/>
  <c r="GH49" i="3"/>
  <c r="GI49" i="3"/>
  <c r="GJ49" i="3"/>
  <c r="GK49" i="3"/>
  <c r="GL49" i="3"/>
  <c r="GM49" i="3"/>
  <c r="GN49" i="3"/>
  <c r="GO49" i="3"/>
  <c r="GP49" i="3"/>
  <c r="GQ49" i="3"/>
  <c r="GR49" i="3"/>
  <c r="GS49" i="3"/>
  <c r="GT49" i="3"/>
  <c r="GU49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DC50" i="3"/>
  <c r="DD50" i="3"/>
  <c r="DE50" i="3"/>
  <c r="DF50" i="3"/>
  <c r="DG50" i="3"/>
  <c r="DH50" i="3"/>
  <c r="DI50" i="3"/>
  <c r="DJ50" i="3"/>
  <c r="DK50" i="3"/>
  <c r="DL50" i="3"/>
  <c r="DM50" i="3"/>
  <c r="DN50" i="3"/>
  <c r="DO50" i="3"/>
  <c r="DP50" i="3"/>
  <c r="DQ50" i="3"/>
  <c r="DR50" i="3"/>
  <c r="DS50" i="3"/>
  <c r="DT50" i="3"/>
  <c r="DU50" i="3"/>
  <c r="DV50" i="3"/>
  <c r="DW50" i="3"/>
  <c r="DX50" i="3"/>
  <c r="DY50" i="3"/>
  <c r="DZ50" i="3"/>
  <c r="EA50" i="3"/>
  <c r="EB50" i="3"/>
  <c r="EC50" i="3"/>
  <c r="ED50" i="3"/>
  <c r="EE50" i="3"/>
  <c r="EF50" i="3"/>
  <c r="EG50" i="3"/>
  <c r="EH50" i="3"/>
  <c r="EI50" i="3"/>
  <c r="EJ50" i="3"/>
  <c r="EK50" i="3"/>
  <c r="EL50" i="3"/>
  <c r="EM50" i="3"/>
  <c r="EN50" i="3"/>
  <c r="EO50" i="3"/>
  <c r="EP50" i="3"/>
  <c r="EQ50" i="3"/>
  <c r="ER50" i="3"/>
  <c r="ES50" i="3"/>
  <c r="ET50" i="3"/>
  <c r="EU50" i="3"/>
  <c r="EV50" i="3"/>
  <c r="EW50" i="3"/>
  <c r="EX50" i="3"/>
  <c r="EY50" i="3"/>
  <c r="EZ50" i="3"/>
  <c r="FA50" i="3"/>
  <c r="FB50" i="3"/>
  <c r="FC50" i="3"/>
  <c r="FD50" i="3"/>
  <c r="FE50" i="3"/>
  <c r="FF50" i="3"/>
  <c r="FG50" i="3"/>
  <c r="FH50" i="3"/>
  <c r="FI50" i="3"/>
  <c r="FJ50" i="3"/>
  <c r="FK50" i="3"/>
  <c r="FL50" i="3"/>
  <c r="FM50" i="3"/>
  <c r="FN50" i="3"/>
  <c r="FO50" i="3"/>
  <c r="FP50" i="3"/>
  <c r="FQ50" i="3"/>
  <c r="FR50" i="3"/>
  <c r="FS50" i="3"/>
  <c r="FT50" i="3"/>
  <c r="FU50" i="3"/>
  <c r="FV50" i="3"/>
  <c r="FW50" i="3"/>
  <c r="FX50" i="3"/>
  <c r="FY50" i="3"/>
  <c r="FZ50" i="3"/>
  <c r="GA50" i="3"/>
  <c r="GB50" i="3"/>
  <c r="GC50" i="3"/>
  <c r="GD50" i="3"/>
  <c r="GE50" i="3"/>
  <c r="GF50" i="3"/>
  <c r="GG50" i="3"/>
  <c r="GH50" i="3"/>
  <c r="GI50" i="3"/>
  <c r="GJ50" i="3"/>
  <c r="GK50" i="3"/>
  <c r="GL50" i="3"/>
  <c r="GM50" i="3"/>
  <c r="GN50" i="3"/>
  <c r="GO50" i="3"/>
  <c r="GP50" i="3"/>
  <c r="GQ50" i="3"/>
  <c r="GR50" i="3"/>
  <c r="GS50" i="3"/>
  <c r="GT50" i="3"/>
  <c r="GU50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DC51" i="3"/>
  <c r="DD51" i="3"/>
  <c r="DE51" i="3"/>
  <c r="DF51" i="3"/>
  <c r="DG51" i="3"/>
  <c r="DH51" i="3"/>
  <c r="DI51" i="3"/>
  <c r="DJ51" i="3"/>
  <c r="DK51" i="3"/>
  <c r="DL51" i="3"/>
  <c r="DM51" i="3"/>
  <c r="DN51" i="3"/>
  <c r="DO51" i="3"/>
  <c r="DP51" i="3"/>
  <c r="DQ51" i="3"/>
  <c r="DR51" i="3"/>
  <c r="DS51" i="3"/>
  <c r="DT51" i="3"/>
  <c r="DU51" i="3"/>
  <c r="DV51" i="3"/>
  <c r="DW51" i="3"/>
  <c r="DX51" i="3"/>
  <c r="DY51" i="3"/>
  <c r="DZ51" i="3"/>
  <c r="EA51" i="3"/>
  <c r="EB51" i="3"/>
  <c r="EC51" i="3"/>
  <c r="ED51" i="3"/>
  <c r="EE51" i="3"/>
  <c r="EF51" i="3"/>
  <c r="EG51" i="3"/>
  <c r="EH51" i="3"/>
  <c r="EI51" i="3"/>
  <c r="EJ51" i="3"/>
  <c r="EK51" i="3"/>
  <c r="EL51" i="3"/>
  <c r="EM51" i="3"/>
  <c r="EN51" i="3"/>
  <c r="EO51" i="3"/>
  <c r="EP51" i="3"/>
  <c r="EQ51" i="3"/>
  <c r="ER51" i="3"/>
  <c r="ES51" i="3"/>
  <c r="ET51" i="3"/>
  <c r="EU51" i="3"/>
  <c r="EV51" i="3"/>
  <c r="EW51" i="3"/>
  <c r="EX51" i="3"/>
  <c r="EY51" i="3"/>
  <c r="EZ51" i="3"/>
  <c r="FA51" i="3"/>
  <c r="FB51" i="3"/>
  <c r="FC51" i="3"/>
  <c r="FD51" i="3"/>
  <c r="FE51" i="3"/>
  <c r="FF51" i="3"/>
  <c r="FG51" i="3"/>
  <c r="FH51" i="3"/>
  <c r="FI51" i="3"/>
  <c r="FJ51" i="3"/>
  <c r="FK51" i="3"/>
  <c r="FL51" i="3"/>
  <c r="FM51" i="3"/>
  <c r="FN51" i="3"/>
  <c r="FO51" i="3"/>
  <c r="FP51" i="3"/>
  <c r="FQ51" i="3"/>
  <c r="FR51" i="3"/>
  <c r="FS51" i="3"/>
  <c r="FT51" i="3"/>
  <c r="FU51" i="3"/>
  <c r="FV51" i="3"/>
  <c r="FW51" i="3"/>
  <c r="FX51" i="3"/>
  <c r="FY51" i="3"/>
  <c r="FZ51" i="3"/>
  <c r="GA51" i="3"/>
  <c r="GB51" i="3"/>
  <c r="GC51" i="3"/>
  <c r="GD51" i="3"/>
  <c r="GE51" i="3"/>
  <c r="GF51" i="3"/>
  <c r="GG51" i="3"/>
  <c r="GH51" i="3"/>
  <c r="GI51" i="3"/>
  <c r="GJ51" i="3"/>
  <c r="GK51" i="3"/>
  <c r="GL51" i="3"/>
  <c r="GM51" i="3"/>
  <c r="GN51" i="3"/>
  <c r="GO51" i="3"/>
  <c r="GP51" i="3"/>
  <c r="GQ51" i="3"/>
  <c r="GR51" i="3"/>
  <c r="GS51" i="3"/>
  <c r="GT51" i="3"/>
  <c r="GU51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DC52" i="3"/>
  <c r="DD52" i="3"/>
  <c r="DE52" i="3"/>
  <c r="DF52" i="3"/>
  <c r="DG52" i="3"/>
  <c r="DH52" i="3"/>
  <c r="DI52" i="3"/>
  <c r="DJ52" i="3"/>
  <c r="DK52" i="3"/>
  <c r="DL52" i="3"/>
  <c r="DM52" i="3"/>
  <c r="DN52" i="3"/>
  <c r="DO52" i="3"/>
  <c r="DP52" i="3"/>
  <c r="DQ52" i="3"/>
  <c r="DR52" i="3"/>
  <c r="DS52" i="3"/>
  <c r="DT52" i="3"/>
  <c r="DU52" i="3"/>
  <c r="DV52" i="3"/>
  <c r="DW52" i="3"/>
  <c r="DX52" i="3"/>
  <c r="DY52" i="3"/>
  <c r="DZ52" i="3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O52" i="3"/>
  <c r="EP52" i="3"/>
  <c r="EQ52" i="3"/>
  <c r="ER52" i="3"/>
  <c r="ES52" i="3"/>
  <c r="ET52" i="3"/>
  <c r="EU52" i="3"/>
  <c r="EV52" i="3"/>
  <c r="EW52" i="3"/>
  <c r="EX52" i="3"/>
  <c r="EY52" i="3"/>
  <c r="EZ52" i="3"/>
  <c r="FA52" i="3"/>
  <c r="FB52" i="3"/>
  <c r="FC52" i="3"/>
  <c r="FD52" i="3"/>
  <c r="FE52" i="3"/>
  <c r="FF52" i="3"/>
  <c r="FG52" i="3"/>
  <c r="FH52" i="3"/>
  <c r="FI52" i="3"/>
  <c r="FJ52" i="3"/>
  <c r="FK52" i="3"/>
  <c r="FL52" i="3"/>
  <c r="FM52" i="3"/>
  <c r="FN52" i="3"/>
  <c r="FO52" i="3"/>
  <c r="FP52" i="3"/>
  <c r="FQ52" i="3"/>
  <c r="FR52" i="3"/>
  <c r="FS52" i="3"/>
  <c r="FT52" i="3"/>
  <c r="FU52" i="3"/>
  <c r="FV52" i="3"/>
  <c r="FW52" i="3"/>
  <c r="FX52" i="3"/>
  <c r="FY52" i="3"/>
  <c r="FZ52" i="3"/>
  <c r="GA52" i="3"/>
  <c r="GB52" i="3"/>
  <c r="GC52" i="3"/>
  <c r="GD52" i="3"/>
  <c r="GE52" i="3"/>
  <c r="GF52" i="3"/>
  <c r="GG52" i="3"/>
  <c r="GH52" i="3"/>
  <c r="GI52" i="3"/>
  <c r="GJ52" i="3"/>
  <c r="GK52" i="3"/>
  <c r="GL52" i="3"/>
  <c r="GM52" i="3"/>
  <c r="GN52" i="3"/>
  <c r="GO52" i="3"/>
  <c r="GP52" i="3"/>
  <c r="GQ52" i="3"/>
  <c r="GR52" i="3"/>
  <c r="GS52" i="3"/>
  <c r="GT52" i="3"/>
  <c r="GU52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DC53" i="3"/>
  <c r="DD53" i="3"/>
  <c r="DE53" i="3"/>
  <c r="DF53" i="3"/>
  <c r="DG53" i="3"/>
  <c r="DH53" i="3"/>
  <c r="DI53" i="3"/>
  <c r="DJ53" i="3"/>
  <c r="DK53" i="3"/>
  <c r="DL53" i="3"/>
  <c r="DM53" i="3"/>
  <c r="DN53" i="3"/>
  <c r="DO53" i="3"/>
  <c r="DP53" i="3"/>
  <c r="DQ53" i="3"/>
  <c r="DR53" i="3"/>
  <c r="DS53" i="3"/>
  <c r="DT53" i="3"/>
  <c r="DU53" i="3"/>
  <c r="DV53" i="3"/>
  <c r="DW53" i="3"/>
  <c r="DX53" i="3"/>
  <c r="DY53" i="3"/>
  <c r="DZ53" i="3"/>
  <c r="EA53" i="3"/>
  <c r="EB53" i="3"/>
  <c r="EC53" i="3"/>
  <c r="ED53" i="3"/>
  <c r="EE53" i="3"/>
  <c r="EF53" i="3"/>
  <c r="EG53" i="3"/>
  <c r="EH53" i="3"/>
  <c r="EI53" i="3"/>
  <c r="EJ53" i="3"/>
  <c r="EK53" i="3"/>
  <c r="EL53" i="3"/>
  <c r="EM53" i="3"/>
  <c r="EN53" i="3"/>
  <c r="EO53" i="3"/>
  <c r="EP53" i="3"/>
  <c r="EQ53" i="3"/>
  <c r="ER53" i="3"/>
  <c r="ES53" i="3"/>
  <c r="ET53" i="3"/>
  <c r="EU53" i="3"/>
  <c r="EV53" i="3"/>
  <c r="EW53" i="3"/>
  <c r="EX53" i="3"/>
  <c r="EY53" i="3"/>
  <c r="EZ53" i="3"/>
  <c r="FA53" i="3"/>
  <c r="FB53" i="3"/>
  <c r="FC53" i="3"/>
  <c r="FD53" i="3"/>
  <c r="FE53" i="3"/>
  <c r="FF53" i="3"/>
  <c r="FG53" i="3"/>
  <c r="FH53" i="3"/>
  <c r="FI53" i="3"/>
  <c r="FJ53" i="3"/>
  <c r="FK53" i="3"/>
  <c r="FL53" i="3"/>
  <c r="FM53" i="3"/>
  <c r="FN53" i="3"/>
  <c r="FO53" i="3"/>
  <c r="FP53" i="3"/>
  <c r="FQ53" i="3"/>
  <c r="FR53" i="3"/>
  <c r="FS53" i="3"/>
  <c r="FT53" i="3"/>
  <c r="FU53" i="3"/>
  <c r="FV53" i="3"/>
  <c r="FW53" i="3"/>
  <c r="FX53" i="3"/>
  <c r="FY53" i="3"/>
  <c r="FZ53" i="3"/>
  <c r="GA53" i="3"/>
  <c r="GB53" i="3"/>
  <c r="GC53" i="3"/>
  <c r="GD53" i="3"/>
  <c r="GE53" i="3"/>
  <c r="GF53" i="3"/>
  <c r="GG53" i="3"/>
  <c r="GH53" i="3"/>
  <c r="GI53" i="3"/>
  <c r="GJ53" i="3"/>
  <c r="GK53" i="3"/>
  <c r="GL53" i="3"/>
  <c r="GM53" i="3"/>
  <c r="GN53" i="3"/>
  <c r="GO53" i="3"/>
  <c r="GP53" i="3"/>
  <c r="GQ53" i="3"/>
  <c r="GR53" i="3"/>
  <c r="GS53" i="3"/>
  <c r="GT53" i="3"/>
  <c r="GU53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DC54" i="3"/>
  <c r="DD54" i="3"/>
  <c r="DE54" i="3"/>
  <c r="DF54" i="3"/>
  <c r="DG54" i="3"/>
  <c r="DH54" i="3"/>
  <c r="DI54" i="3"/>
  <c r="DJ54" i="3"/>
  <c r="DK54" i="3"/>
  <c r="DL54" i="3"/>
  <c r="DM54" i="3"/>
  <c r="DN54" i="3"/>
  <c r="DO54" i="3"/>
  <c r="DP54" i="3"/>
  <c r="DQ54" i="3"/>
  <c r="DR54" i="3"/>
  <c r="DS54" i="3"/>
  <c r="DT54" i="3"/>
  <c r="DU54" i="3"/>
  <c r="DV54" i="3"/>
  <c r="DW54" i="3"/>
  <c r="DX54" i="3"/>
  <c r="DY54" i="3"/>
  <c r="DZ54" i="3"/>
  <c r="EA54" i="3"/>
  <c r="EB54" i="3"/>
  <c r="EC54" i="3"/>
  <c r="ED54" i="3"/>
  <c r="EE54" i="3"/>
  <c r="EF54" i="3"/>
  <c r="EG54" i="3"/>
  <c r="EH54" i="3"/>
  <c r="EI54" i="3"/>
  <c r="EJ54" i="3"/>
  <c r="EK54" i="3"/>
  <c r="EL54" i="3"/>
  <c r="EM54" i="3"/>
  <c r="EN54" i="3"/>
  <c r="EO54" i="3"/>
  <c r="EP54" i="3"/>
  <c r="EQ54" i="3"/>
  <c r="ER54" i="3"/>
  <c r="ES54" i="3"/>
  <c r="ET54" i="3"/>
  <c r="EU54" i="3"/>
  <c r="EV54" i="3"/>
  <c r="EW54" i="3"/>
  <c r="EX54" i="3"/>
  <c r="EY54" i="3"/>
  <c r="EZ54" i="3"/>
  <c r="FA54" i="3"/>
  <c r="FB54" i="3"/>
  <c r="FC54" i="3"/>
  <c r="FD54" i="3"/>
  <c r="FE54" i="3"/>
  <c r="FF54" i="3"/>
  <c r="FG54" i="3"/>
  <c r="FH54" i="3"/>
  <c r="FI54" i="3"/>
  <c r="FJ54" i="3"/>
  <c r="FK54" i="3"/>
  <c r="FL54" i="3"/>
  <c r="FM54" i="3"/>
  <c r="FN54" i="3"/>
  <c r="FO54" i="3"/>
  <c r="FP54" i="3"/>
  <c r="FQ54" i="3"/>
  <c r="FR54" i="3"/>
  <c r="FS54" i="3"/>
  <c r="FT54" i="3"/>
  <c r="FU54" i="3"/>
  <c r="FV54" i="3"/>
  <c r="FW54" i="3"/>
  <c r="FX54" i="3"/>
  <c r="FY54" i="3"/>
  <c r="FZ54" i="3"/>
  <c r="GA54" i="3"/>
  <c r="GB54" i="3"/>
  <c r="GC54" i="3"/>
  <c r="GD54" i="3"/>
  <c r="GE54" i="3"/>
  <c r="GF54" i="3"/>
  <c r="GG54" i="3"/>
  <c r="GH54" i="3"/>
  <c r="GI54" i="3"/>
  <c r="GJ54" i="3"/>
  <c r="GK54" i="3"/>
  <c r="GL54" i="3"/>
  <c r="GM54" i="3"/>
  <c r="GN54" i="3"/>
  <c r="GO54" i="3"/>
  <c r="GP54" i="3"/>
  <c r="GQ54" i="3"/>
  <c r="GR54" i="3"/>
  <c r="GS54" i="3"/>
  <c r="GT54" i="3"/>
  <c r="GU54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DC55" i="3"/>
  <c r="DD55" i="3"/>
  <c r="DE55" i="3"/>
  <c r="DF55" i="3"/>
  <c r="DG55" i="3"/>
  <c r="DH55" i="3"/>
  <c r="DI55" i="3"/>
  <c r="DJ55" i="3"/>
  <c r="DK55" i="3"/>
  <c r="DL55" i="3"/>
  <c r="DM55" i="3"/>
  <c r="DN55" i="3"/>
  <c r="DO55" i="3"/>
  <c r="DP55" i="3"/>
  <c r="DQ55" i="3"/>
  <c r="DR55" i="3"/>
  <c r="DS55" i="3"/>
  <c r="DT55" i="3"/>
  <c r="DU55" i="3"/>
  <c r="DV55" i="3"/>
  <c r="DW55" i="3"/>
  <c r="DX55" i="3"/>
  <c r="DY55" i="3"/>
  <c r="DZ55" i="3"/>
  <c r="EA55" i="3"/>
  <c r="EB55" i="3"/>
  <c r="EC55" i="3"/>
  <c r="ED55" i="3"/>
  <c r="EE55" i="3"/>
  <c r="EF55" i="3"/>
  <c r="EG55" i="3"/>
  <c r="EH55" i="3"/>
  <c r="EI55" i="3"/>
  <c r="EJ55" i="3"/>
  <c r="EK55" i="3"/>
  <c r="EL55" i="3"/>
  <c r="EM55" i="3"/>
  <c r="EN55" i="3"/>
  <c r="EO55" i="3"/>
  <c r="EP55" i="3"/>
  <c r="EQ55" i="3"/>
  <c r="ER55" i="3"/>
  <c r="ES55" i="3"/>
  <c r="ET55" i="3"/>
  <c r="EU55" i="3"/>
  <c r="EV55" i="3"/>
  <c r="EW55" i="3"/>
  <c r="EX55" i="3"/>
  <c r="EY55" i="3"/>
  <c r="EZ55" i="3"/>
  <c r="FA55" i="3"/>
  <c r="FB55" i="3"/>
  <c r="FC55" i="3"/>
  <c r="FD55" i="3"/>
  <c r="FE55" i="3"/>
  <c r="FF55" i="3"/>
  <c r="FG55" i="3"/>
  <c r="FH55" i="3"/>
  <c r="FI55" i="3"/>
  <c r="FJ55" i="3"/>
  <c r="FK55" i="3"/>
  <c r="FL55" i="3"/>
  <c r="FM55" i="3"/>
  <c r="FN55" i="3"/>
  <c r="FO55" i="3"/>
  <c r="FP55" i="3"/>
  <c r="FQ55" i="3"/>
  <c r="FR55" i="3"/>
  <c r="FS55" i="3"/>
  <c r="FT55" i="3"/>
  <c r="FU55" i="3"/>
  <c r="FV55" i="3"/>
  <c r="FW55" i="3"/>
  <c r="FX55" i="3"/>
  <c r="FY55" i="3"/>
  <c r="FZ55" i="3"/>
  <c r="GA55" i="3"/>
  <c r="GB55" i="3"/>
  <c r="GC55" i="3"/>
  <c r="GD55" i="3"/>
  <c r="GE55" i="3"/>
  <c r="GF55" i="3"/>
  <c r="GG55" i="3"/>
  <c r="GH55" i="3"/>
  <c r="GI55" i="3"/>
  <c r="GJ55" i="3"/>
  <c r="GK55" i="3"/>
  <c r="GL55" i="3"/>
  <c r="GM55" i="3"/>
  <c r="GN55" i="3"/>
  <c r="GO55" i="3"/>
  <c r="GP55" i="3"/>
  <c r="GQ55" i="3"/>
  <c r="GR55" i="3"/>
  <c r="GS55" i="3"/>
  <c r="GT55" i="3"/>
  <c r="GU55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DC56" i="3"/>
  <c r="DD56" i="3"/>
  <c r="DE56" i="3"/>
  <c r="DF56" i="3"/>
  <c r="DG56" i="3"/>
  <c r="DH56" i="3"/>
  <c r="DI56" i="3"/>
  <c r="DJ56" i="3"/>
  <c r="DK56" i="3"/>
  <c r="DL56" i="3"/>
  <c r="DM56" i="3"/>
  <c r="DN56" i="3"/>
  <c r="DO56" i="3"/>
  <c r="DP56" i="3"/>
  <c r="DQ56" i="3"/>
  <c r="DR56" i="3"/>
  <c r="DS56" i="3"/>
  <c r="DT56" i="3"/>
  <c r="DU56" i="3"/>
  <c r="DV56" i="3"/>
  <c r="DW56" i="3"/>
  <c r="DX56" i="3"/>
  <c r="DY56" i="3"/>
  <c r="DZ56" i="3"/>
  <c r="EA56" i="3"/>
  <c r="EB56" i="3"/>
  <c r="EC56" i="3"/>
  <c r="ED56" i="3"/>
  <c r="EE56" i="3"/>
  <c r="EF56" i="3"/>
  <c r="EG56" i="3"/>
  <c r="EH56" i="3"/>
  <c r="EI56" i="3"/>
  <c r="EJ56" i="3"/>
  <c r="EK56" i="3"/>
  <c r="EL56" i="3"/>
  <c r="EM56" i="3"/>
  <c r="EN56" i="3"/>
  <c r="EO56" i="3"/>
  <c r="EP56" i="3"/>
  <c r="EQ56" i="3"/>
  <c r="ER56" i="3"/>
  <c r="ES56" i="3"/>
  <c r="ET56" i="3"/>
  <c r="EU56" i="3"/>
  <c r="EV56" i="3"/>
  <c r="EW56" i="3"/>
  <c r="EX56" i="3"/>
  <c r="EY56" i="3"/>
  <c r="EZ56" i="3"/>
  <c r="FA56" i="3"/>
  <c r="FB56" i="3"/>
  <c r="FC56" i="3"/>
  <c r="FD56" i="3"/>
  <c r="FE56" i="3"/>
  <c r="FF56" i="3"/>
  <c r="FG56" i="3"/>
  <c r="FH56" i="3"/>
  <c r="FI56" i="3"/>
  <c r="FJ56" i="3"/>
  <c r="FK56" i="3"/>
  <c r="FL56" i="3"/>
  <c r="FM56" i="3"/>
  <c r="FN56" i="3"/>
  <c r="FO56" i="3"/>
  <c r="FP56" i="3"/>
  <c r="FQ56" i="3"/>
  <c r="FR56" i="3"/>
  <c r="FS56" i="3"/>
  <c r="FT56" i="3"/>
  <c r="FU56" i="3"/>
  <c r="FV56" i="3"/>
  <c r="FW56" i="3"/>
  <c r="FX56" i="3"/>
  <c r="FY56" i="3"/>
  <c r="FZ56" i="3"/>
  <c r="GA56" i="3"/>
  <c r="GB56" i="3"/>
  <c r="GC56" i="3"/>
  <c r="GD56" i="3"/>
  <c r="GE56" i="3"/>
  <c r="GF56" i="3"/>
  <c r="GG56" i="3"/>
  <c r="GH56" i="3"/>
  <c r="GI56" i="3"/>
  <c r="GJ56" i="3"/>
  <c r="GK56" i="3"/>
  <c r="GL56" i="3"/>
  <c r="GM56" i="3"/>
  <c r="GN56" i="3"/>
  <c r="GO56" i="3"/>
  <c r="GP56" i="3"/>
  <c r="GQ56" i="3"/>
  <c r="GR56" i="3"/>
  <c r="GS56" i="3"/>
  <c r="GT56" i="3"/>
  <c r="GU56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DC57" i="3"/>
  <c r="DD57" i="3"/>
  <c r="DE57" i="3"/>
  <c r="DF57" i="3"/>
  <c r="DG57" i="3"/>
  <c r="DH57" i="3"/>
  <c r="DI57" i="3"/>
  <c r="DJ57" i="3"/>
  <c r="DK57" i="3"/>
  <c r="DL57" i="3"/>
  <c r="DM57" i="3"/>
  <c r="DN57" i="3"/>
  <c r="DO57" i="3"/>
  <c r="DP57" i="3"/>
  <c r="DQ57" i="3"/>
  <c r="DR57" i="3"/>
  <c r="DS57" i="3"/>
  <c r="DT57" i="3"/>
  <c r="DU57" i="3"/>
  <c r="DV57" i="3"/>
  <c r="DW57" i="3"/>
  <c r="DX57" i="3"/>
  <c r="DY57" i="3"/>
  <c r="DZ57" i="3"/>
  <c r="EA57" i="3"/>
  <c r="EB57" i="3"/>
  <c r="EC57" i="3"/>
  <c r="ED57" i="3"/>
  <c r="EE57" i="3"/>
  <c r="EF57" i="3"/>
  <c r="EG57" i="3"/>
  <c r="EH57" i="3"/>
  <c r="EI57" i="3"/>
  <c r="EJ57" i="3"/>
  <c r="EK57" i="3"/>
  <c r="EL57" i="3"/>
  <c r="EM57" i="3"/>
  <c r="EN57" i="3"/>
  <c r="EO57" i="3"/>
  <c r="EP57" i="3"/>
  <c r="EQ57" i="3"/>
  <c r="ER57" i="3"/>
  <c r="ES57" i="3"/>
  <c r="ET57" i="3"/>
  <c r="EU57" i="3"/>
  <c r="EV57" i="3"/>
  <c r="EW57" i="3"/>
  <c r="EX57" i="3"/>
  <c r="EY57" i="3"/>
  <c r="EZ57" i="3"/>
  <c r="FA57" i="3"/>
  <c r="FB57" i="3"/>
  <c r="FC57" i="3"/>
  <c r="FD57" i="3"/>
  <c r="FE57" i="3"/>
  <c r="FF57" i="3"/>
  <c r="FG57" i="3"/>
  <c r="FH57" i="3"/>
  <c r="FI57" i="3"/>
  <c r="FJ57" i="3"/>
  <c r="FK57" i="3"/>
  <c r="FL57" i="3"/>
  <c r="FM57" i="3"/>
  <c r="FN57" i="3"/>
  <c r="FO57" i="3"/>
  <c r="FP57" i="3"/>
  <c r="FQ57" i="3"/>
  <c r="FR57" i="3"/>
  <c r="FS57" i="3"/>
  <c r="FT57" i="3"/>
  <c r="FU57" i="3"/>
  <c r="FV57" i="3"/>
  <c r="FW57" i="3"/>
  <c r="FX57" i="3"/>
  <c r="FY57" i="3"/>
  <c r="FZ57" i="3"/>
  <c r="GA57" i="3"/>
  <c r="GB57" i="3"/>
  <c r="GC57" i="3"/>
  <c r="GD57" i="3"/>
  <c r="GE57" i="3"/>
  <c r="GF57" i="3"/>
  <c r="GG57" i="3"/>
  <c r="GH57" i="3"/>
  <c r="GI57" i="3"/>
  <c r="GJ57" i="3"/>
  <c r="GK57" i="3"/>
  <c r="GL57" i="3"/>
  <c r="GM57" i="3"/>
  <c r="GN57" i="3"/>
  <c r="GO57" i="3"/>
  <c r="GP57" i="3"/>
  <c r="GQ57" i="3"/>
  <c r="GR57" i="3"/>
  <c r="GS57" i="3"/>
  <c r="GT57" i="3"/>
  <c r="GU57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DC58" i="3"/>
  <c r="DD58" i="3"/>
  <c r="DE58" i="3"/>
  <c r="DF58" i="3"/>
  <c r="DG58" i="3"/>
  <c r="DH58" i="3"/>
  <c r="DI58" i="3"/>
  <c r="DJ58" i="3"/>
  <c r="DK58" i="3"/>
  <c r="DL58" i="3"/>
  <c r="DM58" i="3"/>
  <c r="DN58" i="3"/>
  <c r="DO58" i="3"/>
  <c r="DP58" i="3"/>
  <c r="DQ58" i="3"/>
  <c r="DR58" i="3"/>
  <c r="DS58" i="3"/>
  <c r="DT58" i="3"/>
  <c r="DU58" i="3"/>
  <c r="DV58" i="3"/>
  <c r="DW58" i="3"/>
  <c r="DX58" i="3"/>
  <c r="DY58" i="3"/>
  <c r="DZ58" i="3"/>
  <c r="EA58" i="3"/>
  <c r="EB58" i="3"/>
  <c r="EC58" i="3"/>
  <c r="ED58" i="3"/>
  <c r="EE58" i="3"/>
  <c r="EF58" i="3"/>
  <c r="EG58" i="3"/>
  <c r="EH58" i="3"/>
  <c r="EI58" i="3"/>
  <c r="EJ58" i="3"/>
  <c r="EK58" i="3"/>
  <c r="EL58" i="3"/>
  <c r="EM58" i="3"/>
  <c r="EN58" i="3"/>
  <c r="EO58" i="3"/>
  <c r="EP58" i="3"/>
  <c r="EQ58" i="3"/>
  <c r="ER58" i="3"/>
  <c r="ES58" i="3"/>
  <c r="ET58" i="3"/>
  <c r="EU58" i="3"/>
  <c r="EV58" i="3"/>
  <c r="EW58" i="3"/>
  <c r="EX58" i="3"/>
  <c r="EY58" i="3"/>
  <c r="EZ58" i="3"/>
  <c r="FA58" i="3"/>
  <c r="FB58" i="3"/>
  <c r="FC58" i="3"/>
  <c r="FD58" i="3"/>
  <c r="FE58" i="3"/>
  <c r="FF58" i="3"/>
  <c r="FG58" i="3"/>
  <c r="FH58" i="3"/>
  <c r="FI58" i="3"/>
  <c r="FJ58" i="3"/>
  <c r="FK58" i="3"/>
  <c r="FL58" i="3"/>
  <c r="FM58" i="3"/>
  <c r="FN58" i="3"/>
  <c r="FO58" i="3"/>
  <c r="FP58" i="3"/>
  <c r="FQ58" i="3"/>
  <c r="FR58" i="3"/>
  <c r="FS58" i="3"/>
  <c r="FT58" i="3"/>
  <c r="FU58" i="3"/>
  <c r="FV58" i="3"/>
  <c r="FW58" i="3"/>
  <c r="FX58" i="3"/>
  <c r="FY58" i="3"/>
  <c r="FZ58" i="3"/>
  <c r="GA58" i="3"/>
  <c r="GB58" i="3"/>
  <c r="GC58" i="3"/>
  <c r="GD58" i="3"/>
  <c r="GE58" i="3"/>
  <c r="GF58" i="3"/>
  <c r="GG58" i="3"/>
  <c r="GH58" i="3"/>
  <c r="GI58" i="3"/>
  <c r="GJ58" i="3"/>
  <c r="GK58" i="3"/>
  <c r="GL58" i="3"/>
  <c r="GM58" i="3"/>
  <c r="GN58" i="3"/>
  <c r="GO58" i="3"/>
  <c r="GP58" i="3"/>
  <c r="GQ58" i="3"/>
  <c r="GR58" i="3"/>
  <c r="GS58" i="3"/>
  <c r="GT58" i="3"/>
  <c r="GU58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DC59" i="3"/>
  <c r="DD59" i="3"/>
  <c r="DE59" i="3"/>
  <c r="DF59" i="3"/>
  <c r="DG59" i="3"/>
  <c r="DH59" i="3"/>
  <c r="DI59" i="3"/>
  <c r="DJ59" i="3"/>
  <c r="DK59" i="3"/>
  <c r="DL59" i="3"/>
  <c r="DM59" i="3"/>
  <c r="DN59" i="3"/>
  <c r="DO59" i="3"/>
  <c r="DP59" i="3"/>
  <c r="DQ59" i="3"/>
  <c r="DR59" i="3"/>
  <c r="DS59" i="3"/>
  <c r="DT59" i="3"/>
  <c r="DU59" i="3"/>
  <c r="DV59" i="3"/>
  <c r="DW59" i="3"/>
  <c r="DX59" i="3"/>
  <c r="DY59" i="3"/>
  <c r="DZ59" i="3"/>
  <c r="EA59" i="3"/>
  <c r="EB59" i="3"/>
  <c r="EC59" i="3"/>
  <c r="ED59" i="3"/>
  <c r="EE59" i="3"/>
  <c r="EF59" i="3"/>
  <c r="EG59" i="3"/>
  <c r="EH59" i="3"/>
  <c r="EI59" i="3"/>
  <c r="EJ59" i="3"/>
  <c r="EK59" i="3"/>
  <c r="EL59" i="3"/>
  <c r="EM59" i="3"/>
  <c r="EN59" i="3"/>
  <c r="EO59" i="3"/>
  <c r="EP59" i="3"/>
  <c r="EQ59" i="3"/>
  <c r="ER59" i="3"/>
  <c r="ES59" i="3"/>
  <c r="ET59" i="3"/>
  <c r="EU59" i="3"/>
  <c r="EV59" i="3"/>
  <c r="EW59" i="3"/>
  <c r="EX59" i="3"/>
  <c r="EY59" i="3"/>
  <c r="EZ59" i="3"/>
  <c r="FA59" i="3"/>
  <c r="FB59" i="3"/>
  <c r="FC59" i="3"/>
  <c r="FD59" i="3"/>
  <c r="FE59" i="3"/>
  <c r="FF59" i="3"/>
  <c r="FG59" i="3"/>
  <c r="FH59" i="3"/>
  <c r="FI59" i="3"/>
  <c r="FJ59" i="3"/>
  <c r="FK59" i="3"/>
  <c r="FL59" i="3"/>
  <c r="FM59" i="3"/>
  <c r="FN59" i="3"/>
  <c r="FO59" i="3"/>
  <c r="FP59" i="3"/>
  <c r="FQ59" i="3"/>
  <c r="FR59" i="3"/>
  <c r="FS59" i="3"/>
  <c r="FT59" i="3"/>
  <c r="FU59" i="3"/>
  <c r="FV59" i="3"/>
  <c r="FW59" i="3"/>
  <c r="FX59" i="3"/>
  <c r="FY59" i="3"/>
  <c r="FZ59" i="3"/>
  <c r="GA59" i="3"/>
  <c r="GB59" i="3"/>
  <c r="GC59" i="3"/>
  <c r="GD59" i="3"/>
  <c r="GE59" i="3"/>
  <c r="GF59" i="3"/>
  <c r="GG59" i="3"/>
  <c r="GH59" i="3"/>
  <c r="GI59" i="3"/>
  <c r="GJ59" i="3"/>
  <c r="GK59" i="3"/>
  <c r="GL59" i="3"/>
  <c r="GM59" i="3"/>
  <c r="GN59" i="3"/>
  <c r="GO59" i="3"/>
  <c r="GP59" i="3"/>
  <c r="GQ59" i="3"/>
  <c r="GR59" i="3"/>
  <c r="GS59" i="3"/>
  <c r="GT59" i="3"/>
  <c r="GU59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DC60" i="3"/>
  <c r="DD60" i="3"/>
  <c r="DE60" i="3"/>
  <c r="DF60" i="3"/>
  <c r="DG60" i="3"/>
  <c r="DH60" i="3"/>
  <c r="DI60" i="3"/>
  <c r="DJ60" i="3"/>
  <c r="DK60" i="3"/>
  <c r="DL60" i="3"/>
  <c r="DM60" i="3"/>
  <c r="DN60" i="3"/>
  <c r="DO60" i="3"/>
  <c r="DP60" i="3"/>
  <c r="DQ60" i="3"/>
  <c r="DR60" i="3"/>
  <c r="DS60" i="3"/>
  <c r="DT60" i="3"/>
  <c r="DU60" i="3"/>
  <c r="DV60" i="3"/>
  <c r="DW60" i="3"/>
  <c r="DX60" i="3"/>
  <c r="DY60" i="3"/>
  <c r="DZ60" i="3"/>
  <c r="EA60" i="3"/>
  <c r="EB60" i="3"/>
  <c r="EC60" i="3"/>
  <c r="ED60" i="3"/>
  <c r="EE60" i="3"/>
  <c r="EF60" i="3"/>
  <c r="EG60" i="3"/>
  <c r="EH60" i="3"/>
  <c r="EI60" i="3"/>
  <c r="EJ60" i="3"/>
  <c r="EK60" i="3"/>
  <c r="EL60" i="3"/>
  <c r="EM60" i="3"/>
  <c r="EN60" i="3"/>
  <c r="EO60" i="3"/>
  <c r="EP60" i="3"/>
  <c r="EQ60" i="3"/>
  <c r="ER60" i="3"/>
  <c r="ES60" i="3"/>
  <c r="ET60" i="3"/>
  <c r="EU60" i="3"/>
  <c r="EV60" i="3"/>
  <c r="EW60" i="3"/>
  <c r="EX60" i="3"/>
  <c r="EY60" i="3"/>
  <c r="EZ60" i="3"/>
  <c r="FA60" i="3"/>
  <c r="FB60" i="3"/>
  <c r="FC60" i="3"/>
  <c r="FD60" i="3"/>
  <c r="FE60" i="3"/>
  <c r="FF60" i="3"/>
  <c r="FG60" i="3"/>
  <c r="FH60" i="3"/>
  <c r="FI60" i="3"/>
  <c r="FJ60" i="3"/>
  <c r="FK60" i="3"/>
  <c r="FL60" i="3"/>
  <c r="FM60" i="3"/>
  <c r="FN60" i="3"/>
  <c r="FO60" i="3"/>
  <c r="FP60" i="3"/>
  <c r="FQ60" i="3"/>
  <c r="FR60" i="3"/>
  <c r="FS60" i="3"/>
  <c r="FT60" i="3"/>
  <c r="FU60" i="3"/>
  <c r="FV60" i="3"/>
  <c r="FW60" i="3"/>
  <c r="FX60" i="3"/>
  <c r="FY60" i="3"/>
  <c r="FZ60" i="3"/>
  <c r="GA60" i="3"/>
  <c r="GB60" i="3"/>
  <c r="GC60" i="3"/>
  <c r="GD60" i="3"/>
  <c r="GE60" i="3"/>
  <c r="GF60" i="3"/>
  <c r="GG60" i="3"/>
  <c r="GH60" i="3"/>
  <c r="GI60" i="3"/>
  <c r="GJ60" i="3"/>
  <c r="GK60" i="3"/>
  <c r="GL60" i="3"/>
  <c r="GM60" i="3"/>
  <c r="GN60" i="3"/>
  <c r="GO60" i="3"/>
  <c r="GP60" i="3"/>
  <c r="GQ60" i="3"/>
  <c r="GR60" i="3"/>
  <c r="GS60" i="3"/>
  <c r="GT60" i="3"/>
  <c r="GU60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DC61" i="3"/>
  <c r="DD61" i="3"/>
  <c r="DE61" i="3"/>
  <c r="DF61" i="3"/>
  <c r="DG61" i="3"/>
  <c r="DH61" i="3"/>
  <c r="DI61" i="3"/>
  <c r="DJ61" i="3"/>
  <c r="DK61" i="3"/>
  <c r="DL61" i="3"/>
  <c r="DM61" i="3"/>
  <c r="DN61" i="3"/>
  <c r="DO61" i="3"/>
  <c r="DP61" i="3"/>
  <c r="DQ61" i="3"/>
  <c r="DR61" i="3"/>
  <c r="DS61" i="3"/>
  <c r="DT61" i="3"/>
  <c r="DU61" i="3"/>
  <c r="DV61" i="3"/>
  <c r="DW61" i="3"/>
  <c r="DX61" i="3"/>
  <c r="DY61" i="3"/>
  <c r="DZ61" i="3"/>
  <c r="EA61" i="3"/>
  <c r="EB61" i="3"/>
  <c r="EC61" i="3"/>
  <c r="ED61" i="3"/>
  <c r="EE61" i="3"/>
  <c r="EF61" i="3"/>
  <c r="EG61" i="3"/>
  <c r="EH61" i="3"/>
  <c r="EI61" i="3"/>
  <c r="EJ61" i="3"/>
  <c r="EK61" i="3"/>
  <c r="EL61" i="3"/>
  <c r="EM61" i="3"/>
  <c r="EN61" i="3"/>
  <c r="EO61" i="3"/>
  <c r="EP61" i="3"/>
  <c r="EQ61" i="3"/>
  <c r="ER61" i="3"/>
  <c r="ES61" i="3"/>
  <c r="ET61" i="3"/>
  <c r="EU61" i="3"/>
  <c r="EV61" i="3"/>
  <c r="EW61" i="3"/>
  <c r="EX61" i="3"/>
  <c r="EY61" i="3"/>
  <c r="EZ61" i="3"/>
  <c r="FA61" i="3"/>
  <c r="FB61" i="3"/>
  <c r="FC61" i="3"/>
  <c r="FD61" i="3"/>
  <c r="FE61" i="3"/>
  <c r="FF61" i="3"/>
  <c r="FG61" i="3"/>
  <c r="FH61" i="3"/>
  <c r="FI61" i="3"/>
  <c r="FJ61" i="3"/>
  <c r="FK61" i="3"/>
  <c r="FL61" i="3"/>
  <c r="FM61" i="3"/>
  <c r="FN61" i="3"/>
  <c r="FO61" i="3"/>
  <c r="FP61" i="3"/>
  <c r="FQ61" i="3"/>
  <c r="FR61" i="3"/>
  <c r="FS61" i="3"/>
  <c r="FT61" i="3"/>
  <c r="FU61" i="3"/>
  <c r="FV61" i="3"/>
  <c r="FW61" i="3"/>
  <c r="FX61" i="3"/>
  <c r="FY61" i="3"/>
  <c r="FZ61" i="3"/>
  <c r="GA61" i="3"/>
  <c r="GB61" i="3"/>
  <c r="GC61" i="3"/>
  <c r="GD61" i="3"/>
  <c r="GE61" i="3"/>
  <c r="GF61" i="3"/>
  <c r="GG61" i="3"/>
  <c r="GH61" i="3"/>
  <c r="GI61" i="3"/>
  <c r="GJ61" i="3"/>
  <c r="GK61" i="3"/>
  <c r="GL61" i="3"/>
  <c r="GM61" i="3"/>
  <c r="GN61" i="3"/>
  <c r="GO61" i="3"/>
  <c r="GP61" i="3"/>
  <c r="GQ61" i="3"/>
  <c r="GR61" i="3"/>
  <c r="GS61" i="3"/>
  <c r="GT61" i="3"/>
  <c r="GU61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DC62" i="3"/>
  <c r="DD62" i="3"/>
  <c r="DE62" i="3"/>
  <c r="DF62" i="3"/>
  <c r="DG62" i="3"/>
  <c r="DH62" i="3"/>
  <c r="DI62" i="3"/>
  <c r="DJ62" i="3"/>
  <c r="DK62" i="3"/>
  <c r="DL62" i="3"/>
  <c r="DM62" i="3"/>
  <c r="DN62" i="3"/>
  <c r="DO62" i="3"/>
  <c r="DP62" i="3"/>
  <c r="DQ62" i="3"/>
  <c r="DR62" i="3"/>
  <c r="DS62" i="3"/>
  <c r="DT62" i="3"/>
  <c r="DU62" i="3"/>
  <c r="DV62" i="3"/>
  <c r="DW62" i="3"/>
  <c r="DX62" i="3"/>
  <c r="DY62" i="3"/>
  <c r="DZ62" i="3"/>
  <c r="EA62" i="3"/>
  <c r="EB62" i="3"/>
  <c r="EC62" i="3"/>
  <c r="ED62" i="3"/>
  <c r="EE62" i="3"/>
  <c r="EF62" i="3"/>
  <c r="EG62" i="3"/>
  <c r="EH62" i="3"/>
  <c r="EI62" i="3"/>
  <c r="EJ62" i="3"/>
  <c r="EK62" i="3"/>
  <c r="EL62" i="3"/>
  <c r="EM62" i="3"/>
  <c r="EN62" i="3"/>
  <c r="EO62" i="3"/>
  <c r="EP62" i="3"/>
  <c r="EQ62" i="3"/>
  <c r="ER62" i="3"/>
  <c r="ES62" i="3"/>
  <c r="ET62" i="3"/>
  <c r="EU62" i="3"/>
  <c r="EV62" i="3"/>
  <c r="EW62" i="3"/>
  <c r="EX62" i="3"/>
  <c r="EY62" i="3"/>
  <c r="EZ62" i="3"/>
  <c r="FA62" i="3"/>
  <c r="FB62" i="3"/>
  <c r="FC62" i="3"/>
  <c r="FD62" i="3"/>
  <c r="FE62" i="3"/>
  <c r="FF62" i="3"/>
  <c r="FG62" i="3"/>
  <c r="FH62" i="3"/>
  <c r="FI62" i="3"/>
  <c r="FJ62" i="3"/>
  <c r="FK62" i="3"/>
  <c r="FL62" i="3"/>
  <c r="FM62" i="3"/>
  <c r="FN62" i="3"/>
  <c r="FO62" i="3"/>
  <c r="FP62" i="3"/>
  <c r="FQ62" i="3"/>
  <c r="FR62" i="3"/>
  <c r="FS62" i="3"/>
  <c r="FT62" i="3"/>
  <c r="FU62" i="3"/>
  <c r="FV62" i="3"/>
  <c r="FW62" i="3"/>
  <c r="FX62" i="3"/>
  <c r="FY62" i="3"/>
  <c r="FZ62" i="3"/>
  <c r="GA62" i="3"/>
  <c r="GB62" i="3"/>
  <c r="GC62" i="3"/>
  <c r="GD62" i="3"/>
  <c r="GE62" i="3"/>
  <c r="GF62" i="3"/>
  <c r="GG62" i="3"/>
  <c r="GH62" i="3"/>
  <c r="GI62" i="3"/>
  <c r="GJ62" i="3"/>
  <c r="GK62" i="3"/>
  <c r="GL62" i="3"/>
  <c r="GM62" i="3"/>
  <c r="GN62" i="3"/>
  <c r="GO62" i="3"/>
  <c r="GP62" i="3"/>
  <c r="GQ62" i="3"/>
  <c r="GR62" i="3"/>
  <c r="GS62" i="3"/>
  <c r="GT62" i="3"/>
  <c r="GU62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DC63" i="3"/>
  <c r="DD63" i="3"/>
  <c r="DE63" i="3"/>
  <c r="DF63" i="3"/>
  <c r="DG63" i="3"/>
  <c r="DH63" i="3"/>
  <c r="DI63" i="3"/>
  <c r="DJ63" i="3"/>
  <c r="DK63" i="3"/>
  <c r="DL63" i="3"/>
  <c r="DM63" i="3"/>
  <c r="DN63" i="3"/>
  <c r="DO63" i="3"/>
  <c r="DP63" i="3"/>
  <c r="DQ63" i="3"/>
  <c r="DR63" i="3"/>
  <c r="DS63" i="3"/>
  <c r="DT63" i="3"/>
  <c r="DU63" i="3"/>
  <c r="DV63" i="3"/>
  <c r="DW63" i="3"/>
  <c r="DX63" i="3"/>
  <c r="DY63" i="3"/>
  <c r="DZ63" i="3"/>
  <c r="EA63" i="3"/>
  <c r="EB63" i="3"/>
  <c r="EC63" i="3"/>
  <c r="ED63" i="3"/>
  <c r="EE63" i="3"/>
  <c r="EF63" i="3"/>
  <c r="EG63" i="3"/>
  <c r="EH63" i="3"/>
  <c r="EI63" i="3"/>
  <c r="EJ63" i="3"/>
  <c r="EK63" i="3"/>
  <c r="EL63" i="3"/>
  <c r="EM63" i="3"/>
  <c r="EN63" i="3"/>
  <c r="EO63" i="3"/>
  <c r="EP63" i="3"/>
  <c r="EQ63" i="3"/>
  <c r="ER63" i="3"/>
  <c r="ES63" i="3"/>
  <c r="ET63" i="3"/>
  <c r="EU63" i="3"/>
  <c r="EV63" i="3"/>
  <c r="EW63" i="3"/>
  <c r="EX63" i="3"/>
  <c r="EY63" i="3"/>
  <c r="EZ63" i="3"/>
  <c r="FA63" i="3"/>
  <c r="FB63" i="3"/>
  <c r="FC63" i="3"/>
  <c r="FD63" i="3"/>
  <c r="FE63" i="3"/>
  <c r="FF63" i="3"/>
  <c r="FG63" i="3"/>
  <c r="FH63" i="3"/>
  <c r="FI63" i="3"/>
  <c r="FJ63" i="3"/>
  <c r="FK63" i="3"/>
  <c r="FL63" i="3"/>
  <c r="FM63" i="3"/>
  <c r="FN63" i="3"/>
  <c r="FO63" i="3"/>
  <c r="FP63" i="3"/>
  <c r="FQ63" i="3"/>
  <c r="FR63" i="3"/>
  <c r="FS63" i="3"/>
  <c r="FT63" i="3"/>
  <c r="FU63" i="3"/>
  <c r="FV63" i="3"/>
  <c r="FW63" i="3"/>
  <c r="FX63" i="3"/>
  <c r="FY63" i="3"/>
  <c r="FZ63" i="3"/>
  <c r="GA63" i="3"/>
  <c r="GB63" i="3"/>
  <c r="GC63" i="3"/>
  <c r="GD63" i="3"/>
  <c r="GE63" i="3"/>
  <c r="GF63" i="3"/>
  <c r="GG63" i="3"/>
  <c r="GH63" i="3"/>
  <c r="GI63" i="3"/>
  <c r="GJ63" i="3"/>
  <c r="GK63" i="3"/>
  <c r="GL63" i="3"/>
  <c r="GM63" i="3"/>
  <c r="GN63" i="3"/>
  <c r="GO63" i="3"/>
  <c r="GP63" i="3"/>
  <c r="GQ63" i="3"/>
  <c r="GR63" i="3"/>
  <c r="GS63" i="3"/>
  <c r="GT63" i="3"/>
  <c r="GU63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DC64" i="3"/>
  <c r="DD64" i="3"/>
  <c r="DE64" i="3"/>
  <c r="DF64" i="3"/>
  <c r="DG64" i="3"/>
  <c r="DH64" i="3"/>
  <c r="DI64" i="3"/>
  <c r="DJ64" i="3"/>
  <c r="DK64" i="3"/>
  <c r="DL64" i="3"/>
  <c r="DM64" i="3"/>
  <c r="DN64" i="3"/>
  <c r="DO64" i="3"/>
  <c r="DP64" i="3"/>
  <c r="DQ64" i="3"/>
  <c r="DR64" i="3"/>
  <c r="DS64" i="3"/>
  <c r="DT64" i="3"/>
  <c r="DU64" i="3"/>
  <c r="DV64" i="3"/>
  <c r="DW64" i="3"/>
  <c r="DX64" i="3"/>
  <c r="DY64" i="3"/>
  <c r="DZ64" i="3"/>
  <c r="EA64" i="3"/>
  <c r="EB64" i="3"/>
  <c r="EC64" i="3"/>
  <c r="ED64" i="3"/>
  <c r="EE64" i="3"/>
  <c r="EF64" i="3"/>
  <c r="EG64" i="3"/>
  <c r="EH64" i="3"/>
  <c r="EI64" i="3"/>
  <c r="EJ64" i="3"/>
  <c r="EK64" i="3"/>
  <c r="EL64" i="3"/>
  <c r="EM64" i="3"/>
  <c r="EN64" i="3"/>
  <c r="EO64" i="3"/>
  <c r="EP64" i="3"/>
  <c r="EQ64" i="3"/>
  <c r="ER64" i="3"/>
  <c r="ES64" i="3"/>
  <c r="ET64" i="3"/>
  <c r="EU64" i="3"/>
  <c r="EV64" i="3"/>
  <c r="EW64" i="3"/>
  <c r="EX64" i="3"/>
  <c r="EY64" i="3"/>
  <c r="EZ64" i="3"/>
  <c r="FA64" i="3"/>
  <c r="FB64" i="3"/>
  <c r="FC64" i="3"/>
  <c r="FD64" i="3"/>
  <c r="FE64" i="3"/>
  <c r="FF64" i="3"/>
  <c r="FG64" i="3"/>
  <c r="FH64" i="3"/>
  <c r="FI64" i="3"/>
  <c r="FJ64" i="3"/>
  <c r="FK64" i="3"/>
  <c r="FL64" i="3"/>
  <c r="FM64" i="3"/>
  <c r="FN64" i="3"/>
  <c r="FO64" i="3"/>
  <c r="FP64" i="3"/>
  <c r="FQ64" i="3"/>
  <c r="FR64" i="3"/>
  <c r="FS64" i="3"/>
  <c r="FT64" i="3"/>
  <c r="FU64" i="3"/>
  <c r="FV64" i="3"/>
  <c r="FW64" i="3"/>
  <c r="FX64" i="3"/>
  <c r="FY64" i="3"/>
  <c r="FZ64" i="3"/>
  <c r="GA64" i="3"/>
  <c r="GB64" i="3"/>
  <c r="GC64" i="3"/>
  <c r="GD64" i="3"/>
  <c r="GE64" i="3"/>
  <c r="GF64" i="3"/>
  <c r="GG64" i="3"/>
  <c r="GH64" i="3"/>
  <c r="GI64" i="3"/>
  <c r="GJ64" i="3"/>
  <c r="GK64" i="3"/>
  <c r="GL64" i="3"/>
  <c r="GM64" i="3"/>
  <c r="GN64" i="3"/>
  <c r="GO64" i="3"/>
  <c r="GP64" i="3"/>
  <c r="GQ64" i="3"/>
  <c r="GR64" i="3"/>
  <c r="GS64" i="3"/>
  <c r="GT64" i="3"/>
  <c r="GU64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DC65" i="3"/>
  <c r="DD65" i="3"/>
  <c r="DE65" i="3"/>
  <c r="DF65" i="3"/>
  <c r="DG65" i="3"/>
  <c r="DH65" i="3"/>
  <c r="DI65" i="3"/>
  <c r="DJ65" i="3"/>
  <c r="DK65" i="3"/>
  <c r="DL65" i="3"/>
  <c r="DM65" i="3"/>
  <c r="DN65" i="3"/>
  <c r="DO65" i="3"/>
  <c r="DP65" i="3"/>
  <c r="DQ65" i="3"/>
  <c r="DR65" i="3"/>
  <c r="DS65" i="3"/>
  <c r="DT65" i="3"/>
  <c r="DU65" i="3"/>
  <c r="DV65" i="3"/>
  <c r="DW65" i="3"/>
  <c r="DX65" i="3"/>
  <c r="DY65" i="3"/>
  <c r="DZ65" i="3"/>
  <c r="EA65" i="3"/>
  <c r="EB65" i="3"/>
  <c r="EC65" i="3"/>
  <c r="ED65" i="3"/>
  <c r="EE65" i="3"/>
  <c r="EF65" i="3"/>
  <c r="EG65" i="3"/>
  <c r="EH65" i="3"/>
  <c r="EI65" i="3"/>
  <c r="EJ65" i="3"/>
  <c r="EK65" i="3"/>
  <c r="EL65" i="3"/>
  <c r="EM65" i="3"/>
  <c r="EN65" i="3"/>
  <c r="EO65" i="3"/>
  <c r="EP65" i="3"/>
  <c r="EQ65" i="3"/>
  <c r="ER65" i="3"/>
  <c r="ES65" i="3"/>
  <c r="ET65" i="3"/>
  <c r="EU65" i="3"/>
  <c r="EV65" i="3"/>
  <c r="EW65" i="3"/>
  <c r="EX65" i="3"/>
  <c r="EY65" i="3"/>
  <c r="EZ65" i="3"/>
  <c r="FA65" i="3"/>
  <c r="FB65" i="3"/>
  <c r="FC65" i="3"/>
  <c r="FD65" i="3"/>
  <c r="FE65" i="3"/>
  <c r="FF65" i="3"/>
  <c r="FG65" i="3"/>
  <c r="FH65" i="3"/>
  <c r="FI65" i="3"/>
  <c r="FJ65" i="3"/>
  <c r="FK65" i="3"/>
  <c r="FL65" i="3"/>
  <c r="FM65" i="3"/>
  <c r="FN65" i="3"/>
  <c r="FO65" i="3"/>
  <c r="FP65" i="3"/>
  <c r="FQ65" i="3"/>
  <c r="FR65" i="3"/>
  <c r="FS65" i="3"/>
  <c r="FT65" i="3"/>
  <c r="FU65" i="3"/>
  <c r="FV65" i="3"/>
  <c r="FW65" i="3"/>
  <c r="FX65" i="3"/>
  <c r="FY65" i="3"/>
  <c r="FZ65" i="3"/>
  <c r="GA65" i="3"/>
  <c r="GB65" i="3"/>
  <c r="GC65" i="3"/>
  <c r="GD65" i="3"/>
  <c r="GE65" i="3"/>
  <c r="GF65" i="3"/>
  <c r="GG65" i="3"/>
  <c r="GH65" i="3"/>
  <c r="GI65" i="3"/>
  <c r="GJ65" i="3"/>
  <c r="GK65" i="3"/>
  <c r="GL65" i="3"/>
  <c r="GM65" i="3"/>
  <c r="GN65" i="3"/>
  <c r="GO65" i="3"/>
  <c r="GP65" i="3"/>
  <c r="GQ65" i="3"/>
  <c r="GR65" i="3"/>
  <c r="GS65" i="3"/>
  <c r="GT65" i="3"/>
  <c r="GU65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DC66" i="3"/>
  <c r="DD66" i="3"/>
  <c r="DE66" i="3"/>
  <c r="DF66" i="3"/>
  <c r="DG66" i="3"/>
  <c r="DH66" i="3"/>
  <c r="DI66" i="3"/>
  <c r="DJ66" i="3"/>
  <c r="DK66" i="3"/>
  <c r="DL66" i="3"/>
  <c r="DM66" i="3"/>
  <c r="DN66" i="3"/>
  <c r="DO66" i="3"/>
  <c r="DP66" i="3"/>
  <c r="DQ66" i="3"/>
  <c r="DR66" i="3"/>
  <c r="DS66" i="3"/>
  <c r="DT66" i="3"/>
  <c r="DU66" i="3"/>
  <c r="DV66" i="3"/>
  <c r="DW66" i="3"/>
  <c r="DX66" i="3"/>
  <c r="DY66" i="3"/>
  <c r="DZ66" i="3"/>
  <c r="EA66" i="3"/>
  <c r="EB66" i="3"/>
  <c r="EC66" i="3"/>
  <c r="ED66" i="3"/>
  <c r="EE66" i="3"/>
  <c r="EF66" i="3"/>
  <c r="EG66" i="3"/>
  <c r="EH66" i="3"/>
  <c r="EI66" i="3"/>
  <c r="EJ66" i="3"/>
  <c r="EK66" i="3"/>
  <c r="EL66" i="3"/>
  <c r="EM66" i="3"/>
  <c r="EN66" i="3"/>
  <c r="EO66" i="3"/>
  <c r="EP66" i="3"/>
  <c r="EQ66" i="3"/>
  <c r="ER66" i="3"/>
  <c r="ES66" i="3"/>
  <c r="ET66" i="3"/>
  <c r="EU66" i="3"/>
  <c r="EV66" i="3"/>
  <c r="EW66" i="3"/>
  <c r="EX66" i="3"/>
  <c r="EY66" i="3"/>
  <c r="EZ66" i="3"/>
  <c r="FA66" i="3"/>
  <c r="FB66" i="3"/>
  <c r="FC66" i="3"/>
  <c r="FD66" i="3"/>
  <c r="FE66" i="3"/>
  <c r="FF66" i="3"/>
  <c r="FG66" i="3"/>
  <c r="FH66" i="3"/>
  <c r="FI66" i="3"/>
  <c r="FJ66" i="3"/>
  <c r="FK66" i="3"/>
  <c r="FL66" i="3"/>
  <c r="FM66" i="3"/>
  <c r="FN66" i="3"/>
  <c r="FO66" i="3"/>
  <c r="FP66" i="3"/>
  <c r="FQ66" i="3"/>
  <c r="FR66" i="3"/>
  <c r="FS66" i="3"/>
  <c r="FT66" i="3"/>
  <c r="FU66" i="3"/>
  <c r="FV66" i="3"/>
  <c r="FW66" i="3"/>
  <c r="FX66" i="3"/>
  <c r="FY66" i="3"/>
  <c r="FZ66" i="3"/>
  <c r="GA66" i="3"/>
  <c r="GB66" i="3"/>
  <c r="GC66" i="3"/>
  <c r="GD66" i="3"/>
  <c r="GE66" i="3"/>
  <c r="GF66" i="3"/>
  <c r="GG66" i="3"/>
  <c r="GH66" i="3"/>
  <c r="GI66" i="3"/>
  <c r="GJ66" i="3"/>
  <c r="GK66" i="3"/>
  <c r="GL66" i="3"/>
  <c r="GM66" i="3"/>
  <c r="GN66" i="3"/>
  <c r="GO66" i="3"/>
  <c r="GP66" i="3"/>
  <c r="GQ66" i="3"/>
  <c r="GR66" i="3"/>
  <c r="GS66" i="3"/>
  <c r="GT66" i="3"/>
  <c r="GU66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DC67" i="3"/>
  <c r="DD67" i="3"/>
  <c r="DE67" i="3"/>
  <c r="DF67" i="3"/>
  <c r="DG67" i="3"/>
  <c r="DH67" i="3"/>
  <c r="DI67" i="3"/>
  <c r="DJ67" i="3"/>
  <c r="DK67" i="3"/>
  <c r="DL67" i="3"/>
  <c r="DM67" i="3"/>
  <c r="DN67" i="3"/>
  <c r="DO67" i="3"/>
  <c r="DP67" i="3"/>
  <c r="DQ67" i="3"/>
  <c r="DR67" i="3"/>
  <c r="DS67" i="3"/>
  <c r="DT67" i="3"/>
  <c r="DU67" i="3"/>
  <c r="DV67" i="3"/>
  <c r="DW67" i="3"/>
  <c r="DX67" i="3"/>
  <c r="DY67" i="3"/>
  <c r="DZ67" i="3"/>
  <c r="EA67" i="3"/>
  <c r="EB67" i="3"/>
  <c r="EC67" i="3"/>
  <c r="ED67" i="3"/>
  <c r="EE67" i="3"/>
  <c r="EF67" i="3"/>
  <c r="EG67" i="3"/>
  <c r="EH67" i="3"/>
  <c r="EI67" i="3"/>
  <c r="EJ67" i="3"/>
  <c r="EK67" i="3"/>
  <c r="EL67" i="3"/>
  <c r="EM67" i="3"/>
  <c r="EN67" i="3"/>
  <c r="EO67" i="3"/>
  <c r="EP67" i="3"/>
  <c r="EQ67" i="3"/>
  <c r="ER67" i="3"/>
  <c r="ES67" i="3"/>
  <c r="ET67" i="3"/>
  <c r="EU67" i="3"/>
  <c r="EV67" i="3"/>
  <c r="EW67" i="3"/>
  <c r="EX67" i="3"/>
  <c r="EY67" i="3"/>
  <c r="EZ67" i="3"/>
  <c r="FA67" i="3"/>
  <c r="FB67" i="3"/>
  <c r="FC67" i="3"/>
  <c r="FD67" i="3"/>
  <c r="FE67" i="3"/>
  <c r="FF67" i="3"/>
  <c r="FG67" i="3"/>
  <c r="FH67" i="3"/>
  <c r="FI67" i="3"/>
  <c r="FJ67" i="3"/>
  <c r="FK67" i="3"/>
  <c r="FL67" i="3"/>
  <c r="FM67" i="3"/>
  <c r="FN67" i="3"/>
  <c r="FO67" i="3"/>
  <c r="FP67" i="3"/>
  <c r="FQ67" i="3"/>
  <c r="FR67" i="3"/>
  <c r="FS67" i="3"/>
  <c r="FT67" i="3"/>
  <c r="FU67" i="3"/>
  <c r="FV67" i="3"/>
  <c r="FW67" i="3"/>
  <c r="FX67" i="3"/>
  <c r="FY67" i="3"/>
  <c r="FZ67" i="3"/>
  <c r="GA67" i="3"/>
  <c r="GB67" i="3"/>
  <c r="GC67" i="3"/>
  <c r="GD67" i="3"/>
  <c r="GE67" i="3"/>
  <c r="GF67" i="3"/>
  <c r="GG67" i="3"/>
  <c r="GH67" i="3"/>
  <c r="GI67" i="3"/>
  <c r="GJ67" i="3"/>
  <c r="GK67" i="3"/>
  <c r="GL67" i="3"/>
  <c r="GM67" i="3"/>
  <c r="GN67" i="3"/>
  <c r="GO67" i="3"/>
  <c r="GP67" i="3"/>
  <c r="GQ67" i="3"/>
  <c r="GR67" i="3"/>
  <c r="GS67" i="3"/>
  <c r="GT67" i="3"/>
  <c r="GU67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DC68" i="3"/>
  <c r="DD68" i="3"/>
  <c r="DE68" i="3"/>
  <c r="DF68" i="3"/>
  <c r="DG68" i="3"/>
  <c r="DH68" i="3"/>
  <c r="DI68" i="3"/>
  <c r="DJ68" i="3"/>
  <c r="DK68" i="3"/>
  <c r="DL68" i="3"/>
  <c r="DM68" i="3"/>
  <c r="DN68" i="3"/>
  <c r="DO68" i="3"/>
  <c r="DP68" i="3"/>
  <c r="DQ68" i="3"/>
  <c r="DR68" i="3"/>
  <c r="DS68" i="3"/>
  <c r="DT68" i="3"/>
  <c r="DU68" i="3"/>
  <c r="DV68" i="3"/>
  <c r="DW68" i="3"/>
  <c r="DX68" i="3"/>
  <c r="DY68" i="3"/>
  <c r="DZ68" i="3"/>
  <c r="EA68" i="3"/>
  <c r="EB68" i="3"/>
  <c r="EC68" i="3"/>
  <c r="ED68" i="3"/>
  <c r="EE68" i="3"/>
  <c r="EF68" i="3"/>
  <c r="EG68" i="3"/>
  <c r="EH68" i="3"/>
  <c r="EI68" i="3"/>
  <c r="EJ68" i="3"/>
  <c r="EK68" i="3"/>
  <c r="EL68" i="3"/>
  <c r="EM68" i="3"/>
  <c r="EN68" i="3"/>
  <c r="EO68" i="3"/>
  <c r="EP68" i="3"/>
  <c r="EQ68" i="3"/>
  <c r="ER68" i="3"/>
  <c r="ES68" i="3"/>
  <c r="ET68" i="3"/>
  <c r="EU68" i="3"/>
  <c r="EV68" i="3"/>
  <c r="EW68" i="3"/>
  <c r="EX68" i="3"/>
  <c r="EY68" i="3"/>
  <c r="EZ68" i="3"/>
  <c r="FA68" i="3"/>
  <c r="FB68" i="3"/>
  <c r="FC68" i="3"/>
  <c r="FD68" i="3"/>
  <c r="FE68" i="3"/>
  <c r="FF68" i="3"/>
  <c r="FG68" i="3"/>
  <c r="FH68" i="3"/>
  <c r="FI68" i="3"/>
  <c r="FJ68" i="3"/>
  <c r="FK68" i="3"/>
  <c r="FL68" i="3"/>
  <c r="FM68" i="3"/>
  <c r="FN68" i="3"/>
  <c r="FO68" i="3"/>
  <c r="FP68" i="3"/>
  <c r="FQ68" i="3"/>
  <c r="FR68" i="3"/>
  <c r="FS68" i="3"/>
  <c r="FT68" i="3"/>
  <c r="FU68" i="3"/>
  <c r="FV68" i="3"/>
  <c r="FW68" i="3"/>
  <c r="FX68" i="3"/>
  <c r="FY68" i="3"/>
  <c r="FZ68" i="3"/>
  <c r="GA68" i="3"/>
  <c r="GB68" i="3"/>
  <c r="GC68" i="3"/>
  <c r="GD68" i="3"/>
  <c r="GE68" i="3"/>
  <c r="GF68" i="3"/>
  <c r="GG68" i="3"/>
  <c r="GH68" i="3"/>
  <c r="GI68" i="3"/>
  <c r="GJ68" i="3"/>
  <c r="GK68" i="3"/>
  <c r="GL68" i="3"/>
  <c r="GM68" i="3"/>
  <c r="GN68" i="3"/>
  <c r="GO68" i="3"/>
  <c r="GP68" i="3"/>
  <c r="GQ68" i="3"/>
  <c r="GR68" i="3"/>
  <c r="GS68" i="3"/>
  <c r="GT68" i="3"/>
  <c r="GU68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DC69" i="3"/>
  <c r="DD69" i="3"/>
  <c r="DE69" i="3"/>
  <c r="DF69" i="3"/>
  <c r="DG69" i="3"/>
  <c r="DH69" i="3"/>
  <c r="DI69" i="3"/>
  <c r="DJ69" i="3"/>
  <c r="DK69" i="3"/>
  <c r="DL69" i="3"/>
  <c r="DM69" i="3"/>
  <c r="DN69" i="3"/>
  <c r="DO69" i="3"/>
  <c r="DP69" i="3"/>
  <c r="DQ69" i="3"/>
  <c r="DR69" i="3"/>
  <c r="DS69" i="3"/>
  <c r="DT69" i="3"/>
  <c r="DU69" i="3"/>
  <c r="DV69" i="3"/>
  <c r="DW69" i="3"/>
  <c r="DX69" i="3"/>
  <c r="DY69" i="3"/>
  <c r="DZ69" i="3"/>
  <c r="EA69" i="3"/>
  <c r="EB69" i="3"/>
  <c r="EC69" i="3"/>
  <c r="ED69" i="3"/>
  <c r="EE69" i="3"/>
  <c r="EF69" i="3"/>
  <c r="EG69" i="3"/>
  <c r="EH69" i="3"/>
  <c r="EI69" i="3"/>
  <c r="EJ69" i="3"/>
  <c r="EK69" i="3"/>
  <c r="EL69" i="3"/>
  <c r="EM69" i="3"/>
  <c r="EN69" i="3"/>
  <c r="EO69" i="3"/>
  <c r="EP69" i="3"/>
  <c r="EQ69" i="3"/>
  <c r="ER69" i="3"/>
  <c r="ES69" i="3"/>
  <c r="ET69" i="3"/>
  <c r="EU69" i="3"/>
  <c r="EV69" i="3"/>
  <c r="EW69" i="3"/>
  <c r="EX69" i="3"/>
  <c r="EY69" i="3"/>
  <c r="EZ69" i="3"/>
  <c r="FA69" i="3"/>
  <c r="FB69" i="3"/>
  <c r="FC69" i="3"/>
  <c r="FD69" i="3"/>
  <c r="FE69" i="3"/>
  <c r="FF69" i="3"/>
  <c r="FG69" i="3"/>
  <c r="FH69" i="3"/>
  <c r="FI69" i="3"/>
  <c r="FJ69" i="3"/>
  <c r="FK69" i="3"/>
  <c r="FL69" i="3"/>
  <c r="FM69" i="3"/>
  <c r="FN69" i="3"/>
  <c r="FO69" i="3"/>
  <c r="FP69" i="3"/>
  <c r="FQ69" i="3"/>
  <c r="FR69" i="3"/>
  <c r="FS69" i="3"/>
  <c r="FT69" i="3"/>
  <c r="FU69" i="3"/>
  <c r="FV69" i="3"/>
  <c r="FW69" i="3"/>
  <c r="FX69" i="3"/>
  <c r="FY69" i="3"/>
  <c r="FZ69" i="3"/>
  <c r="GA69" i="3"/>
  <c r="GB69" i="3"/>
  <c r="GC69" i="3"/>
  <c r="GD69" i="3"/>
  <c r="GE69" i="3"/>
  <c r="GF69" i="3"/>
  <c r="GG69" i="3"/>
  <c r="GH69" i="3"/>
  <c r="GI69" i="3"/>
  <c r="GJ69" i="3"/>
  <c r="GK69" i="3"/>
  <c r="GL69" i="3"/>
  <c r="GM69" i="3"/>
  <c r="GN69" i="3"/>
  <c r="GO69" i="3"/>
  <c r="GP69" i="3"/>
  <c r="GQ69" i="3"/>
  <c r="GR69" i="3"/>
  <c r="GS69" i="3"/>
  <c r="GT69" i="3"/>
  <c r="GU69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DC70" i="3"/>
  <c r="DD70" i="3"/>
  <c r="DE70" i="3"/>
  <c r="DF70" i="3"/>
  <c r="DG70" i="3"/>
  <c r="DH70" i="3"/>
  <c r="DI70" i="3"/>
  <c r="DJ70" i="3"/>
  <c r="DK70" i="3"/>
  <c r="DL70" i="3"/>
  <c r="DM70" i="3"/>
  <c r="DN70" i="3"/>
  <c r="DO70" i="3"/>
  <c r="DP70" i="3"/>
  <c r="DQ70" i="3"/>
  <c r="DR70" i="3"/>
  <c r="DS70" i="3"/>
  <c r="DT70" i="3"/>
  <c r="DU70" i="3"/>
  <c r="DV70" i="3"/>
  <c r="DW70" i="3"/>
  <c r="DX70" i="3"/>
  <c r="DY70" i="3"/>
  <c r="DZ70" i="3"/>
  <c r="EA70" i="3"/>
  <c r="EB70" i="3"/>
  <c r="EC70" i="3"/>
  <c r="ED70" i="3"/>
  <c r="EE70" i="3"/>
  <c r="EF70" i="3"/>
  <c r="EG70" i="3"/>
  <c r="EH70" i="3"/>
  <c r="EI70" i="3"/>
  <c r="EJ70" i="3"/>
  <c r="EK70" i="3"/>
  <c r="EL70" i="3"/>
  <c r="EM70" i="3"/>
  <c r="EN70" i="3"/>
  <c r="EO70" i="3"/>
  <c r="EP70" i="3"/>
  <c r="EQ70" i="3"/>
  <c r="ER70" i="3"/>
  <c r="ES70" i="3"/>
  <c r="ET70" i="3"/>
  <c r="EU70" i="3"/>
  <c r="EV70" i="3"/>
  <c r="EW70" i="3"/>
  <c r="EX70" i="3"/>
  <c r="EY70" i="3"/>
  <c r="EZ70" i="3"/>
  <c r="FA70" i="3"/>
  <c r="FB70" i="3"/>
  <c r="FC70" i="3"/>
  <c r="FD70" i="3"/>
  <c r="FE70" i="3"/>
  <c r="FF70" i="3"/>
  <c r="FG70" i="3"/>
  <c r="FH70" i="3"/>
  <c r="FI70" i="3"/>
  <c r="FJ70" i="3"/>
  <c r="FK70" i="3"/>
  <c r="FL70" i="3"/>
  <c r="FM70" i="3"/>
  <c r="FN70" i="3"/>
  <c r="FO70" i="3"/>
  <c r="FP70" i="3"/>
  <c r="FQ70" i="3"/>
  <c r="FR70" i="3"/>
  <c r="FS70" i="3"/>
  <c r="FT70" i="3"/>
  <c r="FU70" i="3"/>
  <c r="FV70" i="3"/>
  <c r="FW70" i="3"/>
  <c r="FX70" i="3"/>
  <c r="FY70" i="3"/>
  <c r="FZ70" i="3"/>
  <c r="GA70" i="3"/>
  <c r="GB70" i="3"/>
  <c r="GC70" i="3"/>
  <c r="GD70" i="3"/>
  <c r="GE70" i="3"/>
  <c r="GF70" i="3"/>
  <c r="GG70" i="3"/>
  <c r="GH70" i="3"/>
  <c r="GI70" i="3"/>
  <c r="GJ70" i="3"/>
  <c r="GK70" i="3"/>
  <c r="GL70" i="3"/>
  <c r="GM70" i="3"/>
  <c r="GN70" i="3"/>
  <c r="GO70" i="3"/>
  <c r="GP70" i="3"/>
  <c r="GQ70" i="3"/>
  <c r="GR70" i="3"/>
  <c r="GS70" i="3"/>
  <c r="GT70" i="3"/>
  <c r="GU7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DC20" i="3"/>
  <c r="DD20" i="3"/>
  <c r="DE20" i="3"/>
  <c r="DF20" i="3"/>
  <c r="DG20" i="3"/>
  <c r="DH20" i="3"/>
  <c r="DI20" i="3"/>
  <c r="DJ20" i="3"/>
  <c r="DK20" i="3"/>
  <c r="DL20" i="3"/>
  <c r="DM20" i="3"/>
  <c r="DN20" i="3"/>
  <c r="DO20" i="3"/>
  <c r="DP20" i="3"/>
  <c r="DQ20" i="3"/>
  <c r="DR20" i="3"/>
  <c r="DS20" i="3"/>
  <c r="DT20" i="3"/>
  <c r="DU20" i="3"/>
  <c r="DV20" i="3"/>
  <c r="DW20" i="3"/>
  <c r="DX20" i="3"/>
  <c r="DY20" i="3"/>
  <c r="DZ20" i="3"/>
  <c r="EA20" i="3"/>
  <c r="EB20" i="3"/>
  <c r="EC20" i="3"/>
  <c r="ED20" i="3"/>
  <c r="EE20" i="3"/>
  <c r="EF20" i="3"/>
  <c r="EG20" i="3"/>
  <c r="EH20" i="3"/>
  <c r="EI20" i="3"/>
  <c r="EJ20" i="3"/>
  <c r="EK20" i="3"/>
  <c r="EL20" i="3"/>
  <c r="EM20" i="3"/>
  <c r="EN20" i="3"/>
  <c r="EO20" i="3"/>
  <c r="EP20" i="3"/>
  <c r="EQ20" i="3"/>
  <c r="ER20" i="3"/>
  <c r="ES20" i="3"/>
  <c r="ET20" i="3"/>
  <c r="EU20" i="3"/>
  <c r="EV20" i="3"/>
  <c r="EW20" i="3"/>
  <c r="EX20" i="3"/>
  <c r="EY20" i="3"/>
  <c r="EZ20" i="3"/>
  <c r="FA20" i="3"/>
  <c r="FB20" i="3"/>
  <c r="FC20" i="3"/>
  <c r="FD20" i="3"/>
  <c r="FE20" i="3"/>
  <c r="FF20" i="3"/>
  <c r="FG20" i="3"/>
  <c r="FH20" i="3"/>
  <c r="FI20" i="3"/>
  <c r="FJ20" i="3"/>
  <c r="FK20" i="3"/>
  <c r="FL20" i="3"/>
  <c r="FM20" i="3"/>
  <c r="FN20" i="3"/>
  <c r="FO20" i="3"/>
  <c r="FP20" i="3"/>
  <c r="FQ20" i="3"/>
  <c r="FR20" i="3"/>
  <c r="FS20" i="3"/>
  <c r="FT20" i="3"/>
  <c r="FU20" i="3"/>
  <c r="FV20" i="3"/>
  <c r="FW20" i="3"/>
  <c r="FX20" i="3"/>
  <c r="FY20" i="3"/>
  <c r="FZ20" i="3"/>
  <c r="GA20" i="3"/>
  <c r="GB20" i="3"/>
  <c r="GC20" i="3"/>
  <c r="GD20" i="3"/>
  <c r="GE20" i="3"/>
  <c r="GF20" i="3"/>
  <c r="GG20" i="3"/>
  <c r="GH20" i="3"/>
  <c r="GI20" i="3"/>
  <c r="GJ20" i="3"/>
  <c r="GK20" i="3"/>
  <c r="GL20" i="3"/>
  <c r="GM20" i="3"/>
  <c r="GN20" i="3"/>
  <c r="GO20" i="3"/>
  <c r="GP20" i="3"/>
  <c r="GQ20" i="3"/>
  <c r="GR20" i="3"/>
  <c r="GS20" i="3"/>
  <c r="GT20" i="3"/>
  <c r="GU20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DC3" i="3"/>
  <c r="DD3" i="3"/>
  <c r="DE3" i="3"/>
  <c r="DF3" i="3"/>
  <c r="DG3" i="3"/>
  <c r="DH3" i="3"/>
  <c r="DI3" i="3"/>
  <c r="DJ3" i="3"/>
  <c r="DK3" i="3"/>
  <c r="DL3" i="3"/>
  <c r="DM3" i="3"/>
  <c r="DN3" i="3"/>
  <c r="DO3" i="3"/>
  <c r="DP3" i="3"/>
  <c r="DQ3" i="3"/>
  <c r="DR3" i="3"/>
  <c r="DS3" i="3"/>
  <c r="DT3" i="3"/>
  <c r="DU3" i="3"/>
  <c r="DV3" i="3"/>
  <c r="DW3" i="3"/>
  <c r="DX3" i="3"/>
  <c r="DY3" i="3"/>
  <c r="DZ3" i="3"/>
  <c r="EA3" i="3"/>
  <c r="EB3" i="3"/>
  <c r="EC3" i="3"/>
  <c r="ED3" i="3"/>
  <c r="EE3" i="3"/>
  <c r="EF3" i="3"/>
  <c r="EG3" i="3"/>
  <c r="EH3" i="3"/>
  <c r="EI3" i="3"/>
  <c r="EJ3" i="3"/>
  <c r="EK3" i="3"/>
  <c r="EL3" i="3"/>
  <c r="EM3" i="3"/>
  <c r="EN3" i="3"/>
  <c r="EO3" i="3"/>
  <c r="EP3" i="3"/>
  <c r="EQ3" i="3"/>
  <c r="ER3" i="3"/>
  <c r="ES3" i="3"/>
  <c r="ET3" i="3"/>
  <c r="EU3" i="3"/>
  <c r="EV3" i="3"/>
  <c r="EW3" i="3"/>
  <c r="EX3" i="3"/>
  <c r="EY3" i="3"/>
  <c r="EZ3" i="3"/>
  <c r="FA3" i="3"/>
  <c r="FB3" i="3"/>
  <c r="FC3" i="3"/>
  <c r="FD3" i="3"/>
  <c r="FE3" i="3"/>
  <c r="FF3" i="3"/>
  <c r="FG3" i="3"/>
  <c r="FH3" i="3"/>
  <c r="FI3" i="3"/>
  <c r="FJ3" i="3"/>
  <c r="FK3" i="3"/>
  <c r="FL3" i="3"/>
  <c r="FM3" i="3"/>
  <c r="FN3" i="3"/>
  <c r="FO3" i="3"/>
  <c r="FP3" i="3"/>
  <c r="FQ3" i="3"/>
  <c r="FR3" i="3"/>
  <c r="FS3" i="3"/>
  <c r="FT3" i="3"/>
  <c r="FU3" i="3"/>
  <c r="FV3" i="3"/>
  <c r="FW3" i="3"/>
  <c r="FX3" i="3"/>
  <c r="FY3" i="3"/>
  <c r="FZ3" i="3"/>
  <c r="GA3" i="3"/>
  <c r="GB3" i="3"/>
  <c r="GC3" i="3"/>
  <c r="GD3" i="3"/>
  <c r="GE3" i="3"/>
  <c r="GF3" i="3"/>
  <c r="GG3" i="3"/>
  <c r="GH3" i="3"/>
  <c r="GI3" i="3"/>
  <c r="GJ3" i="3"/>
  <c r="GK3" i="3"/>
  <c r="GL3" i="3"/>
  <c r="GM3" i="3"/>
  <c r="GN3" i="3"/>
  <c r="GO3" i="3"/>
  <c r="GP3" i="3"/>
  <c r="GQ3" i="3"/>
  <c r="GR3" i="3"/>
  <c r="GS3" i="3"/>
  <c r="GT3" i="3"/>
  <c r="GU3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DC4" i="3"/>
  <c r="DD4" i="3"/>
  <c r="DE4" i="3"/>
  <c r="DF4" i="3"/>
  <c r="DG4" i="3"/>
  <c r="DH4" i="3"/>
  <c r="DI4" i="3"/>
  <c r="DJ4" i="3"/>
  <c r="DK4" i="3"/>
  <c r="DL4" i="3"/>
  <c r="DM4" i="3"/>
  <c r="DN4" i="3"/>
  <c r="DO4" i="3"/>
  <c r="DP4" i="3"/>
  <c r="DQ4" i="3"/>
  <c r="DR4" i="3"/>
  <c r="DS4" i="3"/>
  <c r="DT4" i="3"/>
  <c r="DU4" i="3"/>
  <c r="DV4" i="3"/>
  <c r="DW4" i="3"/>
  <c r="DX4" i="3"/>
  <c r="DY4" i="3"/>
  <c r="DZ4" i="3"/>
  <c r="EA4" i="3"/>
  <c r="EB4" i="3"/>
  <c r="EC4" i="3"/>
  <c r="ED4" i="3"/>
  <c r="EE4" i="3"/>
  <c r="EF4" i="3"/>
  <c r="EG4" i="3"/>
  <c r="EH4" i="3"/>
  <c r="EI4" i="3"/>
  <c r="EJ4" i="3"/>
  <c r="EK4" i="3"/>
  <c r="EL4" i="3"/>
  <c r="EM4" i="3"/>
  <c r="EN4" i="3"/>
  <c r="EO4" i="3"/>
  <c r="EP4" i="3"/>
  <c r="EQ4" i="3"/>
  <c r="ER4" i="3"/>
  <c r="ES4" i="3"/>
  <c r="ET4" i="3"/>
  <c r="EU4" i="3"/>
  <c r="EV4" i="3"/>
  <c r="EW4" i="3"/>
  <c r="EX4" i="3"/>
  <c r="EY4" i="3"/>
  <c r="EZ4" i="3"/>
  <c r="FA4" i="3"/>
  <c r="FB4" i="3"/>
  <c r="FC4" i="3"/>
  <c r="FD4" i="3"/>
  <c r="FE4" i="3"/>
  <c r="FF4" i="3"/>
  <c r="FG4" i="3"/>
  <c r="FH4" i="3"/>
  <c r="FI4" i="3"/>
  <c r="FJ4" i="3"/>
  <c r="FK4" i="3"/>
  <c r="FL4" i="3"/>
  <c r="FM4" i="3"/>
  <c r="FN4" i="3"/>
  <c r="FO4" i="3"/>
  <c r="FP4" i="3"/>
  <c r="FQ4" i="3"/>
  <c r="FR4" i="3"/>
  <c r="FS4" i="3"/>
  <c r="FT4" i="3"/>
  <c r="FU4" i="3"/>
  <c r="FV4" i="3"/>
  <c r="FW4" i="3"/>
  <c r="FX4" i="3"/>
  <c r="FY4" i="3"/>
  <c r="FZ4" i="3"/>
  <c r="GA4" i="3"/>
  <c r="GB4" i="3"/>
  <c r="GC4" i="3"/>
  <c r="GD4" i="3"/>
  <c r="GE4" i="3"/>
  <c r="GF4" i="3"/>
  <c r="GG4" i="3"/>
  <c r="GH4" i="3"/>
  <c r="GI4" i="3"/>
  <c r="GJ4" i="3"/>
  <c r="GK4" i="3"/>
  <c r="GL4" i="3"/>
  <c r="GM4" i="3"/>
  <c r="GN4" i="3"/>
  <c r="GO4" i="3"/>
  <c r="GP4" i="3"/>
  <c r="GQ4" i="3"/>
  <c r="GR4" i="3"/>
  <c r="GS4" i="3"/>
  <c r="GT4" i="3"/>
  <c r="GU4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DC5" i="3"/>
  <c r="DD5" i="3"/>
  <c r="DE5" i="3"/>
  <c r="DF5" i="3"/>
  <c r="DG5" i="3"/>
  <c r="DH5" i="3"/>
  <c r="DI5" i="3"/>
  <c r="DJ5" i="3"/>
  <c r="DK5" i="3"/>
  <c r="DL5" i="3"/>
  <c r="DM5" i="3"/>
  <c r="DN5" i="3"/>
  <c r="DO5" i="3"/>
  <c r="DP5" i="3"/>
  <c r="DQ5" i="3"/>
  <c r="DR5" i="3"/>
  <c r="DS5" i="3"/>
  <c r="DT5" i="3"/>
  <c r="DU5" i="3"/>
  <c r="DV5" i="3"/>
  <c r="DW5" i="3"/>
  <c r="DX5" i="3"/>
  <c r="DY5" i="3"/>
  <c r="DZ5" i="3"/>
  <c r="EA5" i="3"/>
  <c r="EB5" i="3"/>
  <c r="EC5" i="3"/>
  <c r="ED5" i="3"/>
  <c r="EE5" i="3"/>
  <c r="EF5" i="3"/>
  <c r="EG5" i="3"/>
  <c r="EH5" i="3"/>
  <c r="EI5" i="3"/>
  <c r="EJ5" i="3"/>
  <c r="EK5" i="3"/>
  <c r="EL5" i="3"/>
  <c r="EM5" i="3"/>
  <c r="EN5" i="3"/>
  <c r="EO5" i="3"/>
  <c r="EP5" i="3"/>
  <c r="EQ5" i="3"/>
  <c r="ER5" i="3"/>
  <c r="ES5" i="3"/>
  <c r="ET5" i="3"/>
  <c r="EU5" i="3"/>
  <c r="EV5" i="3"/>
  <c r="EW5" i="3"/>
  <c r="EX5" i="3"/>
  <c r="EY5" i="3"/>
  <c r="EZ5" i="3"/>
  <c r="FA5" i="3"/>
  <c r="FB5" i="3"/>
  <c r="FC5" i="3"/>
  <c r="FD5" i="3"/>
  <c r="FE5" i="3"/>
  <c r="FF5" i="3"/>
  <c r="FG5" i="3"/>
  <c r="FH5" i="3"/>
  <c r="FI5" i="3"/>
  <c r="FJ5" i="3"/>
  <c r="FK5" i="3"/>
  <c r="FL5" i="3"/>
  <c r="FM5" i="3"/>
  <c r="FN5" i="3"/>
  <c r="FO5" i="3"/>
  <c r="FP5" i="3"/>
  <c r="FQ5" i="3"/>
  <c r="FR5" i="3"/>
  <c r="FS5" i="3"/>
  <c r="FT5" i="3"/>
  <c r="FU5" i="3"/>
  <c r="FV5" i="3"/>
  <c r="FW5" i="3"/>
  <c r="FX5" i="3"/>
  <c r="FY5" i="3"/>
  <c r="FZ5" i="3"/>
  <c r="GA5" i="3"/>
  <c r="GB5" i="3"/>
  <c r="GC5" i="3"/>
  <c r="GD5" i="3"/>
  <c r="GE5" i="3"/>
  <c r="GF5" i="3"/>
  <c r="GG5" i="3"/>
  <c r="GH5" i="3"/>
  <c r="GI5" i="3"/>
  <c r="GJ5" i="3"/>
  <c r="GK5" i="3"/>
  <c r="GL5" i="3"/>
  <c r="GM5" i="3"/>
  <c r="GN5" i="3"/>
  <c r="GO5" i="3"/>
  <c r="GP5" i="3"/>
  <c r="GQ5" i="3"/>
  <c r="GR5" i="3"/>
  <c r="GS5" i="3"/>
  <c r="GT5" i="3"/>
  <c r="GU5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DC6" i="3"/>
  <c r="DD6" i="3"/>
  <c r="DE6" i="3"/>
  <c r="DF6" i="3"/>
  <c r="DG6" i="3"/>
  <c r="DH6" i="3"/>
  <c r="DI6" i="3"/>
  <c r="DJ6" i="3"/>
  <c r="DK6" i="3"/>
  <c r="DL6" i="3"/>
  <c r="DM6" i="3"/>
  <c r="DN6" i="3"/>
  <c r="DO6" i="3"/>
  <c r="DP6" i="3"/>
  <c r="DQ6" i="3"/>
  <c r="DR6" i="3"/>
  <c r="DS6" i="3"/>
  <c r="DT6" i="3"/>
  <c r="DU6" i="3"/>
  <c r="DV6" i="3"/>
  <c r="DW6" i="3"/>
  <c r="DX6" i="3"/>
  <c r="DY6" i="3"/>
  <c r="DZ6" i="3"/>
  <c r="EA6" i="3"/>
  <c r="EB6" i="3"/>
  <c r="EC6" i="3"/>
  <c r="ED6" i="3"/>
  <c r="EE6" i="3"/>
  <c r="EF6" i="3"/>
  <c r="EG6" i="3"/>
  <c r="EH6" i="3"/>
  <c r="EI6" i="3"/>
  <c r="EJ6" i="3"/>
  <c r="EK6" i="3"/>
  <c r="EL6" i="3"/>
  <c r="EM6" i="3"/>
  <c r="EN6" i="3"/>
  <c r="EO6" i="3"/>
  <c r="EP6" i="3"/>
  <c r="EQ6" i="3"/>
  <c r="ER6" i="3"/>
  <c r="ES6" i="3"/>
  <c r="ET6" i="3"/>
  <c r="EU6" i="3"/>
  <c r="EV6" i="3"/>
  <c r="EW6" i="3"/>
  <c r="EX6" i="3"/>
  <c r="EY6" i="3"/>
  <c r="EZ6" i="3"/>
  <c r="FA6" i="3"/>
  <c r="FB6" i="3"/>
  <c r="FC6" i="3"/>
  <c r="FD6" i="3"/>
  <c r="FE6" i="3"/>
  <c r="FF6" i="3"/>
  <c r="FG6" i="3"/>
  <c r="FH6" i="3"/>
  <c r="FI6" i="3"/>
  <c r="FJ6" i="3"/>
  <c r="FK6" i="3"/>
  <c r="FL6" i="3"/>
  <c r="FM6" i="3"/>
  <c r="FN6" i="3"/>
  <c r="FO6" i="3"/>
  <c r="FP6" i="3"/>
  <c r="FQ6" i="3"/>
  <c r="FR6" i="3"/>
  <c r="FS6" i="3"/>
  <c r="FT6" i="3"/>
  <c r="FU6" i="3"/>
  <c r="FV6" i="3"/>
  <c r="FW6" i="3"/>
  <c r="FX6" i="3"/>
  <c r="FY6" i="3"/>
  <c r="FZ6" i="3"/>
  <c r="GA6" i="3"/>
  <c r="GB6" i="3"/>
  <c r="GC6" i="3"/>
  <c r="GD6" i="3"/>
  <c r="GE6" i="3"/>
  <c r="GF6" i="3"/>
  <c r="GG6" i="3"/>
  <c r="GH6" i="3"/>
  <c r="GI6" i="3"/>
  <c r="GJ6" i="3"/>
  <c r="GK6" i="3"/>
  <c r="GL6" i="3"/>
  <c r="GM6" i="3"/>
  <c r="GN6" i="3"/>
  <c r="GO6" i="3"/>
  <c r="GP6" i="3"/>
  <c r="GQ6" i="3"/>
  <c r="GR6" i="3"/>
  <c r="GS6" i="3"/>
  <c r="GT6" i="3"/>
  <c r="GU6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P7" i="3"/>
  <c r="EQ7" i="3"/>
  <c r="ER7" i="3"/>
  <c r="ES7" i="3"/>
  <c r="ET7" i="3"/>
  <c r="EU7" i="3"/>
  <c r="EV7" i="3"/>
  <c r="EW7" i="3"/>
  <c r="EX7" i="3"/>
  <c r="EY7" i="3"/>
  <c r="EZ7" i="3"/>
  <c r="FA7" i="3"/>
  <c r="FB7" i="3"/>
  <c r="FC7" i="3"/>
  <c r="FD7" i="3"/>
  <c r="FE7" i="3"/>
  <c r="FF7" i="3"/>
  <c r="FG7" i="3"/>
  <c r="FH7" i="3"/>
  <c r="FI7" i="3"/>
  <c r="FJ7" i="3"/>
  <c r="FK7" i="3"/>
  <c r="FL7" i="3"/>
  <c r="FM7" i="3"/>
  <c r="FN7" i="3"/>
  <c r="FO7" i="3"/>
  <c r="FP7" i="3"/>
  <c r="FQ7" i="3"/>
  <c r="FR7" i="3"/>
  <c r="FS7" i="3"/>
  <c r="FT7" i="3"/>
  <c r="FU7" i="3"/>
  <c r="FV7" i="3"/>
  <c r="FW7" i="3"/>
  <c r="FX7" i="3"/>
  <c r="FY7" i="3"/>
  <c r="FZ7" i="3"/>
  <c r="GA7" i="3"/>
  <c r="GB7" i="3"/>
  <c r="GC7" i="3"/>
  <c r="GD7" i="3"/>
  <c r="GE7" i="3"/>
  <c r="GF7" i="3"/>
  <c r="GG7" i="3"/>
  <c r="GH7" i="3"/>
  <c r="GI7" i="3"/>
  <c r="GJ7" i="3"/>
  <c r="GK7" i="3"/>
  <c r="GL7" i="3"/>
  <c r="GM7" i="3"/>
  <c r="GN7" i="3"/>
  <c r="GO7" i="3"/>
  <c r="GP7" i="3"/>
  <c r="GQ7" i="3"/>
  <c r="GR7" i="3"/>
  <c r="GS7" i="3"/>
  <c r="GT7" i="3"/>
  <c r="GU7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DC8" i="3"/>
  <c r="DD8" i="3"/>
  <c r="DE8" i="3"/>
  <c r="DF8" i="3"/>
  <c r="DG8" i="3"/>
  <c r="DH8" i="3"/>
  <c r="DI8" i="3"/>
  <c r="DJ8" i="3"/>
  <c r="DK8" i="3"/>
  <c r="DL8" i="3"/>
  <c r="DM8" i="3"/>
  <c r="DN8" i="3"/>
  <c r="DO8" i="3"/>
  <c r="DP8" i="3"/>
  <c r="DQ8" i="3"/>
  <c r="DR8" i="3"/>
  <c r="DS8" i="3"/>
  <c r="DT8" i="3"/>
  <c r="DU8" i="3"/>
  <c r="DV8" i="3"/>
  <c r="DW8" i="3"/>
  <c r="DX8" i="3"/>
  <c r="DY8" i="3"/>
  <c r="DZ8" i="3"/>
  <c r="EA8" i="3"/>
  <c r="EB8" i="3"/>
  <c r="EC8" i="3"/>
  <c r="ED8" i="3"/>
  <c r="EE8" i="3"/>
  <c r="EF8" i="3"/>
  <c r="EG8" i="3"/>
  <c r="EH8" i="3"/>
  <c r="EI8" i="3"/>
  <c r="EJ8" i="3"/>
  <c r="EK8" i="3"/>
  <c r="EL8" i="3"/>
  <c r="EM8" i="3"/>
  <c r="EN8" i="3"/>
  <c r="EO8" i="3"/>
  <c r="EP8" i="3"/>
  <c r="EQ8" i="3"/>
  <c r="ER8" i="3"/>
  <c r="ES8" i="3"/>
  <c r="ET8" i="3"/>
  <c r="EU8" i="3"/>
  <c r="EV8" i="3"/>
  <c r="EW8" i="3"/>
  <c r="EX8" i="3"/>
  <c r="EY8" i="3"/>
  <c r="EZ8" i="3"/>
  <c r="FA8" i="3"/>
  <c r="FB8" i="3"/>
  <c r="FC8" i="3"/>
  <c r="FD8" i="3"/>
  <c r="FE8" i="3"/>
  <c r="FF8" i="3"/>
  <c r="FG8" i="3"/>
  <c r="FH8" i="3"/>
  <c r="FI8" i="3"/>
  <c r="FJ8" i="3"/>
  <c r="FK8" i="3"/>
  <c r="FL8" i="3"/>
  <c r="FM8" i="3"/>
  <c r="FN8" i="3"/>
  <c r="FO8" i="3"/>
  <c r="FP8" i="3"/>
  <c r="FQ8" i="3"/>
  <c r="FR8" i="3"/>
  <c r="FS8" i="3"/>
  <c r="FT8" i="3"/>
  <c r="FU8" i="3"/>
  <c r="FV8" i="3"/>
  <c r="FW8" i="3"/>
  <c r="FX8" i="3"/>
  <c r="FY8" i="3"/>
  <c r="FZ8" i="3"/>
  <c r="GA8" i="3"/>
  <c r="GB8" i="3"/>
  <c r="GC8" i="3"/>
  <c r="GD8" i="3"/>
  <c r="GE8" i="3"/>
  <c r="GF8" i="3"/>
  <c r="GG8" i="3"/>
  <c r="GH8" i="3"/>
  <c r="GI8" i="3"/>
  <c r="GJ8" i="3"/>
  <c r="GK8" i="3"/>
  <c r="GL8" i="3"/>
  <c r="GM8" i="3"/>
  <c r="GN8" i="3"/>
  <c r="GO8" i="3"/>
  <c r="GP8" i="3"/>
  <c r="GQ8" i="3"/>
  <c r="GR8" i="3"/>
  <c r="GS8" i="3"/>
  <c r="GT8" i="3"/>
  <c r="GU8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DC9" i="3"/>
  <c r="DD9" i="3"/>
  <c r="DE9" i="3"/>
  <c r="DF9" i="3"/>
  <c r="DG9" i="3"/>
  <c r="DH9" i="3"/>
  <c r="DI9" i="3"/>
  <c r="DJ9" i="3"/>
  <c r="DK9" i="3"/>
  <c r="DL9" i="3"/>
  <c r="DM9" i="3"/>
  <c r="DN9" i="3"/>
  <c r="DO9" i="3"/>
  <c r="DP9" i="3"/>
  <c r="DQ9" i="3"/>
  <c r="DR9" i="3"/>
  <c r="DS9" i="3"/>
  <c r="DT9" i="3"/>
  <c r="DU9" i="3"/>
  <c r="DV9" i="3"/>
  <c r="DW9" i="3"/>
  <c r="DX9" i="3"/>
  <c r="DY9" i="3"/>
  <c r="DZ9" i="3"/>
  <c r="EA9" i="3"/>
  <c r="EB9" i="3"/>
  <c r="EC9" i="3"/>
  <c r="ED9" i="3"/>
  <c r="EE9" i="3"/>
  <c r="EF9" i="3"/>
  <c r="EG9" i="3"/>
  <c r="EH9" i="3"/>
  <c r="EI9" i="3"/>
  <c r="EJ9" i="3"/>
  <c r="EK9" i="3"/>
  <c r="EL9" i="3"/>
  <c r="EM9" i="3"/>
  <c r="EN9" i="3"/>
  <c r="EO9" i="3"/>
  <c r="EP9" i="3"/>
  <c r="EQ9" i="3"/>
  <c r="ER9" i="3"/>
  <c r="ES9" i="3"/>
  <c r="ET9" i="3"/>
  <c r="EU9" i="3"/>
  <c r="EV9" i="3"/>
  <c r="EW9" i="3"/>
  <c r="EX9" i="3"/>
  <c r="EY9" i="3"/>
  <c r="EZ9" i="3"/>
  <c r="FA9" i="3"/>
  <c r="FB9" i="3"/>
  <c r="FC9" i="3"/>
  <c r="FD9" i="3"/>
  <c r="FE9" i="3"/>
  <c r="FF9" i="3"/>
  <c r="FG9" i="3"/>
  <c r="FH9" i="3"/>
  <c r="FI9" i="3"/>
  <c r="FJ9" i="3"/>
  <c r="FK9" i="3"/>
  <c r="FL9" i="3"/>
  <c r="FM9" i="3"/>
  <c r="FN9" i="3"/>
  <c r="FO9" i="3"/>
  <c r="FP9" i="3"/>
  <c r="FQ9" i="3"/>
  <c r="FR9" i="3"/>
  <c r="FS9" i="3"/>
  <c r="FT9" i="3"/>
  <c r="FU9" i="3"/>
  <c r="FV9" i="3"/>
  <c r="FW9" i="3"/>
  <c r="FX9" i="3"/>
  <c r="FY9" i="3"/>
  <c r="FZ9" i="3"/>
  <c r="GA9" i="3"/>
  <c r="GB9" i="3"/>
  <c r="GC9" i="3"/>
  <c r="GD9" i="3"/>
  <c r="GE9" i="3"/>
  <c r="GF9" i="3"/>
  <c r="GG9" i="3"/>
  <c r="GH9" i="3"/>
  <c r="GI9" i="3"/>
  <c r="GJ9" i="3"/>
  <c r="GK9" i="3"/>
  <c r="GL9" i="3"/>
  <c r="GM9" i="3"/>
  <c r="GN9" i="3"/>
  <c r="GO9" i="3"/>
  <c r="GP9" i="3"/>
  <c r="GQ9" i="3"/>
  <c r="GR9" i="3"/>
  <c r="GS9" i="3"/>
  <c r="GT9" i="3"/>
  <c r="GU9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V10" i="3"/>
  <c r="DW10" i="3"/>
  <c r="DX10" i="3"/>
  <c r="DY10" i="3"/>
  <c r="DZ10" i="3"/>
  <c r="EA10" i="3"/>
  <c r="EB10" i="3"/>
  <c r="EC10" i="3"/>
  <c r="ED10" i="3"/>
  <c r="EE10" i="3"/>
  <c r="EF10" i="3"/>
  <c r="EG10" i="3"/>
  <c r="EH10" i="3"/>
  <c r="EI10" i="3"/>
  <c r="EJ10" i="3"/>
  <c r="EK10" i="3"/>
  <c r="EL10" i="3"/>
  <c r="EM10" i="3"/>
  <c r="EN10" i="3"/>
  <c r="EO10" i="3"/>
  <c r="EP10" i="3"/>
  <c r="EQ10" i="3"/>
  <c r="ER10" i="3"/>
  <c r="ES10" i="3"/>
  <c r="ET10" i="3"/>
  <c r="EU10" i="3"/>
  <c r="EV10" i="3"/>
  <c r="EW10" i="3"/>
  <c r="EX10" i="3"/>
  <c r="EY10" i="3"/>
  <c r="EZ10" i="3"/>
  <c r="FA10" i="3"/>
  <c r="FB10" i="3"/>
  <c r="FC10" i="3"/>
  <c r="FD10" i="3"/>
  <c r="FE10" i="3"/>
  <c r="FF10" i="3"/>
  <c r="FG10" i="3"/>
  <c r="FH10" i="3"/>
  <c r="FI10" i="3"/>
  <c r="FJ10" i="3"/>
  <c r="FK10" i="3"/>
  <c r="FL10" i="3"/>
  <c r="FM10" i="3"/>
  <c r="FN10" i="3"/>
  <c r="FO10" i="3"/>
  <c r="FP10" i="3"/>
  <c r="FQ10" i="3"/>
  <c r="FR10" i="3"/>
  <c r="FS10" i="3"/>
  <c r="FT10" i="3"/>
  <c r="FU10" i="3"/>
  <c r="FV10" i="3"/>
  <c r="FW10" i="3"/>
  <c r="FX10" i="3"/>
  <c r="FY10" i="3"/>
  <c r="FZ10" i="3"/>
  <c r="GA10" i="3"/>
  <c r="GB10" i="3"/>
  <c r="GC10" i="3"/>
  <c r="GD10" i="3"/>
  <c r="GE10" i="3"/>
  <c r="GF10" i="3"/>
  <c r="GG10" i="3"/>
  <c r="GH10" i="3"/>
  <c r="GI10" i="3"/>
  <c r="GJ10" i="3"/>
  <c r="GK10" i="3"/>
  <c r="GL10" i="3"/>
  <c r="GM10" i="3"/>
  <c r="GN10" i="3"/>
  <c r="GO10" i="3"/>
  <c r="GP10" i="3"/>
  <c r="GQ10" i="3"/>
  <c r="GR10" i="3"/>
  <c r="GS10" i="3"/>
  <c r="GT10" i="3"/>
  <c r="GU10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DT11" i="3"/>
  <c r="DU11" i="3"/>
  <c r="DV11" i="3"/>
  <c r="DW11" i="3"/>
  <c r="DX11" i="3"/>
  <c r="DY11" i="3"/>
  <c r="DZ11" i="3"/>
  <c r="EA11" i="3"/>
  <c r="EB11" i="3"/>
  <c r="EC11" i="3"/>
  <c r="ED11" i="3"/>
  <c r="EE11" i="3"/>
  <c r="EF11" i="3"/>
  <c r="EG11" i="3"/>
  <c r="EH11" i="3"/>
  <c r="EI11" i="3"/>
  <c r="EJ11" i="3"/>
  <c r="EK11" i="3"/>
  <c r="EL11" i="3"/>
  <c r="EM11" i="3"/>
  <c r="EN11" i="3"/>
  <c r="EO11" i="3"/>
  <c r="EP11" i="3"/>
  <c r="EQ11" i="3"/>
  <c r="ER11" i="3"/>
  <c r="ES11" i="3"/>
  <c r="ET11" i="3"/>
  <c r="EU11" i="3"/>
  <c r="EV11" i="3"/>
  <c r="EW11" i="3"/>
  <c r="EX11" i="3"/>
  <c r="EY11" i="3"/>
  <c r="EZ11" i="3"/>
  <c r="FA11" i="3"/>
  <c r="FB11" i="3"/>
  <c r="FC11" i="3"/>
  <c r="FD11" i="3"/>
  <c r="FE11" i="3"/>
  <c r="FF11" i="3"/>
  <c r="FG11" i="3"/>
  <c r="FH11" i="3"/>
  <c r="FI11" i="3"/>
  <c r="FJ11" i="3"/>
  <c r="FK11" i="3"/>
  <c r="FL11" i="3"/>
  <c r="FM11" i="3"/>
  <c r="FN11" i="3"/>
  <c r="FO11" i="3"/>
  <c r="FP11" i="3"/>
  <c r="FQ11" i="3"/>
  <c r="FR11" i="3"/>
  <c r="FS11" i="3"/>
  <c r="FT11" i="3"/>
  <c r="FU11" i="3"/>
  <c r="FV11" i="3"/>
  <c r="FW11" i="3"/>
  <c r="FX11" i="3"/>
  <c r="FY11" i="3"/>
  <c r="FZ11" i="3"/>
  <c r="GA11" i="3"/>
  <c r="GB11" i="3"/>
  <c r="GC11" i="3"/>
  <c r="GD11" i="3"/>
  <c r="GE11" i="3"/>
  <c r="GF11" i="3"/>
  <c r="GG11" i="3"/>
  <c r="GH11" i="3"/>
  <c r="GI11" i="3"/>
  <c r="GJ11" i="3"/>
  <c r="GK11" i="3"/>
  <c r="GL11" i="3"/>
  <c r="GM11" i="3"/>
  <c r="GN11" i="3"/>
  <c r="GO11" i="3"/>
  <c r="GP11" i="3"/>
  <c r="GQ11" i="3"/>
  <c r="GR11" i="3"/>
  <c r="GS11" i="3"/>
  <c r="GT11" i="3"/>
  <c r="GU11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DF12" i="3"/>
  <c r="DG12" i="3"/>
  <c r="DH12" i="3"/>
  <c r="DI12" i="3"/>
  <c r="DJ12" i="3"/>
  <c r="DK12" i="3"/>
  <c r="DL12" i="3"/>
  <c r="DM12" i="3"/>
  <c r="DN12" i="3"/>
  <c r="DO12" i="3"/>
  <c r="DP12" i="3"/>
  <c r="DQ12" i="3"/>
  <c r="DR12" i="3"/>
  <c r="DS12" i="3"/>
  <c r="DT12" i="3"/>
  <c r="DU12" i="3"/>
  <c r="DV12" i="3"/>
  <c r="DW12" i="3"/>
  <c r="DX12" i="3"/>
  <c r="DY12" i="3"/>
  <c r="DZ12" i="3"/>
  <c r="EA12" i="3"/>
  <c r="EB12" i="3"/>
  <c r="EC12" i="3"/>
  <c r="ED12" i="3"/>
  <c r="EE12" i="3"/>
  <c r="EF12" i="3"/>
  <c r="EG12" i="3"/>
  <c r="EH12" i="3"/>
  <c r="EI12" i="3"/>
  <c r="EJ12" i="3"/>
  <c r="EK12" i="3"/>
  <c r="EL12" i="3"/>
  <c r="EM12" i="3"/>
  <c r="EN12" i="3"/>
  <c r="EO12" i="3"/>
  <c r="EP12" i="3"/>
  <c r="EQ12" i="3"/>
  <c r="ER12" i="3"/>
  <c r="ES12" i="3"/>
  <c r="ET12" i="3"/>
  <c r="EU12" i="3"/>
  <c r="EV12" i="3"/>
  <c r="EW12" i="3"/>
  <c r="EX12" i="3"/>
  <c r="EY12" i="3"/>
  <c r="EZ12" i="3"/>
  <c r="FA12" i="3"/>
  <c r="FB12" i="3"/>
  <c r="FC12" i="3"/>
  <c r="FD12" i="3"/>
  <c r="FE12" i="3"/>
  <c r="FF12" i="3"/>
  <c r="FG12" i="3"/>
  <c r="FH12" i="3"/>
  <c r="FI12" i="3"/>
  <c r="FJ12" i="3"/>
  <c r="FK12" i="3"/>
  <c r="FL12" i="3"/>
  <c r="FM12" i="3"/>
  <c r="FN12" i="3"/>
  <c r="FO12" i="3"/>
  <c r="FP12" i="3"/>
  <c r="FQ12" i="3"/>
  <c r="FR12" i="3"/>
  <c r="FS12" i="3"/>
  <c r="FT12" i="3"/>
  <c r="FU12" i="3"/>
  <c r="FV12" i="3"/>
  <c r="FW12" i="3"/>
  <c r="FX12" i="3"/>
  <c r="FY12" i="3"/>
  <c r="FZ12" i="3"/>
  <c r="GA12" i="3"/>
  <c r="GB12" i="3"/>
  <c r="GC12" i="3"/>
  <c r="GD12" i="3"/>
  <c r="GE12" i="3"/>
  <c r="GF12" i="3"/>
  <c r="GG12" i="3"/>
  <c r="GH12" i="3"/>
  <c r="GI12" i="3"/>
  <c r="GJ12" i="3"/>
  <c r="GK12" i="3"/>
  <c r="GL12" i="3"/>
  <c r="GM12" i="3"/>
  <c r="GN12" i="3"/>
  <c r="GO12" i="3"/>
  <c r="GP12" i="3"/>
  <c r="GQ12" i="3"/>
  <c r="GR12" i="3"/>
  <c r="GS12" i="3"/>
  <c r="GT12" i="3"/>
  <c r="GU12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DF13" i="3"/>
  <c r="DG13" i="3"/>
  <c r="DH13" i="3"/>
  <c r="DI13" i="3"/>
  <c r="DJ13" i="3"/>
  <c r="DK13" i="3"/>
  <c r="DL13" i="3"/>
  <c r="DM13" i="3"/>
  <c r="DN13" i="3"/>
  <c r="DO13" i="3"/>
  <c r="DP13" i="3"/>
  <c r="DQ13" i="3"/>
  <c r="DR13" i="3"/>
  <c r="DS13" i="3"/>
  <c r="DT13" i="3"/>
  <c r="DU13" i="3"/>
  <c r="DV13" i="3"/>
  <c r="DW13" i="3"/>
  <c r="DX13" i="3"/>
  <c r="DY13" i="3"/>
  <c r="DZ13" i="3"/>
  <c r="EA13" i="3"/>
  <c r="EB13" i="3"/>
  <c r="EC13" i="3"/>
  <c r="ED13" i="3"/>
  <c r="EE13" i="3"/>
  <c r="EF13" i="3"/>
  <c r="EG13" i="3"/>
  <c r="EH13" i="3"/>
  <c r="EI13" i="3"/>
  <c r="EJ13" i="3"/>
  <c r="EK13" i="3"/>
  <c r="EL13" i="3"/>
  <c r="EM13" i="3"/>
  <c r="EN13" i="3"/>
  <c r="EO13" i="3"/>
  <c r="EP13" i="3"/>
  <c r="EQ13" i="3"/>
  <c r="ER13" i="3"/>
  <c r="ES13" i="3"/>
  <c r="ET13" i="3"/>
  <c r="EU13" i="3"/>
  <c r="EV13" i="3"/>
  <c r="EW13" i="3"/>
  <c r="EX13" i="3"/>
  <c r="EY13" i="3"/>
  <c r="EZ13" i="3"/>
  <c r="FA13" i="3"/>
  <c r="FB13" i="3"/>
  <c r="FC13" i="3"/>
  <c r="FD13" i="3"/>
  <c r="FE13" i="3"/>
  <c r="FF13" i="3"/>
  <c r="FG13" i="3"/>
  <c r="FH13" i="3"/>
  <c r="FI13" i="3"/>
  <c r="FJ13" i="3"/>
  <c r="FK13" i="3"/>
  <c r="FL13" i="3"/>
  <c r="FM13" i="3"/>
  <c r="FN13" i="3"/>
  <c r="FO13" i="3"/>
  <c r="FP13" i="3"/>
  <c r="FQ13" i="3"/>
  <c r="FR13" i="3"/>
  <c r="FS13" i="3"/>
  <c r="FT13" i="3"/>
  <c r="FU13" i="3"/>
  <c r="FV13" i="3"/>
  <c r="FW13" i="3"/>
  <c r="FX13" i="3"/>
  <c r="FY13" i="3"/>
  <c r="FZ13" i="3"/>
  <c r="GA13" i="3"/>
  <c r="GB13" i="3"/>
  <c r="GC13" i="3"/>
  <c r="GD13" i="3"/>
  <c r="GE13" i="3"/>
  <c r="GF13" i="3"/>
  <c r="GG13" i="3"/>
  <c r="GH13" i="3"/>
  <c r="GI13" i="3"/>
  <c r="GJ13" i="3"/>
  <c r="GK13" i="3"/>
  <c r="GL13" i="3"/>
  <c r="GM13" i="3"/>
  <c r="GN13" i="3"/>
  <c r="GO13" i="3"/>
  <c r="GP13" i="3"/>
  <c r="GQ13" i="3"/>
  <c r="GR13" i="3"/>
  <c r="GS13" i="3"/>
  <c r="GT13" i="3"/>
  <c r="GU13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DF14" i="3"/>
  <c r="DG14" i="3"/>
  <c r="DH14" i="3"/>
  <c r="DI14" i="3"/>
  <c r="DJ14" i="3"/>
  <c r="DK14" i="3"/>
  <c r="DL14" i="3"/>
  <c r="DM14" i="3"/>
  <c r="DN14" i="3"/>
  <c r="DO14" i="3"/>
  <c r="DP14" i="3"/>
  <c r="DQ14" i="3"/>
  <c r="DR14" i="3"/>
  <c r="DS14" i="3"/>
  <c r="DT14" i="3"/>
  <c r="DU14" i="3"/>
  <c r="DV14" i="3"/>
  <c r="DW14" i="3"/>
  <c r="DX14" i="3"/>
  <c r="DY14" i="3"/>
  <c r="DZ14" i="3"/>
  <c r="EA14" i="3"/>
  <c r="EB14" i="3"/>
  <c r="EC14" i="3"/>
  <c r="ED14" i="3"/>
  <c r="EE14" i="3"/>
  <c r="EF14" i="3"/>
  <c r="EG14" i="3"/>
  <c r="EH14" i="3"/>
  <c r="EI14" i="3"/>
  <c r="EJ14" i="3"/>
  <c r="EK14" i="3"/>
  <c r="EL14" i="3"/>
  <c r="EM14" i="3"/>
  <c r="EN14" i="3"/>
  <c r="EO14" i="3"/>
  <c r="EP14" i="3"/>
  <c r="EQ14" i="3"/>
  <c r="ER14" i="3"/>
  <c r="ES14" i="3"/>
  <c r="ET14" i="3"/>
  <c r="EU14" i="3"/>
  <c r="EV14" i="3"/>
  <c r="EW14" i="3"/>
  <c r="EX14" i="3"/>
  <c r="EY14" i="3"/>
  <c r="EZ14" i="3"/>
  <c r="FA14" i="3"/>
  <c r="FB14" i="3"/>
  <c r="FC14" i="3"/>
  <c r="FD14" i="3"/>
  <c r="FE14" i="3"/>
  <c r="FF14" i="3"/>
  <c r="FG14" i="3"/>
  <c r="FH14" i="3"/>
  <c r="FI14" i="3"/>
  <c r="FJ14" i="3"/>
  <c r="FK14" i="3"/>
  <c r="FL14" i="3"/>
  <c r="FM14" i="3"/>
  <c r="FN14" i="3"/>
  <c r="FO14" i="3"/>
  <c r="FP14" i="3"/>
  <c r="FQ14" i="3"/>
  <c r="FR14" i="3"/>
  <c r="FS14" i="3"/>
  <c r="FT14" i="3"/>
  <c r="FU14" i="3"/>
  <c r="FV14" i="3"/>
  <c r="FW14" i="3"/>
  <c r="FX14" i="3"/>
  <c r="FY14" i="3"/>
  <c r="FZ14" i="3"/>
  <c r="GA14" i="3"/>
  <c r="GB14" i="3"/>
  <c r="GC14" i="3"/>
  <c r="GD14" i="3"/>
  <c r="GE14" i="3"/>
  <c r="GF14" i="3"/>
  <c r="GG14" i="3"/>
  <c r="GH14" i="3"/>
  <c r="GI14" i="3"/>
  <c r="GJ14" i="3"/>
  <c r="GK14" i="3"/>
  <c r="GL14" i="3"/>
  <c r="GM14" i="3"/>
  <c r="GN14" i="3"/>
  <c r="GO14" i="3"/>
  <c r="GP14" i="3"/>
  <c r="GQ14" i="3"/>
  <c r="GR14" i="3"/>
  <c r="GS14" i="3"/>
  <c r="GT14" i="3"/>
  <c r="GU14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DF15" i="3"/>
  <c r="DG15" i="3"/>
  <c r="DH15" i="3"/>
  <c r="DI15" i="3"/>
  <c r="DJ15" i="3"/>
  <c r="DK15" i="3"/>
  <c r="DL15" i="3"/>
  <c r="DM15" i="3"/>
  <c r="DN15" i="3"/>
  <c r="DO15" i="3"/>
  <c r="DP15" i="3"/>
  <c r="DQ15" i="3"/>
  <c r="DR15" i="3"/>
  <c r="DS15" i="3"/>
  <c r="DT15" i="3"/>
  <c r="DU15" i="3"/>
  <c r="DV15" i="3"/>
  <c r="DW15" i="3"/>
  <c r="DX15" i="3"/>
  <c r="DY15" i="3"/>
  <c r="DZ15" i="3"/>
  <c r="EA15" i="3"/>
  <c r="EB15" i="3"/>
  <c r="EC15" i="3"/>
  <c r="ED15" i="3"/>
  <c r="EE15" i="3"/>
  <c r="EF15" i="3"/>
  <c r="EG15" i="3"/>
  <c r="EH15" i="3"/>
  <c r="EI15" i="3"/>
  <c r="EJ15" i="3"/>
  <c r="EK15" i="3"/>
  <c r="EL15" i="3"/>
  <c r="EM15" i="3"/>
  <c r="EN15" i="3"/>
  <c r="EO15" i="3"/>
  <c r="EP15" i="3"/>
  <c r="EQ15" i="3"/>
  <c r="ER15" i="3"/>
  <c r="ES15" i="3"/>
  <c r="ET15" i="3"/>
  <c r="EU15" i="3"/>
  <c r="EV15" i="3"/>
  <c r="EW15" i="3"/>
  <c r="EX15" i="3"/>
  <c r="EY15" i="3"/>
  <c r="EZ15" i="3"/>
  <c r="FA15" i="3"/>
  <c r="FB15" i="3"/>
  <c r="FC15" i="3"/>
  <c r="FD15" i="3"/>
  <c r="FE15" i="3"/>
  <c r="FF15" i="3"/>
  <c r="FG15" i="3"/>
  <c r="FH15" i="3"/>
  <c r="FI15" i="3"/>
  <c r="FJ15" i="3"/>
  <c r="FK15" i="3"/>
  <c r="FL15" i="3"/>
  <c r="FM15" i="3"/>
  <c r="FN15" i="3"/>
  <c r="FO15" i="3"/>
  <c r="FP15" i="3"/>
  <c r="FQ15" i="3"/>
  <c r="FR15" i="3"/>
  <c r="FS15" i="3"/>
  <c r="FT15" i="3"/>
  <c r="FU15" i="3"/>
  <c r="FV15" i="3"/>
  <c r="FW15" i="3"/>
  <c r="FX15" i="3"/>
  <c r="FY15" i="3"/>
  <c r="FZ15" i="3"/>
  <c r="GA15" i="3"/>
  <c r="GB15" i="3"/>
  <c r="GC15" i="3"/>
  <c r="GD15" i="3"/>
  <c r="GE15" i="3"/>
  <c r="GF15" i="3"/>
  <c r="GG15" i="3"/>
  <c r="GH15" i="3"/>
  <c r="GI15" i="3"/>
  <c r="GJ15" i="3"/>
  <c r="GK15" i="3"/>
  <c r="GL15" i="3"/>
  <c r="GM15" i="3"/>
  <c r="GN15" i="3"/>
  <c r="GO15" i="3"/>
  <c r="GP15" i="3"/>
  <c r="GQ15" i="3"/>
  <c r="GR15" i="3"/>
  <c r="GS15" i="3"/>
  <c r="GT15" i="3"/>
  <c r="GU15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DF16" i="3"/>
  <c r="DG16" i="3"/>
  <c r="DH16" i="3"/>
  <c r="DI16" i="3"/>
  <c r="DJ16" i="3"/>
  <c r="DK16" i="3"/>
  <c r="DL16" i="3"/>
  <c r="DM16" i="3"/>
  <c r="DN16" i="3"/>
  <c r="DO16" i="3"/>
  <c r="DP16" i="3"/>
  <c r="DQ16" i="3"/>
  <c r="DR16" i="3"/>
  <c r="DS16" i="3"/>
  <c r="DT16" i="3"/>
  <c r="DU16" i="3"/>
  <c r="DV16" i="3"/>
  <c r="DW16" i="3"/>
  <c r="DX16" i="3"/>
  <c r="DY16" i="3"/>
  <c r="DZ16" i="3"/>
  <c r="EA16" i="3"/>
  <c r="EB16" i="3"/>
  <c r="EC16" i="3"/>
  <c r="ED16" i="3"/>
  <c r="EE16" i="3"/>
  <c r="EF16" i="3"/>
  <c r="EG16" i="3"/>
  <c r="EH16" i="3"/>
  <c r="EI16" i="3"/>
  <c r="EJ16" i="3"/>
  <c r="EK16" i="3"/>
  <c r="EL16" i="3"/>
  <c r="EM16" i="3"/>
  <c r="EN16" i="3"/>
  <c r="EO16" i="3"/>
  <c r="EP16" i="3"/>
  <c r="EQ16" i="3"/>
  <c r="ER16" i="3"/>
  <c r="ES16" i="3"/>
  <c r="ET16" i="3"/>
  <c r="EU16" i="3"/>
  <c r="EV16" i="3"/>
  <c r="EW16" i="3"/>
  <c r="EX16" i="3"/>
  <c r="EY16" i="3"/>
  <c r="EZ16" i="3"/>
  <c r="FA16" i="3"/>
  <c r="FB16" i="3"/>
  <c r="FC16" i="3"/>
  <c r="FD16" i="3"/>
  <c r="FE16" i="3"/>
  <c r="FF16" i="3"/>
  <c r="FG16" i="3"/>
  <c r="FH16" i="3"/>
  <c r="FI16" i="3"/>
  <c r="FJ16" i="3"/>
  <c r="FK16" i="3"/>
  <c r="FL16" i="3"/>
  <c r="FM16" i="3"/>
  <c r="FN16" i="3"/>
  <c r="FO16" i="3"/>
  <c r="FP16" i="3"/>
  <c r="FQ16" i="3"/>
  <c r="FR16" i="3"/>
  <c r="FS16" i="3"/>
  <c r="FT16" i="3"/>
  <c r="FU16" i="3"/>
  <c r="FV16" i="3"/>
  <c r="FW16" i="3"/>
  <c r="FX16" i="3"/>
  <c r="FY16" i="3"/>
  <c r="FZ16" i="3"/>
  <c r="GA16" i="3"/>
  <c r="GB16" i="3"/>
  <c r="GC16" i="3"/>
  <c r="GD16" i="3"/>
  <c r="GE16" i="3"/>
  <c r="GF16" i="3"/>
  <c r="GG16" i="3"/>
  <c r="GH16" i="3"/>
  <c r="GI16" i="3"/>
  <c r="GJ16" i="3"/>
  <c r="GK16" i="3"/>
  <c r="GL16" i="3"/>
  <c r="GM16" i="3"/>
  <c r="GN16" i="3"/>
  <c r="GO16" i="3"/>
  <c r="GP16" i="3"/>
  <c r="GQ16" i="3"/>
  <c r="GR16" i="3"/>
  <c r="GS16" i="3"/>
  <c r="GT16" i="3"/>
  <c r="GU16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DF17" i="3"/>
  <c r="DG17" i="3"/>
  <c r="DH17" i="3"/>
  <c r="DI17" i="3"/>
  <c r="DJ17" i="3"/>
  <c r="DK17" i="3"/>
  <c r="DL17" i="3"/>
  <c r="DM17" i="3"/>
  <c r="DN17" i="3"/>
  <c r="DO17" i="3"/>
  <c r="DP17" i="3"/>
  <c r="DQ17" i="3"/>
  <c r="DR17" i="3"/>
  <c r="DS17" i="3"/>
  <c r="DT17" i="3"/>
  <c r="DU17" i="3"/>
  <c r="DV17" i="3"/>
  <c r="DW17" i="3"/>
  <c r="DX17" i="3"/>
  <c r="DY17" i="3"/>
  <c r="DZ17" i="3"/>
  <c r="EA17" i="3"/>
  <c r="EB17" i="3"/>
  <c r="EC17" i="3"/>
  <c r="ED17" i="3"/>
  <c r="EE17" i="3"/>
  <c r="EF17" i="3"/>
  <c r="EG17" i="3"/>
  <c r="EH17" i="3"/>
  <c r="EI17" i="3"/>
  <c r="EJ17" i="3"/>
  <c r="EK17" i="3"/>
  <c r="EL17" i="3"/>
  <c r="EM17" i="3"/>
  <c r="EN17" i="3"/>
  <c r="EO17" i="3"/>
  <c r="EP17" i="3"/>
  <c r="EQ17" i="3"/>
  <c r="ER17" i="3"/>
  <c r="ES17" i="3"/>
  <c r="ET17" i="3"/>
  <c r="EU17" i="3"/>
  <c r="EV17" i="3"/>
  <c r="EW17" i="3"/>
  <c r="EX17" i="3"/>
  <c r="EY17" i="3"/>
  <c r="EZ17" i="3"/>
  <c r="FA17" i="3"/>
  <c r="FB17" i="3"/>
  <c r="FC17" i="3"/>
  <c r="FD17" i="3"/>
  <c r="FE17" i="3"/>
  <c r="FF17" i="3"/>
  <c r="FG17" i="3"/>
  <c r="FH17" i="3"/>
  <c r="FI17" i="3"/>
  <c r="FJ17" i="3"/>
  <c r="FK17" i="3"/>
  <c r="FL17" i="3"/>
  <c r="FM17" i="3"/>
  <c r="FN17" i="3"/>
  <c r="FO17" i="3"/>
  <c r="FP17" i="3"/>
  <c r="FQ17" i="3"/>
  <c r="FR17" i="3"/>
  <c r="FS17" i="3"/>
  <c r="FT17" i="3"/>
  <c r="FU17" i="3"/>
  <c r="FV17" i="3"/>
  <c r="FW17" i="3"/>
  <c r="FX17" i="3"/>
  <c r="FY17" i="3"/>
  <c r="FZ17" i="3"/>
  <c r="GA17" i="3"/>
  <c r="GB17" i="3"/>
  <c r="GC17" i="3"/>
  <c r="GD17" i="3"/>
  <c r="GE17" i="3"/>
  <c r="GF17" i="3"/>
  <c r="GG17" i="3"/>
  <c r="GH17" i="3"/>
  <c r="GI17" i="3"/>
  <c r="GJ17" i="3"/>
  <c r="GK17" i="3"/>
  <c r="GL17" i="3"/>
  <c r="GM17" i="3"/>
  <c r="GN17" i="3"/>
  <c r="GO17" i="3"/>
  <c r="GP17" i="3"/>
  <c r="GQ17" i="3"/>
  <c r="GR17" i="3"/>
  <c r="GS17" i="3"/>
  <c r="GT17" i="3"/>
  <c r="GU17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DC18" i="3"/>
  <c r="DD18" i="3"/>
  <c r="DE18" i="3"/>
  <c r="DF18" i="3"/>
  <c r="DG18" i="3"/>
  <c r="DH18" i="3"/>
  <c r="DI18" i="3"/>
  <c r="DJ18" i="3"/>
  <c r="DK18" i="3"/>
  <c r="DL18" i="3"/>
  <c r="DM18" i="3"/>
  <c r="DN18" i="3"/>
  <c r="DO18" i="3"/>
  <c r="DP18" i="3"/>
  <c r="DQ18" i="3"/>
  <c r="DR18" i="3"/>
  <c r="DS18" i="3"/>
  <c r="DT18" i="3"/>
  <c r="DU18" i="3"/>
  <c r="DV18" i="3"/>
  <c r="DW18" i="3"/>
  <c r="DX18" i="3"/>
  <c r="DY18" i="3"/>
  <c r="DZ18" i="3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O18" i="3"/>
  <c r="EP18" i="3"/>
  <c r="EQ18" i="3"/>
  <c r="ER18" i="3"/>
  <c r="ES18" i="3"/>
  <c r="ET18" i="3"/>
  <c r="EU18" i="3"/>
  <c r="EV18" i="3"/>
  <c r="EW18" i="3"/>
  <c r="EX18" i="3"/>
  <c r="EY18" i="3"/>
  <c r="EZ18" i="3"/>
  <c r="FA18" i="3"/>
  <c r="FB18" i="3"/>
  <c r="FC18" i="3"/>
  <c r="FD18" i="3"/>
  <c r="FE18" i="3"/>
  <c r="FF18" i="3"/>
  <c r="FG18" i="3"/>
  <c r="FH18" i="3"/>
  <c r="FI18" i="3"/>
  <c r="FJ18" i="3"/>
  <c r="FK18" i="3"/>
  <c r="FL18" i="3"/>
  <c r="FM18" i="3"/>
  <c r="FN18" i="3"/>
  <c r="FO18" i="3"/>
  <c r="FP18" i="3"/>
  <c r="FQ18" i="3"/>
  <c r="FR18" i="3"/>
  <c r="FS18" i="3"/>
  <c r="FT18" i="3"/>
  <c r="FU18" i="3"/>
  <c r="FV18" i="3"/>
  <c r="FW18" i="3"/>
  <c r="FX18" i="3"/>
  <c r="FY18" i="3"/>
  <c r="FZ18" i="3"/>
  <c r="GA18" i="3"/>
  <c r="GB18" i="3"/>
  <c r="GC18" i="3"/>
  <c r="GD18" i="3"/>
  <c r="GE18" i="3"/>
  <c r="GF18" i="3"/>
  <c r="GG18" i="3"/>
  <c r="GH18" i="3"/>
  <c r="GI18" i="3"/>
  <c r="GJ18" i="3"/>
  <c r="GK18" i="3"/>
  <c r="GL18" i="3"/>
  <c r="GM18" i="3"/>
  <c r="GN18" i="3"/>
  <c r="GO18" i="3"/>
  <c r="GP18" i="3"/>
  <c r="GQ18" i="3"/>
  <c r="GR18" i="3"/>
  <c r="GS18" i="3"/>
  <c r="GT18" i="3"/>
  <c r="GU18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DC19" i="3"/>
  <c r="DD19" i="3"/>
  <c r="DE19" i="3"/>
  <c r="DF19" i="3"/>
  <c r="DG19" i="3"/>
  <c r="DH19" i="3"/>
  <c r="DI19" i="3"/>
  <c r="DJ19" i="3"/>
  <c r="DK19" i="3"/>
  <c r="DL19" i="3"/>
  <c r="DM19" i="3"/>
  <c r="DN19" i="3"/>
  <c r="DO19" i="3"/>
  <c r="DP19" i="3"/>
  <c r="DQ19" i="3"/>
  <c r="DR19" i="3"/>
  <c r="DS19" i="3"/>
  <c r="DT19" i="3"/>
  <c r="DU19" i="3"/>
  <c r="DV19" i="3"/>
  <c r="DW19" i="3"/>
  <c r="DX19" i="3"/>
  <c r="DY19" i="3"/>
  <c r="DZ19" i="3"/>
  <c r="EA19" i="3"/>
  <c r="EB19" i="3"/>
  <c r="EC19" i="3"/>
  <c r="ED19" i="3"/>
  <c r="EE19" i="3"/>
  <c r="EF19" i="3"/>
  <c r="EG19" i="3"/>
  <c r="EH19" i="3"/>
  <c r="EI19" i="3"/>
  <c r="EJ19" i="3"/>
  <c r="EK19" i="3"/>
  <c r="EL19" i="3"/>
  <c r="EM19" i="3"/>
  <c r="EN19" i="3"/>
  <c r="EO19" i="3"/>
  <c r="EP19" i="3"/>
  <c r="EQ19" i="3"/>
  <c r="ER19" i="3"/>
  <c r="ES19" i="3"/>
  <c r="ET19" i="3"/>
  <c r="EU19" i="3"/>
  <c r="EV19" i="3"/>
  <c r="EW19" i="3"/>
  <c r="EX19" i="3"/>
  <c r="EY19" i="3"/>
  <c r="EZ19" i="3"/>
  <c r="FA19" i="3"/>
  <c r="FB19" i="3"/>
  <c r="FC19" i="3"/>
  <c r="FD19" i="3"/>
  <c r="FE19" i="3"/>
  <c r="FF19" i="3"/>
  <c r="FG19" i="3"/>
  <c r="FH19" i="3"/>
  <c r="FI19" i="3"/>
  <c r="FJ19" i="3"/>
  <c r="FK19" i="3"/>
  <c r="FL19" i="3"/>
  <c r="FM19" i="3"/>
  <c r="FN19" i="3"/>
  <c r="FO19" i="3"/>
  <c r="FP19" i="3"/>
  <c r="FQ19" i="3"/>
  <c r="FR19" i="3"/>
  <c r="FS19" i="3"/>
  <c r="FT19" i="3"/>
  <c r="FU19" i="3"/>
  <c r="FV19" i="3"/>
  <c r="FW19" i="3"/>
  <c r="FX19" i="3"/>
  <c r="FY19" i="3"/>
  <c r="FZ19" i="3"/>
  <c r="GA19" i="3"/>
  <c r="GB19" i="3"/>
  <c r="GC19" i="3"/>
  <c r="GD19" i="3"/>
  <c r="GE19" i="3"/>
  <c r="GF19" i="3"/>
  <c r="GG19" i="3"/>
  <c r="GH19" i="3"/>
  <c r="GI19" i="3"/>
  <c r="GJ19" i="3"/>
  <c r="GK19" i="3"/>
  <c r="GL19" i="3"/>
  <c r="GM19" i="3"/>
  <c r="GN19" i="3"/>
  <c r="GO19" i="3"/>
  <c r="GP19" i="3"/>
  <c r="GQ19" i="3"/>
  <c r="GR19" i="3"/>
  <c r="GS19" i="3"/>
  <c r="GT19" i="3"/>
  <c r="GU19" i="3"/>
  <c r="F138" i="3"/>
  <c r="E138" i="3"/>
  <c r="D138" i="3"/>
  <c r="A138" i="3" s="1"/>
  <c r="F119" i="3"/>
  <c r="E119" i="3"/>
  <c r="D119" i="3"/>
  <c r="A119" i="3" s="1"/>
  <c r="F76" i="3"/>
  <c r="D76" i="3"/>
  <c r="E76" i="3"/>
  <c r="F141" i="3" l="1"/>
  <c r="E141" i="3"/>
  <c r="D141" i="3"/>
  <c r="F143" i="3" l="1"/>
  <c r="E143" i="3"/>
  <c r="D143" i="3"/>
  <c r="A143" i="3" s="1"/>
  <c r="F139" i="3"/>
  <c r="E139" i="3"/>
  <c r="D139" i="3"/>
  <c r="A139" i="3" s="1"/>
  <c r="F137" i="3"/>
  <c r="E137" i="3"/>
  <c r="D137" i="3"/>
  <c r="A137" i="3" s="1"/>
  <c r="F128" i="3"/>
  <c r="E128" i="3"/>
  <c r="D128" i="3"/>
  <c r="A128" i="3" s="1"/>
  <c r="F82" i="3"/>
  <c r="E82" i="3"/>
  <c r="D82" i="3"/>
  <c r="A82" i="3" s="1"/>
  <c r="D71" i="3"/>
  <c r="A71" i="3" s="1"/>
  <c r="E71" i="3"/>
  <c r="F71" i="3"/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2" i="1"/>
  <c r="AO58" i="3" l="1"/>
  <c r="AO57" i="3"/>
  <c r="AO18" i="3" l="1"/>
  <c r="CM113" i="3"/>
  <c r="F150" i="3" l="1"/>
  <c r="E150" i="3"/>
  <c r="D150" i="3"/>
  <c r="A150" i="3" s="1"/>
  <c r="F144" i="3"/>
  <c r="E144" i="3"/>
  <c r="D144" i="3"/>
  <c r="A144" i="3" s="1"/>
  <c r="F101" i="3"/>
  <c r="E101" i="3"/>
  <c r="D101" i="3"/>
  <c r="A101" i="3" s="1"/>
  <c r="F98" i="3"/>
  <c r="E98" i="3"/>
  <c r="D98" i="3"/>
  <c r="A98" i="3" s="1"/>
  <c r="F24" i="3" l="1"/>
  <c r="E24" i="3"/>
  <c r="D24" i="3"/>
  <c r="A24" i="3" s="1"/>
  <c r="D99" i="1" l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F146" i="3" l="1"/>
  <c r="E146" i="3"/>
  <c r="D146" i="3"/>
  <c r="A146" i="3" s="1"/>
  <c r="F147" i="3"/>
  <c r="E147" i="3"/>
  <c r="D147" i="3"/>
  <c r="A147" i="3" s="1"/>
  <c r="F145" i="3" l="1"/>
  <c r="E145" i="3"/>
  <c r="D145" i="3"/>
  <c r="A145" i="3" s="1"/>
  <c r="D134" i="3" l="1"/>
  <c r="A134" i="3" s="1"/>
  <c r="F148" i="3"/>
  <c r="E148" i="3"/>
  <c r="D148" i="3"/>
  <c r="A148" i="3" s="1"/>
  <c r="F124" i="3" l="1"/>
  <c r="E124" i="3"/>
  <c r="D124" i="3"/>
  <c r="A124" i="3" s="1"/>
  <c r="F48" i="3"/>
  <c r="E48" i="3"/>
  <c r="D48" i="3"/>
  <c r="A48" i="3" s="1"/>
  <c r="F133" i="3"/>
  <c r="E133" i="3"/>
  <c r="D133" i="3"/>
  <c r="A133" i="3" s="1"/>
  <c r="F136" i="3"/>
  <c r="D136" i="3"/>
  <c r="A136" i="3" s="1"/>
  <c r="F96" i="3" l="1"/>
  <c r="E96" i="3"/>
  <c r="D96" i="3"/>
  <c r="A96" i="3" s="1"/>
  <c r="F110" i="3" l="1"/>
  <c r="E110" i="3"/>
  <c r="D110" i="3"/>
  <c r="A110" i="3" s="1"/>
  <c r="F92" i="3"/>
  <c r="E92" i="3"/>
  <c r="D92" i="3"/>
  <c r="A92" i="3" s="1"/>
  <c r="F111" i="3"/>
  <c r="E111" i="3"/>
  <c r="D111" i="3"/>
  <c r="A111" i="3" s="1"/>
  <c r="E136" i="3" l="1"/>
  <c r="F20" i="3"/>
  <c r="E20" i="3"/>
  <c r="D20" i="3"/>
  <c r="A20" i="3" s="1"/>
  <c r="F63" i="1" l="1"/>
  <c r="F56" i="1" l="1"/>
  <c r="G54" i="1" l="1"/>
  <c r="G91" i="1" l="1"/>
  <c r="F91" i="1"/>
  <c r="E91" i="1"/>
  <c r="G76" i="1" l="1"/>
  <c r="G43" i="1"/>
  <c r="G31" i="1"/>
  <c r="G35" i="1" l="1"/>
  <c r="G36" i="1"/>
  <c r="E35" i="1"/>
  <c r="E34" i="1"/>
  <c r="E32" i="1"/>
  <c r="F35" i="1"/>
  <c r="F34" i="1"/>
  <c r="F33" i="1"/>
  <c r="G34" i="1"/>
  <c r="FM2" i="3" l="1"/>
  <c r="FM151" i="3" s="1"/>
  <c r="FL2" i="3"/>
  <c r="FL151" i="3" s="1"/>
  <c r="FN2" i="3"/>
  <c r="FN151" i="3" s="1"/>
  <c r="FO2" i="3"/>
  <c r="FO151" i="3" s="1"/>
  <c r="GU2" i="3" l="1"/>
  <c r="GU151" i="3" s="1"/>
  <c r="GT2" i="3"/>
  <c r="GT151" i="3" s="1"/>
  <c r="GS2" i="3"/>
  <c r="GS151" i="3" s="1"/>
  <c r="GR2" i="3"/>
  <c r="GR151" i="3" s="1"/>
  <c r="GQ2" i="3"/>
  <c r="GQ151" i="3" s="1"/>
  <c r="GP2" i="3"/>
  <c r="GP151" i="3" s="1"/>
  <c r="GO2" i="3"/>
  <c r="GO151" i="3" s="1"/>
  <c r="GN2" i="3"/>
  <c r="GN151" i="3" s="1"/>
  <c r="GM2" i="3"/>
  <c r="GM151" i="3" s="1"/>
  <c r="GL2" i="3"/>
  <c r="GL151" i="3" s="1"/>
  <c r="GK2" i="3"/>
  <c r="GK151" i="3" s="1"/>
  <c r="GJ2" i="3"/>
  <c r="GJ151" i="3" s="1"/>
  <c r="GI2" i="3"/>
  <c r="GI151" i="3" s="1"/>
  <c r="GH2" i="3"/>
  <c r="GH151" i="3" s="1"/>
  <c r="GG2" i="3"/>
  <c r="GG151" i="3" s="1"/>
  <c r="GF2" i="3"/>
  <c r="GF151" i="3" s="1"/>
  <c r="GE2" i="3"/>
  <c r="GE151" i="3" s="1"/>
  <c r="GD2" i="3"/>
  <c r="GD151" i="3" s="1"/>
  <c r="GC2" i="3"/>
  <c r="GC151" i="3" s="1"/>
  <c r="GB2" i="3"/>
  <c r="GB151" i="3" s="1"/>
  <c r="GA2" i="3"/>
  <c r="GA151" i="3" s="1"/>
  <c r="FZ2" i="3"/>
  <c r="FZ151" i="3" s="1"/>
  <c r="FY2" i="3"/>
  <c r="FY151" i="3" s="1"/>
  <c r="FX2" i="3"/>
  <c r="FX151" i="3" s="1"/>
  <c r="FW2" i="3"/>
  <c r="FW151" i="3" s="1"/>
  <c r="FV2" i="3"/>
  <c r="FV151" i="3" s="1"/>
  <c r="FU2" i="3"/>
  <c r="FU151" i="3" s="1"/>
  <c r="FT2" i="3"/>
  <c r="FT151" i="3" s="1"/>
  <c r="FS2" i="3"/>
  <c r="FS151" i="3" s="1"/>
  <c r="FR2" i="3"/>
  <c r="FR151" i="3" s="1"/>
  <c r="FQ2" i="3"/>
  <c r="FQ151" i="3" s="1"/>
  <c r="FP2" i="3"/>
  <c r="FP151" i="3" s="1"/>
  <c r="FK2" i="3"/>
  <c r="FK151" i="3" s="1"/>
  <c r="FJ2" i="3"/>
  <c r="FJ151" i="3" s="1"/>
  <c r="FI2" i="3"/>
  <c r="FI151" i="3" s="1"/>
  <c r="FH2" i="3"/>
  <c r="FH151" i="3" s="1"/>
  <c r="FG2" i="3"/>
  <c r="FG151" i="3" s="1"/>
  <c r="FF2" i="3"/>
  <c r="FF151" i="3" s="1"/>
  <c r="FE2" i="3"/>
  <c r="FE151" i="3" s="1"/>
  <c r="FD2" i="3"/>
  <c r="FD151" i="3" s="1"/>
  <c r="FC2" i="3"/>
  <c r="FC151" i="3" s="1"/>
  <c r="FB2" i="3"/>
  <c r="FB151" i="3" s="1"/>
  <c r="FA2" i="3"/>
  <c r="FA151" i="3" s="1"/>
  <c r="EZ2" i="3"/>
  <c r="EZ151" i="3" s="1"/>
  <c r="EY2" i="3"/>
  <c r="EY151" i="3" s="1"/>
  <c r="EX2" i="3"/>
  <c r="EX151" i="3" s="1"/>
  <c r="EW2" i="3"/>
  <c r="EW151" i="3" s="1"/>
  <c r="EV2" i="3"/>
  <c r="EV151" i="3" s="1"/>
  <c r="EU2" i="3"/>
  <c r="EU151" i="3" s="1"/>
  <c r="ET2" i="3"/>
  <c r="ET151" i="3" s="1"/>
  <c r="ES2" i="3"/>
  <c r="ES151" i="3" s="1"/>
  <c r="ER2" i="3"/>
  <c r="ER151" i="3" s="1"/>
  <c r="EQ2" i="3"/>
  <c r="EQ151" i="3" s="1"/>
  <c r="EP2" i="3"/>
  <c r="EP151" i="3" s="1"/>
  <c r="EO2" i="3"/>
  <c r="EO151" i="3" s="1"/>
  <c r="EN2" i="3"/>
  <c r="EN151" i="3" s="1"/>
  <c r="EM2" i="3"/>
  <c r="EM151" i="3" s="1"/>
  <c r="EL2" i="3"/>
  <c r="EL151" i="3" s="1"/>
  <c r="EK2" i="3"/>
  <c r="EK151" i="3" s="1"/>
  <c r="EJ2" i="3"/>
  <c r="EJ151" i="3" s="1"/>
  <c r="EI2" i="3"/>
  <c r="EI151" i="3" s="1"/>
  <c r="EH2" i="3"/>
  <c r="EH151" i="3" s="1"/>
  <c r="EG2" i="3"/>
  <c r="EG151" i="3" s="1"/>
  <c r="EF2" i="3"/>
  <c r="EF151" i="3" s="1"/>
  <c r="EE2" i="3"/>
  <c r="EE151" i="3" s="1"/>
  <c r="ED2" i="3"/>
  <c r="ED151" i="3" s="1"/>
  <c r="EC2" i="3"/>
  <c r="EC151" i="3" s="1"/>
  <c r="EB2" i="3"/>
  <c r="EB151" i="3" s="1"/>
  <c r="EA2" i="3" l="1"/>
  <c r="EA151" i="3" s="1"/>
  <c r="DZ2" i="3"/>
  <c r="DZ151" i="3" s="1"/>
  <c r="DY2" i="3"/>
  <c r="DY151" i="3" s="1"/>
  <c r="DX2" i="3"/>
  <c r="DX151" i="3" s="1"/>
  <c r="DW2" i="3"/>
  <c r="DW151" i="3" s="1"/>
  <c r="DV2" i="3"/>
  <c r="DV151" i="3" s="1"/>
  <c r="DU2" i="3"/>
  <c r="DU151" i="3" s="1"/>
  <c r="DT2" i="3"/>
  <c r="DT151" i="3" s="1"/>
  <c r="DS2" i="3"/>
  <c r="DS151" i="3" s="1"/>
  <c r="DR2" i="3"/>
  <c r="DR151" i="3" s="1"/>
  <c r="DQ2" i="3"/>
  <c r="DQ151" i="3" s="1"/>
  <c r="DP2" i="3"/>
  <c r="DP151" i="3" s="1"/>
  <c r="DO2" i="3"/>
  <c r="DO151" i="3" s="1"/>
  <c r="DN2" i="3"/>
  <c r="DN151" i="3" s="1"/>
  <c r="DM2" i="3"/>
  <c r="DM151" i="3" s="1"/>
  <c r="DL2" i="3"/>
  <c r="DL151" i="3" s="1"/>
  <c r="DK2" i="3"/>
  <c r="DK151" i="3" s="1"/>
  <c r="DJ2" i="3"/>
  <c r="DJ151" i="3" s="1"/>
  <c r="DI2" i="3"/>
  <c r="DI151" i="3" s="1"/>
  <c r="DH2" i="3"/>
  <c r="DH151" i="3" s="1"/>
  <c r="DG2" i="3"/>
  <c r="DG151" i="3" s="1"/>
  <c r="DF2" i="3"/>
  <c r="DF151" i="3" s="1"/>
  <c r="DE2" i="3"/>
  <c r="DE151" i="3" s="1"/>
  <c r="DD2" i="3"/>
  <c r="DD151" i="3" s="1"/>
  <c r="DC2" i="3"/>
  <c r="DC151" i="3" s="1"/>
  <c r="DB2" i="3"/>
  <c r="DB151" i="3" s="1"/>
  <c r="DA2" i="3"/>
  <c r="DA151" i="3" s="1"/>
  <c r="CZ2" i="3"/>
  <c r="CZ151" i="3" s="1"/>
  <c r="CY2" i="3"/>
  <c r="CY151" i="3" s="1"/>
  <c r="CX2" i="3"/>
  <c r="CX151" i="3" s="1"/>
  <c r="CW2" i="3"/>
  <c r="CW151" i="3" s="1"/>
  <c r="CV2" i="3"/>
  <c r="CV151" i="3" s="1"/>
  <c r="CU2" i="3"/>
  <c r="CU151" i="3" s="1"/>
  <c r="CT2" i="3"/>
  <c r="CT151" i="3" s="1"/>
  <c r="CS2" i="3"/>
  <c r="CS151" i="3" s="1"/>
  <c r="CR2" i="3"/>
  <c r="CR151" i="3" s="1"/>
  <c r="CQ2" i="3"/>
  <c r="CQ151" i="3" s="1"/>
  <c r="CP2" i="3"/>
  <c r="CP151" i="3" s="1"/>
  <c r="CO2" i="3"/>
  <c r="CO151" i="3" s="1"/>
  <c r="CN2" i="3"/>
  <c r="CN151" i="3" s="1"/>
  <c r="CM2" i="3"/>
  <c r="CM151" i="3" s="1"/>
  <c r="CL2" i="3"/>
  <c r="CL151" i="3" s="1"/>
  <c r="CK2" i="3"/>
  <c r="CK151" i="3" s="1"/>
  <c r="CJ2" i="3"/>
  <c r="CJ151" i="3" s="1"/>
  <c r="CI2" i="3"/>
  <c r="CI151" i="3" s="1"/>
  <c r="CH2" i="3"/>
  <c r="CH151" i="3" s="1"/>
  <c r="CG2" i="3"/>
  <c r="CG151" i="3" s="1"/>
  <c r="CF2" i="3"/>
  <c r="CF151" i="3" s="1"/>
  <c r="CE2" i="3"/>
  <c r="CE151" i="3" s="1"/>
  <c r="CD2" i="3"/>
  <c r="CD151" i="3" s="1"/>
  <c r="CC2" i="3"/>
  <c r="CC151" i="3" s="1"/>
  <c r="CB2" i="3"/>
  <c r="CB151" i="3" s="1"/>
  <c r="CA2" i="3"/>
  <c r="CA151" i="3" s="1"/>
  <c r="BZ2" i="3"/>
  <c r="BZ151" i="3" s="1"/>
  <c r="BY2" i="3"/>
  <c r="BY151" i="3" s="1"/>
  <c r="BX2" i="3"/>
  <c r="BX151" i="3" s="1"/>
  <c r="BW2" i="3"/>
  <c r="BW151" i="3" s="1"/>
  <c r="BV2" i="3"/>
  <c r="BV151" i="3" s="1"/>
  <c r="BU2" i="3"/>
  <c r="BU151" i="3" s="1"/>
  <c r="BT2" i="3"/>
  <c r="BT151" i="3" s="1"/>
  <c r="BS2" i="3"/>
  <c r="BS151" i="3" s="1"/>
  <c r="BR2" i="3"/>
  <c r="BR151" i="3" s="1"/>
  <c r="BQ2" i="3"/>
  <c r="BQ151" i="3" s="1"/>
  <c r="BP2" i="3"/>
  <c r="BP151" i="3" s="1"/>
  <c r="BO2" i="3"/>
  <c r="BO151" i="3" s="1"/>
  <c r="BN2" i="3"/>
  <c r="BN151" i="3" s="1"/>
  <c r="BM2" i="3"/>
  <c r="BM151" i="3" s="1"/>
  <c r="BL2" i="3"/>
  <c r="BL151" i="3" s="1"/>
  <c r="BK2" i="3"/>
  <c r="BK151" i="3" s="1"/>
  <c r="BJ2" i="3"/>
  <c r="BJ151" i="3" s="1"/>
  <c r="BI2" i="3"/>
  <c r="BI151" i="3" s="1"/>
  <c r="BH2" i="3"/>
  <c r="BH151" i="3" s="1"/>
  <c r="BG2" i="3"/>
  <c r="BG151" i="3" s="1"/>
  <c r="BF2" i="3"/>
  <c r="BF151" i="3" s="1"/>
  <c r="BE2" i="3"/>
  <c r="BE151" i="3" s="1"/>
  <c r="BD2" i="3"/>
  <c r="BD151" i="3" s="1"/>
  <c r="BC2" i="3"/>
  <c r="BC151" i="3" s="1"/>
  <c r="BB2" i="3"/>
  <c r="BB151" i="3" s="1"/>
  <c r="BA2" i="3"/>
  <c r="BA151" i="3" s="1"/>
  <c r="AZ2" i="3"/>
  <c r="AZ151" i="3" s="1"/>
  <c r="AY2" i="3"/>
  <c r="AY151" i="3" s="1"/>
  <c r="AX2" i="3"/>
  <c r="AX151" i="3" s="1"/>
  <c r="AW2" i="3"/>
  <c r="AW151" i="3" s="1"/>
  <c r="AV2" i="3"/>
  <c r="AV151" i="3" s="1"/>
  <c r="AU2" i="3"/>
  <c r="AU151" i="3" s="1"/>
  <c r="AT2" i="3"/>
  <c r="AT151" i="3" s="1"/>
  <c r="AS2" i="3"/>
  <c r="AS151" i="3" s="1"/>
  <c r="AR2" i="3"/>
  <c r="AR151" i="3" s="1"/>
  <c r="AQ2" i="3"/>
  <c r="AQ151" i="3" s="1"/>
  <c r="AP2" i="3"/>
  <c r="AP151" i="3" s="1"/>
  <c r="AO2" i="3"/>
  <c r="AO151" i="3" s="1"/>
  <c r="AN2" i="3"/>
  <c r="AN151" i="3" s="1"/>
  <c r="AM2" i="3"/>
  <c r="AM151" i="3" s="1"/>
  <c r="AL2" i="3"/>
  <c r="AL151" i="3" s="1"/>
  <c r="AK2" i="3"/>
  <c r="AK151" i="3" s="1"/>
  <c r="AJ2" i="3"/>
  <c r="AJ151" i="3" s="1"/>
  <c r="AI2" i="3"/>
  <c r="AI151" i="3" s="1"/>
  <c r="AH2" i="3"/>
  <c r="AH151" i="3" s="1"/>
  <c r="AG2" i="3"/>
  <c r="AG151" i="3" s="1"/>
  <c r="AF2" i="3"/>
  <c r="AF151" i="3" s="1"/>
  <c r="AE2" i="3"/>
  <c r="AE151" i="3" s="1"/>
  <c r="AD2" i="3"/>
  <c r="AD151" i="3" s="1"/>
  <c r="AC2" i="3"/>
  <c r="AC151" i="3" s="1"/>
  <c r="AB2" i="3"/>
  <c r="AB151" i="3" s="1"/>
  <c r="AA2" i="3"/>
  <c r="AA151" i="3" s="1"/>
  <c r="Z2" i="3"/>
  <c r="Z151" i="3" s="1"/>
  <c r="Y2" i="3"/>
  <c r="Y151" i="3" s="1"/>
  <c r="X2" i="3"/>
  <c r="X151" i="3" s="1"/>
  <c r="W2" i="3"/>
  <c r="W151" i="3" s="1"/>
  <c r="V2" i="3"/>
  <c r="V151" i="3" s="1"/>
  <c r="U2" i="3"/>
  <c r="U151" i="3" s="1"/>
  <c r="T2" i="3"/>
  <c r="T151" i="3" s="1"/>
  <c r="S2" i="3"/>
  <c r="S151" i="3" s="1"/>
  <c r="R2" i="3"/>
  <c r="R151" i="3" s="1"/>
  <c r="Q2" i="3"/>
  <c r="Q151" i="3" s="1"/>
  <c r="P2" i="3"/>
  <c r="P151" i="3" s="1"/>
  <c r="O2" i="3"/>
  <c r="O151" i="3" s="1"/>
  <c r="N2" i="3"/>
  <c r="N151" i="3" s="1"/>
  <c r="M2" i="3"/>
  <c r="M151" i="3" s="1"/>
  <c r="L2" i="3"/>
  <c r="L151" i="3" s="1"/>
  <c r="K2" i="3"/>
  <c r="K151" i="3" s="1"/>
  <c r="J2" i="3"/>
  <c r="J151" i="3" s="1"/>
  <c r="I2" i="3"/>
  <c r="I151" i="3" s="1"/>
  <c r="H2" i="3"/>
  <c r="H151" i="3" l="1"/>
  <c r="GV149" i="3"/>
  <c r="GW149" i="3"/>
  <c r="GV78" i="3"/>
  <c r="GV87" i="3"/>
  <c r="GV150" i="3"/>
  <c r="GX150" i="3" s="1"/>
  <c r="GV79" i="3"/>
  <c r="GV83" i="3"/>
  <c r="GV88" i="3"/>
  <c r="GV85" i="3"/>
  <c r="GV76" i="3"/>
  <c r="GX76" i="3" s="1"/>
  <c r="GV80" i="3"/>
  <c r="GV77" i="3"/>
  <c r="GV81" i="3"/>
  <c r="GV86" i="3"/>
  <c r="GV82" i="3"/>
  <c r="GX82" i="3" s="1"/>
  <c r="GV96" i="3"/>
  <c r="GX96" i="3" s="1"/>
  <c r="GV89" i="3"/>
  <c r="GV102" i="3"/>
  <c r="GV140" i="3"/>
  <c r="GV125" i="3"/>
  <c r="GV18" i="3"/>
  <c r="GV9" i="3"/>
  <c r="GV3" i="3"/>
  <c r="GV65" i="3"/>
  <c r="GV59" i="3"/>
  <c r="GV51" i="3"/>
  <c r="GV43" i="3"/>
  <c r="GV36" i="3"/>
  <c r="GV28" i="3"/>
  <c r="GV17" i="3"/>
  <c r="GV10" i="3"/>
  <c r="GV68" i="3"/>
  <c r="GV58" i="3"/>
  <c r="GV50" i="3"/>
  <c r="GV41" i="3"/>
  <c r="GV33" i="3"/>
  <c r="GV25" i="3"/>
  <c r="GV97" i="3"/>
  <c r="GV84" i="3"/>
  <c r="GV104" i="3"/>
  <c r="GV143" i="3"/>
  <c r="GX143" i="3" s="1"/>
  <c r="GV136" i="3"/>
  <c r="GX136" i="3" s="1"/>
  <c r="GV131" i="3"/>
  <c r="GV127" i="3"/>
  <c r="GV122" i="3"/>
  <c r="GV116" i="3"/>
  <c r="GV112" i="3"/>
  <c r="GV108" i="3"/>
  <c r="GW22" i="3"/>
  <c r="GW19" i="3"/>
  <c r="GW8" i="3"/>
  <c r="GW70" i="3"/>
  <c r="GW64" i="3"/>
  <c r="GW53" i="3"/>
  <c r="GW47" i="3"/>
  <c r="GW39" i="3"/>
  <c r="GW33" i="3"/>
  <c r="GW97" i="3"/>
  <c r="GW84" i="3"/>
  <c r="GW72" i="3"/>
  <c r="GW99" i="3"/>
  <c r="GW79" i="3"/>
  <c r="GW145" i="3"/>
  <c r="GY145" i="3" s="1"/>
  <c r="GW136" i="3"/>
  <c r="GY136" i="3" s="1"/>
  <c r="GW121" i="3"/>
  <c r="GW112" i="3"/>
  <c r="GW108" i="3"/>
  <c r="GW144" i="3"/>
  <c r="GY144" i="3" s="1"/>
  <c r="GW137" i="3"/>
  <c r="GY137" i="3" s="1"/>
  <c r="GW118" i="3"/>
  <c r="GW86" i="3"/>
  <c r="GW18" i="3"/>
  <c r="GW12" i="3"/>
  <c r="GW5" i="3"/>
  <c r="GW62" i="3"/>
  <c r="GW57" i="3"/>
  <c r="GW48" i="3"/>
  <c r="GY48" i="3" s="1"/>
  <c r="GW40" i="3"/>
  <c r="GW30" i="3"/>
  <c r="GW24" i="3"/>
  <c r="GY24" i="3" s="1"/>
  <c r="GW95" i="3"/>
  <c r="GW89" i="3"/>
  <c r="GW71" i="3"/>
  <c r="GY71" i="3" s="1"/>
  <c r="GW127" i="3"/>
  <c r="GW130" i="3"/>
  <c r="GW128" i="3"/>
  <c r="GY128" i="3" s="1"/>
  <c r="GV95" i="3"/>
  <c r="GV75" i="3"/>
  <c r="GV99" i="3"/>
  <c r="GV139" i="3"/>
  <c r="GX139" i="3" s="1"/>
  <c r="GV121" i="3"/>
  <c r="GV16" i="3"/>
  <c r="GV8" i="3"/>
  <c r="GV20" i="3"/>
  <c r="GX20" i="3" s="1"/>
  <c r="GV64" i="3"/>
  <c r="GV57" i="3"/>
  <c r="GV49" i="3"/>
  <c r="GV42" i="3"/>
  <c r="GV34" i="3"/>
  <c r="GV26" i="3"/>
  <c r="GV15" i="3"/>
  <c r="GV7" i="3"/>
  <c r="GV66" i="3"/>
  <c r="GV56" i="3"/>
  <c r="GV48" i="3"/>
  <c r="GX48" i="3" s="1"/>
  <c r="GV39" i="3"/>
  <c r="GV31" i="3"/>
  <c r="GV23" i="3"/>
  <c r="GV94" i="3"/>
  <c r="GV74" i="3"/>
  <c r="GV101" i="3"/>
  <c r="GX101" i="3" s="1"/>
  <c r="GV142" i="3"/>
  <c r="GV135" i="3"/>
  <c r="GV130" i="3"/>
  <c r="GV126" i="3"/>
  <c r="GV119" i="3"/>
  <c r="GX119" i="3" s="1"/>
  <c r="GV115" i="3"/>
  <c r="GV111" i="3"/>
  <c r="GX111" i="3" s="1"/>
  <c r="GV107" i="3"/>
  <c r="GW148" i="3"/>
  <c r="GY148" i="3" s="1"/>
  <c r="GW16" i="3"/>
  <c r="GW7" i="3"/>
  <c r="GW68" i="3"/>
  <c r="GW63" i="3"/>
  <c r="GW52" i="3"/>
  <c r="GW46" i="3"/>
  <c r="GW37" i="3"/>
  <c r="GW31" i="3"/>
  <c r="GW96" i="3"/>
  <c r="GY96" i="3" s="1"/>
  <c r="GW80" i="3"/>
  <c r="GW103" i="3"/>
  <c r="GW135" i="3"/>
  <c r="GW87" i="3"/>
  <c r="GW143" i="3"/>
  <c r="GY143" i="3" s="1"/>
  <c r="GW126" i="3"/>
  <c r="GW119" i="3"/>
  <c r="GY119" i="3" s="1"/>
  <c r="GW111" i="3"/>
  <c r="GY111" i="3" s="1"/>
  <c r="GW107" i="3"/>
  <c r="GW142" i="3"/>
  <c r="GW124" i="3"/>
  <c r="GY124" i="3" s="1"/>
  <c r="GW116" i="3"/>
  <c r="GW81" i="3"/>
  <c r="GW17" i="3"/>
  <c r="GW11" i="3"/>
  <c r="GW3" i="3"/>
  <c r="GW60" i="3"/>
  <c r="GW56" i="3"/>
  <c r="GW45" i="3"/>
  <c r="GW38" i="3"/>
  <c r="GW29" i="3"/>
  <c r="GW23" i="3"/>
  <c r="GW93" i="3"/>
  <c r="GW85" i="3"/>
  <c r="GW104" i="3"/>
  <c r="GV147" i="3"/>
  <c r="GX147" i="3" s="1"/>
  <c r="GW133" i="3"/>
  <c r="GY133" i="3" s="1"/>
  <c r="GV92" i="3"/>
  <c r="GX92" i="3" s="1"/>
  <c r="GV72" i="3"/>
  <c r="GV145" i="3"/>
  <c r="GX145" i="3" s="1"/>
  <c r="GV137" i="3"/>
  <c r="GX137" i="3" s="1"/>
  <c r="GV120" i="3"/>
  <c r="GV14" i="3"/>
  <c r="GV6" i="3"/>
  <c r="GV69" i="3"/>
  <c r="GV62" i="3"/>
  <c r="GV55" i="3"/>
  <c r="GV47" i="3"/>
  <c r="GV40" i="3"/>
  <c r="GV32" i="3"/>
  <c r="GV24" i="3"/>
  <c r="GX24" i="3" s="1"/>
  <c r="GV13" i="3"/>
  <c r="GV5" i="3"/>
  <c r="GV63" i="3"/>
  <c r="GV54" i="3"/>
  <c r="GV46" i="3"/>
  <c r="GV37" i="3"/>
  <c r="GV29" i="3"/>
  <c r="GV21" i="3"/>
  <c r="GV93" i="3"/>
  <c r="GV73" i="3"/>
  <c r="GV100" i="3"/>
  <c r="GV141" i="3"/>
  <c r="GX141" i="3" s="1"/>
  <c r="GV133" i="3"/>
  <c r="GX133" i="3" s="1"/>
  <c r="GV129" i="3"/>
  <c r="GV124" i="3"/>
  <c r="GX124" i="3" s="1"/>
  <c r="GV118" i="3"/>
  <c r="GV114" i="3"/>
  <c r="GV110" i="3"/>
  <c r="GX110" i="3" s="1"/>
  <c r="GV106" i="3"/>
  <c r="GW106" i="3"/>
  <c r="GW15" i="3"/>
  <c r="GW4" i="3"/>
  <c r="GW67" i="3"/>
  <c r="GW61" i="3"/>
  <c r="GW50" i="3"/>
  <c r="GW44" i="3"/>
  <c r="GW36" i="3"/>
  <c r="GW28" i="3"/>
  <c r="GW94" i="3"/>
  <c r="GW75" i="3"/>
  <c r="GW101" i="3"/>
  <c r="GY101" i="3" s="1"/>
  <c r="GW88" i="3"/>
  <c r="GW82" i="3"/>
  <c r="GY82" i="3" s="1"/>
  <c r="GW140" i="3"/>
  <c r="GW125" i="3"/>
  <c r="GW117" i="3"/>
  <c r="GW110" i="3"/>
  <c r="GY110" i="3" s="1"/>
  <c r="GW78" i="3"/>
  <c r="GW141" i="3"/>
  <c r="GY141" i="3" s="1"/>
  <c r="GW122" i="3"/>
  <c r="GW114" i="3"/>
  <c r="GW77" i="3"/>
  <c r="GW14" i="3"/>
  <c r="GW9" i="3"/>
  <c r="GW69" i="3"/>
  <c r="GW59" i="3"/>
  <c r="GW54" i="3"/>
  <c r="GW43" i="3"/>
  <c r="GW35" i="3"/>
  <c r="GW26" i="3"/>
  <c r="GW21" i="3"/>
  <c r="GW92" i="3"/>
  <c r="GY92" i="3" s="1"/>
  <c r="GW76" i="3"/>
  <c r="GY76" i="3" s="1"/>
  <c r="GW102" i="3"/>
  <c r="GW129" i="3"/>
  <c r="GV91" i="3"/>
  <c r="GV103" i="3"/>
  <c r="GV144" i="3"/>
  <c r="GX144" i="3" s="1"/>
  <c r="GV134" i="3"/>
  <c r="GV19" i="3"/>
  <c r="GV11" i="3"/>
  <c r="GV4" i="3"/>
  <c r="GV67" i="3"/>
  <c r="GV60" i="3"/>
  <c r="GV53" i="3"/>
  <c r="GV45" i="3"/>
  <c r="GV38" i="3"/>
  <c r="GV30" i="3"/>
  <c r="GV22" i="3"/>
  <c r="GV12" i="3"/>
  <c r="GV70" i="3"/>
  <c r="GV61" i="3"/>
  <c r="GV52" i="3"/>
  <c r="GV44" i="3"/>
  <c r="GV35" i="3"/>
  <c r="GV27" i="3"/>
  <c r="GV98" i="3"/>
  <c r="GX98" i="3" s="1"/>
  <c r="GV90" i="3"/>
  <c r="GV71" i="3"/>
  <c r="GX71" i="3" s="1"/>
  <c r="GV146" i="3"/>
  <c r="GX146" i="3" s="1"/>
  <c r="GV138" i="3"/>
  <c r="GX138" i="3" s="1"/>
  <c r="GV132" i="3"/>
  <c r="GV128" i="3"/>
  <c r="GX128" i="3" s="1"/>
  <c r="GV123" i="3"/>
  <c r="GV117" i="3"/>
  <c r="GV113" i="3"/>
  <c r="GV109" i="3"/>
  <c r="GV105" i="3"/>
  <c r="GW105" i="3"/>
  <c r="GW10" i="3"/>
  <c r="GW20" i="3"/>
  <c r="GY20" i="3" s="1"/>
  <c r="GW66" i="3"/>
  <c r="GW55" i="3"/>
  <c r="GW49" i="3"/>
  <c r="GW41" i="3"/>
  <c r="GW34" i="3"/>
  <c r="GW27" i="3"/>
  <c r="GW91" i="3"/>
  <c r="GW74" i="3"/>
  <c r="GW100" i="3"/>
  <c r="GW83" i="3"/>
  <c r="GW146" i="3"/>
  <c r="GY146" i="3" s="1"/>
  <c r="GW138" i="3"/>
  <c r="GY138" i="3" s="1"/>
  <c r="GW123" i="3"/>
  <c r="GW115" i="3"/>
  <c r="GW109" i="3"/>
  <c r="GW147" i="3"/>
  <c r="GY147" i="3" s="1"/>
  <c r="GW139" i="3"/>
  <c r="GY139" i="3" s="1"/>
  <c r="GW120" i="3"/>
  <c r="GW113" i="3"/>
  <c r="GW150" i="3"/>
  <c r="GY150" i="3" s="1"/>
  <c r="GW13" i="3"/>
  <c r="GW6" i="3"/>
  <c r="GW65" i="3"/>
  <c r="GW58" i="3"/>
  <c r="GW51" i="3"/>
  <c r="GW42" i="3"/>
  <c r="GW32" i="3"/>
  <c r="GW25" i="3"/>
  <c r="GW98" i="3"/>
  <c r="GY98" i="3" s="1"/>
  <c r="GW90" i="3"/>
  <c r="GW73" i="3"/>
  <c r="GW131" i="3"/>
  <c r="GW134" i="3"/>
  <c r="GV148" i="3"/>
  <c r="GX148" i="3" s="1"/>
  <c r="GW132" i="3"/>
  <c r="GW2" i="3"/>
  <c r="GV2" i="3"/>
  <c r="GV151" i="3" l="1"/>
  <c r="GW151" i="3"/>
  <c r="J5" i="4"/>
  <c r="D129" i="3" l="1"/>
  <c r="A129" i="3" s="1"/>
  <c r="D127" i="3"/>
  <c r="A127" i="3" s="1"/>
  <c r="F14" i="1"/>
  <c r="F68" i="3"/>
  <c r="GY68" i="3" s="1"/>
  <c r="E68" i="3"/>
  <c r="GX68" i="3" s="1"/>
  <c r="D68" i="3"/>
  <c r="A68" i="3" s="1"/>
  <c r="D29" i="3"/>
  <c r="A29" i="3" s="1"/>
  <c r="C100" i="1"/>
  <c r="H100" i="1"/>
  <c r="A100" i="1" s="1"/>
  <c r="C102" i="1" s="1"/>
  <c r="F129" i="3"/>
  <c r="GY129" i="3" s="1"/>
  <c r="E129" i="3"/>
  <c r="GX129" i="3" s="1"/>
  <c r="F109" i="3" l="1"/>
  <c r="GY109" i="3" s="1"/>
  <c r="E109" i="3"/>
  <c r="GX109" i="3" s="1"/>
  <c r="D109" i="3"/>
  <c r="A109" i="3" s="1"/>
  <c r="F112" i="3"/>
  <c r="GY112" i="3" s="1"/>
  <c r="E112" i="3"/>
  <c r="GX112" i="3" s="1"/>
  <c r="D112" i="3"/>
  <c r="A112" i="3" s="1"/>
  <c r="F142" i="3"/>
  <c r="GY142" i="3" s="1"/>
  <c r="E142" i="3"/>
  <c r="GX142" i="3" s="1"/>
  <c r="D142" i="3"/>
  <c r="A142" i="3" s="1"/>
  <c r="F72" i="3" l="1"/>
  <c r="GY72" i="3" s="1"/>
  <c r="D107" i="3"/>
  <c r="A107" i="3" s="1"/>
  <c r="F53" i="3" l="1"/>
  <c r="GY53" i="3" s="1"/>
  <c r="E53" i="3"/>
  <c r="GX53" i="3" s="1"/>
  <c r="D53" i="3"/>
  <c r="A53" i="3" s="1"/>
  <c r="F135" i="3"/>
  <c r="GY135" i="3" s="1"/>
  <c r="E135" i="3"/>
  <c r="GX135" i="3" s="1"/>
  <c r="D135" i="3"/>
  <c r="A135" i="3" s="1"/>
  <c r="F122" i="3" l="1"/>
  <c r="GY122" i="3" s="1"/>
  <c r="E122" i="3"/>
  <c r="GX122" i="3" s="1"/>
  <c r="D122" i="3"/>
  <c r="A122" i="3" s="1"/>
  <c r="F140" i="3"/>
  <c r="GY140" i="3" s="1"/>
  <c r="E140" i="3"/>
  <c r="GX140" i="3" s="1"/>
  <c r="D140" i="3"/>
  <c r="A140" i="3" s="1"/>
  <c r="F95" i="3"/>
  <c r="GY95" i="3" s="1"/>
  <c r="E95" i="3"/>
  <c r="GX95" i="3" s="1"/>
  <c r="D95" i="3"/>
  <c r="A95" i="3" s="1"/>
  <c r="F127" i="3"/>
  <c r="GY127" i="3" s="1"/>
  <c r="E127" i="3"/>
  <c r="GX127" i="3" s="1"/>
  <c r="G99" i="1" l="1"/>
  <c r="I99" i="1" s="1"/>
  <c r="F99" i="1"/>
  <c r="E99" i="1"/>
  <c r="F134" i="3" l="1"/>
  <c r="GY134" i="3" s="1"/>
  <c r="E134" i="3"/>
  <c r="GX134" i="3" s="1"/>
  <c r="F121" i="3"/>
  <c r="GY121" i="3" s="1"/>
  <c r="E121" i="3"/>
  <c r="GX121" i="3" s="1"/>
  <c r="D121" i="3"/>
  <c r="A121" i="3" s="1"/>
  <c r="F116" i="3"/>
  <c r="GY116" i="3" s="1"/>
  <c r="E116" i="3"/>
  <c r="GX116" i="3" s="1"/>
  <c r="D116" i="3"/>
  <c r="A116" i="3" s="1"/>
  <c r="F108" i="3"/>
  <c r="GY108" i="3" s="1"/>
  <c r="E108" i="3"/>
  <c r="GX108" i="3" s="1"/>
  <c r="D108" i="3"/>
  <c r="A108" i="3" s="1"/>
  <c r="F132" i="3" l="1"/>
  <c r="GY132" i="3" s="1"/>
  <c r="F131" i="3"/>
  <c r="GY131" i="3" s="1"/>
  <c r="F130" i="3"/>
  <c r="GY130" i="3" s="1"/>
  <c r="F126" i="3"/>
  <c r="GY126" i="3" s="1"/>
  <c r="F125" i="3"/>
  <c r="GY125" i="3" s="1"/>
  <c r="F123" i="3"/>
  <c r="GY123" i="3" s="1"/>
  <c r="F120" i="3"/>
  <c r="GY120" i="3" s="1"/>
  <c r="F118" i="3"/>
  <c r="GY118" i="3" s="1"/>
  <c r="F117" i="3"/>
  <c r="GY117" i="3" s="1"/>
  <c r="F115" i="3"/>
  <c r="GY115" i="3" s="1"/>
  <c r="F114" i="3"/>
  <c r="GY114" i="3" s="1"/>
  <c r="F113" i="3"/>
  <c r="GY113" i="3" s="1"/>
  <c r="F107" i="3"/>
  <c r="GY107" i="3" s="1"/>
  <c r="F106" i="3"/>
  <c r="GY106" i="3" s="1"/>
  <c r="F105" i="3"/>
  <c r="GY105" i="3" s="1"/>
  <c r="F104" i="3"/>
  <c r="GY104" i="3" s="1"/>
  <c r="F103" i="3"/>
  <c r="GY103" i="3" s="1"/>
  <c r="F102" i="3"/>
  <c r="GY102" i="3" s="1"/>
  <c r="F100" i="3"/>
  <c r="GY100" i="3" s="1"/>
  <c r="F99" i="3"/>
  <c r="GY99" i="3" s="1"/>
  <c r="F97" i="3" l="1"/>
  <c r="GY97" i="3" s="1"/>
  <c r="F94" i="3"/>
  <c r="GY94" i="3" s="1"/>
  <c r="F93" i="3"/>
  <c r="GY93" i="3" s="1"/>
  <c r="F91" i="3"/>
  <c r="GY91" i="3" s="1"/>
  <c r="F90" i="3"/>
  <c r="GY90" i="3" s="1"/>
  <c r="F89" i="3"/>
  <c r="GY89" i="3" s="1"/>
  <c r="F88" i="3"/>
  <c r="GY88" i="3" s="1"/>
  <c r="F87" i="3"/>
  <c r="GY87" i="3" s="1"/>
  <c r="F86" i="3"/>
  <c r="GY86" i="3" s="1"/>
  <c r="F85" i="3"/>
  <c r="GY85" i="3" s="1"/>
  <c r="F84" i="3"/>
  <c r="GY84" i="3" s="1"/>
  <c r="F83" i="3"/>
  <c r="GY83" i="3" s="1"/>
  <c r="F81" i="3"/>
  <c r="GY81" i="3" s="1"/>
  <c r="F80" i="3"/>
  <c r="GY80" i="3" s="1"/>
  <c r="F79" i="3"/>
  <c r="GY79" i="3" s="1"/>
  <c r="F78" i="3"/>
  <c r="GY78" i="3" s="1"/>
  <c r="F77" i="3"/>
  <c r="GY77" i="3" s="1"/>
  <c r="F75" i="3"/>
  <c r="GY75" i="3" s="1"/>
  <c r="F74" i="3"/>
  <c r="GY74" i="3" s="1"/>
  <c r="F73" i="3"/>
  <c r="GY73" i="3" s="1"/>
  <c r="F70" i="3"/>
  <c r="GY70" i="3" s="1"/>
  <c r="F69" i="3"/>
  <c r="GY69" i="3" s="1"/>
  <c r="F67" i="3"/>
  <c r="GY67" i="3" s="1"/>
  <c r="F66" i="3"/>
  <c r="GY66" i="3" s="1"/>
  <c r="F65" i="3"/>
  <c r="GY65" i="3" s="1"/>
  <c r="F64" i="3"/>
  <c r="GY64" i="3" s="1"/>
  <c r="F63" i="3"/>
  <c r="GY63" i="3" s="1"/>
  <c r="F62" i="3"/>
  <c r="GY62" i="3" s="1"/>
  <c r="F61" i="3"/>
  <c r="GY61" i="3" s="1"/>
  <c r="F60" i="3"/>
  <c r="GY60" i="3" s="1"/>
  <c r="F59" i="3"/>
  <c r="GY59" i="3" s="1"/>
  <c r="F58" i="3"/>
  <c r="GY58" i="3" s="1"/>
  <c r="F57" i="3"/>
  <c r="GY57" i="3" s="1"/>
  <c r="F56" i="3"/>
  <c r="GY56" i="3" s="1"/>
  <c r="F55" i="3"/>
  <c r="GY55" i="3" s="1"/>
  <c r="F54" i="3"/>
  <c r="GY54" i="3" s="1"/>
  <c r="F52" i="3"/>
  <c r="GY52" i="3" s="1"/>
  <c r="F51" i="3"/>
  <c r="GY51" i="3" s="1"/>
  <c r="F50" i="3"/>
  <c r="GY50" i="3" s="1"/>
  <c r="F49" i="3"/>
  <c r="GY49" i="3" s="1"/>
  <c r="F47" i="3"/>
  <c r="GY47" i="3" s="1"/>
  <c r="F46" i="3"/>
  <c r="GY46" i="3" s="1"/>
  <c r="F45" i="3"/>
  <c r="GY45" i="3" s="1"/>
  <c r="F44" i="3"/>
  <c r="GY44" i="3" s="1"/>
  <c r="F43" i="3"/>
  <c r="GY43" i="3" s="1"/>
  <c r="F42" i="3"/>
  <c r="GY42" i="3" s="1"/>
  <c r="F41" i="3"/>
  <c r="GY41" i="3" s="1"/>
  <c r="F40" i="3"/>
  <c r="GY40" i="3" s="1"/>
  <c r="F39" i="3"/>
  <c r="GY39" i="3" s="1"/>
  <c r="F38" i="3"/>
  <c r="GY38" i="3" s="1"/>
  <c r="F37" i="3"/>
  <c r="GY37" i="3" s="1"/>
  <c r="F36" i="3"/>
  <c r="GY36" i="3" s="1"/>
  <c r="F35" i="3"/>
  <c r="GY35" i="3" s="1"/>
  <c r="F34" i="3"/>
  <c r="GY34" i="3" s="1"/>
  <c r="F33" i="3"/>
  <c r="GY33" i="3" s="1"/>
  <c r="F32" i="3"/>
  <c r="GY32" i="3" s="1"/>
  <c r="F31" i="3"/>
  <c r="GY31" i="3" s="1"/>
  <c r="F30" i="3"/>
  <c r="GY30" i="3" s="1"/>
  <c r="F29" i="3"/>
  <c r="GY29" i="3" s="1"/>
  <c r="F28" i="3"/>
  <c r="GY28" i="3" s="1"/>
  <c r="F27" i="3"/>
  <c r="GY27" i="3" s="1"/>
  <c r="F26" i="3"/>
  <c r="GY26" i="3" s="1"/>
  <c r="F25" i="3"/>
  <c r="GY25" i="3" s="1"/>
  <c r="F23" i="3"/>
  <c r="GY23" i="3" s="1"/>
  <c r="F22" i="3"/>
  <c r="GY22" i="3" s="1"/>
  <c r="F21" i="3"/>
  <c r="GY21" i="3" s="1"/>
  <c r="F19" i="3"/>
  <c r="GY19" i="3" s="1"/>
  <c r="F18" i="3"/>
  <c r="GY18" i="3" s="1"/>
  <c r="F17" i="3"/>
  <c r="GY17" i="3" s="1"/>
  <c r="F16" i="3"/>
  <c r="GY16" i="3" s="1"/>
  <c r="F15" i="3"/>
  <c r="GY15" i="3" s="1"/>
  <c r="F14" i="3"/>
  <c r="GY14" i="3" s="1"/>
  <c r="F13" i="3"/>
  <c r="GY13" i="3" s="1"/>
  <c r="F12" i="3"/>
  <c r="GY12" i="3" s="1"/>
  <c r="F11" i="3"/>
  <c r="GY11" i="3" s="1"/>
  <c r="F10" i="3"/>
  <c r="GY10" i="3" s="1"/>
  <c r="F9" i="3"/>
  <c r="GY9" i="3" s="1"/>
  <c r="F8" i="3"/>
  <c r="GY8" i="3" s="1"/>
  <c r="F7" i="3"/>
  <c r="GY7" i="3" s="1"/>
  <c r="F6" i="3"/>
  <c r="GY6" i="3" s="1"/>
  <c r="F5" i="3"/>
  <c r="GY5" i="3" s="1"/>
  <c r="F4" i="3"/>
  <c r="GY4" i="3" s="1"/>
  <c r="F3" i="3"/>
  <c r="GY3" i="3" s="1"/>
  <c r="F2" i="3"/>
  <c r="E132" i="3"/>
  <c r="GX132" i="3" s="1"/>
  <c r="E131" i="3"/>
  <c r="GX131" i="3" s="1"/>
  <c r="E130" i="3"/>
  <c r="GX130" i="3" s="1"/>
  <c r="E126" i="3"/>
  <c r="GX126" i="3" s="1"/>
  <c r="E125" i="3"/>
  <c r="GX125" i="3" s="1"/>
  <c r="E123" i="3"/>
  <c r="GX123" i="3" s="1"/>
  <c r="E120" i="3"/>
  <c r="GX120" i="3" s="1"/>
  <c r="E118" i="3"/>
  <c r="GX118" i="3" s="1"/>
  <c r="E117" i="3"/>
  <c r="GX117" i="3" s="1"/>
  <c r="E115" i="3"/>
  <c r="GX115" i="3" s="1"/>
  <c r="E114" i="3"/>
  <c r="GX114" i="3" s="1"/>
  <c r="E113" i="3"/>
  <c r="GX113" i="3" s="1"/>
  <c r="E107" i="3"/>
  <c r="GX107" i="3" s="1"/>
  <c r="E106" i="3"/>
  <c r="GX106" i="3" s="1"/>
  <c r="E105" i="3"/>
  <c r="GX105" i="3" s="1"/>
  <c r="E104" i="3"/>
  <c r="GX104" i="3" s="1"/>
  <c r="E103" i="3"/>
  <c r="GX103" i="3" s="1"/>
  <c r="E102" i="3"/>
  <c r="GX102" i="3" s="1"/>
  <c r="E100" i="3"/>
  <c r="GX100" i="3" s="1"/>
  <c r="E99" i="3"/>
  <c r="GX99" i="3" s="1"/>
  <c r="E97" i="3"/>
  <c r="GX97" i="3" s="1"/>
  <c r="E94" i="3"/>
  <c r="GX94" i="3" s="1"/>
  <c r="E93" i="3"/>
  <c r="GX93" i="3" s="1"/>
  <c r="E91" i="3"/>
  <c r="GX91" i="3" s="1"/>
  <c r="E90" i="3"/>
  <c r="GX90" i="3" s="1"/>
  <c r="E89" i="3"/>
  <c r="GX89" i="3" s="1"/>
  <c r="E88" i="3"/>
  <c r="GX88" i="3" s="1"/>
  <c r="E87" i="3"/>
  <c r="GX87" i="3" s="1"/>
  <c r="E86" i="3"/>
  <c r="GX86" i="3" s="1"/>
  <c r="E85" i="3"/>
  <c r="GX85" i="3" s="1"/>
  <c r="E84" i="3"/>
  <c r="GX84" i="3" s="1"/>
  <c r="E83" i="3"/>
  <c r="GX83" i="3" s="1"/>
  <c r="E81" i="3"/>
  <c r="GX81" i="3" s="1"/>
  <c r="E80" i="3"/>
  <c r="GX80" i="3" s="1"/>
  <c r="E79" i="3"/>
  <c r="GX79" i="3" s="1"/>
  <c r="E78" i="3"/>
  <c r="GX78" i="3" s="1"/>
  <c r="E77" i="3"/>
  <c r="GX77" i="3" s="1"/>
  <c r="E75" i="3"/>
  <c r="GX75" i="3" s="1"/>
  <c r="E74" i="3"/>
  <c r="GX74" i="3" s="1"/>
  <c r="E73" i="3"/>
  <c r="GX73" i="3" s="1"/>
  <c r="E72" i="3"/>
  <c r="GX72" i="3" s="1"/>
  <c r="E70" i="3"/>
  <c r="GX70" i="3" s="1"/>
  <c r="E69" i="3"/>
  <c r="GX69" i="3" s="1"/>
  <c r="E67" i="3"/>
  <c r="GX67" i="3" s="1"/>
  <c r="E66" i="3"/>
  <c r="GX66" i="3" s="1"/>
  <c r="E65" i="3"/>
  <c r="GX65" i="3" s="1"/>
  <c r="E64" i="3"/>
  <c r="GX64" i="3" s="1"/>
  <c r="E63" i="3"/>
  <c r="GX63" i="3" s="1"/>
  <c r="E62" i="3"/>
  <c r="GX62" i="3" s="1"/>
  <c r="E61" i="3"/>
  <c r="GX61" i="3" s="1"/>
  <c r="E60" i="3"/>
  <c r="GX60" i="3" s="1"/>
  <c r="E59" i="3"/>
  <c r="GX59" i="3" s="1"/>
  <c r="E58" i="3"/>
  <c r="GX58" i="3" s="1"/>
  <c r="E57" i="3"/>
  <c r="GX57" i="3" s="1"/>
  <c r="E56" i="3"/>
  <c r="GX56" i="3" s="1"/>
  <c r="E55" i="3"/>
  <c r="GX55" i="3" s="1"/>
  <c r="E54" i="3"/>
  <c r="GX54" i="3" s="1"/>
  <c r="E52" i="3"/>
  <c r="GX52" i="3" s="1"/>
  <c r="E51" i="3"/>
  <c r="GX51" i="3" s="1"/>
  <c r="E50" i="3"/>
  <c r="GX50" i="3" s="1"/>
  <c r="E49" i="3"/>
  <c r="GX49" i="3" s="1"/>
  <c r="E47" i="3"/>
  <c r="GX47" i="3" s="1"/>
  <c r="E46" i="3"/>
  <c r="GX46" i="3" s="1"/>
  <c r="E45" i="3"/>
  <c r="GX45" i="3" s="1"/>
  <c r="E44" i="3"/>
  <c r="GX44" i="3" s="1"/>
  <c r="E43" i="3"/>
  <c r="GX43" i="3" s="1"/>
  <c r="E42" i="3"/>
  <c r="GX42" i="3" s="1"/>
  <c r="E41" i="3"/>
  <c r="GX41" i="3" s="1"/>
  <c r="E40" i="3"/>
  <c r="GX40" i="3" s="1"/>
  <c r="E39" i="3"/>
  <c r="GX39" i="3" s="1"/>
  <c r="E38" i="3"/>
  <c r="GX38" i="3" s="1"/>
  <c r="E37" i="3"/>
  <c r="GX37" i="3" s="1"/>
  <c r="E36" i="3"/>
  <c r="GX36" i="3" s="1"/>
  <c r="E35" i="3"/>
  <c r="GX35" i="3" s="1"/>
  <c r="E34" i="3"/>
  <c r="GX34" i="3" s="1"/>
  <c r="E33" i="3"/>
  <c r="GX33" i="3" s="1"/>
  <c r="E32" i="3"/>
  <c r="GX32" i="3" s="1"/>
  <c r="E31" i="3"/>
  <c r="GX31" i="3" s="1"/>
  <c r="E30" i="3"/>
  <c r="GX30" i="3" s="1"/>
  <c r="E29" i="3"/>
  <c r="GX29" i="3" s="1"/>
  <c r="E28" i="3"/>
  <c r="GX28" i="3" s="1"/>
  <c r="E27" i="3"/>
  <c r="GX27" i="3" s="1"/>
  <c r="E26" i="3"/>
  <c r="GX26" i="3" s="1"/>
  <c r="E25" i="3"/>
  <c r="GX25" i="3" s="1"/>
  <c r="E23" i="3"/>
  <c r="GX23" i="3" s="1"/>
  <c r="E22" i="3"/>
  <c r="GX22" i="3" s="1"/>
  <c r="E21" i="3"/>
  <c r="GX21" i="3" s="1"/>
  <c r="E19" i="3"/>
  <c r="GX19" i="3" s="1"/>
  <c r="E18" i="3"/>
  <c r="GX18" i="3" s="1"/>
  <c r="E17" i="3"/>
  <c r="GX17" i="3" s="1"/>
  <c r="E16" i="3"/>
  <c r="GX16" i="3" s="1"/>
  <c r="E15" i="3"/>
  <c r="GX15" i="3" s="1"/>
  <c r="E14" i="3"/>
  <c r="GX14" i="3" s="1"/>
  <c r="E13" i="3"/>
  <c r="GX13" i="3" s="1"/>
  <c r="E12" i="3"/>
  <c r="GX12" i="3" s="1"/>
  <c r="E11" i="3"/>
  <c r="GX11" i="3" s="1"/>
  <c r="E10" i="3"/>
  <c r="GX10" i="3" s="1"/>
  <c r="E9" i="3"/>
  <c r="GX9" i="3" s="1"/>
  <c r="E8" i="3"/>
  <c r="GX8" i="3" s="1"/>
  <c r="E7" i="3"/>
  <c r="GX7" i="3" s="1"/>
  <c r="E6" i="3"/>
  <c r="GX6" i="3" s="1"/>
  <c r="E5" i="3"/>
  <c r="GX5" i="3" s="1"/>
  <c r="E4" i="3"/>
  <c r="GX4" i="3" s="1"/>
  <c r="E3" i="3"/>
  <c r="GX3" i="3" s="1"/>
  <c r="E2" i="3"/>
  <c r="F98" i="1"/>
  <c r="F97" i="1"/>
  <c r="F96" i="1"/>
  <c r="F95" i="1"/>
  <c r="F94" i="1"/>
  <c r="F93" i="1"/>
  <c r="F92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5" i="1"/>
  <c r="F54" i="1"/>
  <c r="E151" i="3" l="1"/>
  <c r="E152" i="3" s="1"/>
  <c r="F151" i="3"/>
  <c r="F152" i="3" s="1"/>
  <c r="GX2" i="3"/>
  <c r="GY2" i="3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  <c r="F17" i="1"/>
  <c r="F16" i="1"/>
  <c r="F15" i="1"/>
  <c r="G15" i="1"/>
  <c r="I15" i="1" s="1"/>
  <c r="F13" i="1"/>
  <c r="F12" i="1"/>
  <c r="F11" i="1"/>
  <c r="F10" i="1"/>
  <c r="F9" i="1"/>
  <c r="F8" i="1"/>
  <c r="F7" i="1"/>
  <c r="F6" i="1"/>
  <c r="F5" i="1"/>
  <c r="F4" i="1"/>
  <c r="F3" i="1"/>
  <c r="F2" i="1"/>
  <c r="F100" i="1" l="1"/>
  <c r="D132" i="3"/>
  <c r="A132" i="3" s="1"/>
  <c r="D131" i="3"/>
  <c r="A131" i="3" s="1"/>
  <c r="D130" i="3"/>
  <c r="A130" i="3" s="1"/>
  <c r="D126" i="3"/>
  <c r="A126" i="3" s="1"/>
  <c r="D125" i="3"/>
  <c r="A125" i="3" s="1"/>
  <c r="D123" i="3"/>
  <c r="A123" i="3" s="1"/>
  <c r="D120" i="3"/>
  <c r="A120" i="3" s="1"/>
  <c r="D118" i="3"/>
  <c r="A118" i="3" s="1"/>
  <c r="D117" i="3"/>
  <c r="A117" i="3" s="1"/>
  <c r="D115" i="3"/>
  <c r="A115" i="3" s="1"/>
  <c r="D114" i="3"/>
  <c r="A114" i="3" s="1"/>
  <c r="D113" i="3"/>
  <c r="A113" i="3" s="1"/>
  <c r="D106" i="3"/>
  <c r="A106" i="3" s="1"/>
  <c r="D105" i="3"/>
  <c r="A105" i="3" s="1"/>
  <c r="D104" i="3"/>
  <c r="A104" i="3" s="1"/>
  <c r="D103" i="3"/>
  <c r="A103" i="3" s="1"/>
  <c r="D102" i="3"/>
  <c r="A102" i="3" s="1"/>
  <c r="D100" i="3"/>
  <c r="A100" i="3" s="1"/>
  <c r="D99" i="3"/>
  <c r="A99" i="3" s="1"/>
  <c r="D97" i="3"/>
  <c r="A97" i="3" s="1"/>
  <c r="D94" i="3"/>
  <c r="A94" i="3" s="1"/>
  <c r="D93" i="3"/>
  <c r="A93" i="3" s="1"/>
  <c r="D91" i="3"/>
  <c r="A91" i="3" s="1"/>
  <c r="D90" i="3"/>
  <c r="A90" i="3" s="1"/>
  <c r="D89" i="3"/>
  <c r="A89" i="3" s="1"/>
  <c r="D88" i="3"/>
  <c r="A88" i="3" s="1"/>
  <c r="D87" i="3"/>
  <c r="A87" i="3" s="1"/>
  <c r="D86" i="3"/>
  <c r="A86" i="3" s="1"/>
  <c r="D85" i="3"/>
  <c r="A85" i="3" s="1"/>
  <c r="D84" i="3"/>
  <c r="A84" i="3" s="1"/>
  <c r="D83" i="3"/>
  <c r="A83" i="3" s="1"/>
  <c r="D81" i="3"/>
  <c r="A81" i="3" s="1"/>
  <c r="D80" i="3"/>
  <c r="A80" i="3" s="1"/>
  <c r="D79" i="3"/>
  <c r="A79" i="3" s="1"/>
  <c r="D78" i="3"/>
  <c r="A78" i="3" s="1"/>
  <c r="D77" i="3"/>
  <c r="A77" i="3" s="1"/>
  <c r="D75" i="3"/>
  <c r="A75" i="3" s="1"/>
  <c r="D74" i="3"/>
  <c r="A74" i="3" s="1"/>
  <c r="D73" i="3"/>
  <c r="A73" i="3" s="1"/>
  <c r="D72" i="3"/>
  <c r="A72" i="3" s="1"/>
  <c r="D70" i="3"/>
  <c r="A70" i="3" s="1"/>
  <c r="D69" i="3"/>
  <c r="A69" i="3" s="1"/>
  <c r="D67" i="3"/>
  <c r="A67" i="3" s="1"/>
  <c r="D66" i="3"/>
  <c r="A66" i="3" s="1"/>
  <c r="D65" i="3"/>
  <c r="A65" i="3" s="1"/>
  <c r="D64" i="3"/>
  <c r="A64" i="3" s="1"/>
  <c r="D63" i="3"/>
  <c r="A63" i="3" s="1"/>
  <c r="D62" i="3"/>
  <c r="A62" i="3" s="1"/>
  <c r="D61" i="3"/>
  <c r="A61" i="3" s="1"/>
  <c r="D60" i="3"/>
  <c r="A60" i="3" s="1"/>
  <c r="D59" i="3"/>
  <c r="A59" i="3" s="1"/>
  <c r="D58" i="3"/>
  <c r="A58" i="3" s="1"/>
  <c r="D57" i="3"/>
  <c r="A57" i="3" s="1"/>
  <c r="D56" i="3"/>
  <c r="A56" i="3" s="1"/>
  <c r="D55" i="3"/>
  <c r="A55" i="3" s="1"/>
  <c r="D54" i="3"/>
  <c r="A54" i="3" s="1"/>
  <c r="D52" i="3"/>
  <c r="A52" i="3" s="1"/>
  <c r="D51" i="3"/>
  <c r="A51" i="3" s="1"/>
  <c r="D50" i="3"/>
  <c r="A50" i="3" s="1"/>
  <c r="D49" i="3"/>
  <c r="A49" i="3" s="1"/>
  <c r="D47" i="3"/>
  <c r="A47" i="3" s="1"/>
  <c r="D46" i="3"/>
  <c r="A46" i="3" s="1"/>
  <c r="D45" i="3"/>
  <c r="A45" i="3" s="1"/>
  <c r="D44" i="3"/>
  <c r="A44" i="3" s="1"/>
  <c r="D43" i="3"/>
  <c r="A43" i="3" s="1"/>
  <c r="D42" i="3"/>
  <c r="A42" i="3" s="1"/>
  <c r="D41" i="3"/>
  <c r="A41" i="3" s="1"/>
  <c r="D40" i="3"/>
  <c r="A40" i="3" s="1"/>
  <c r="D39" i="3"/>
  <c r="A39" i="3" s="1"/>
  <c r="D38" i="3"/>
  <c r="A38" i="3" s="1"/>
  <c r="D37" i="3"/>
  <c r="A37" i="3" s="1"/>
  <c r="D36" i="3"/>
  <c r="A36" i="3" s="1"/>
  <c r="D35" i="3"/>
  <c r="A35" i="3" s="1"/>
  <c r="D34" i="3"/>
  <c r="A34" i="3" s="1"/>
  <c r="D33" i="3"/>
  <c r="A33" i="3" s="1"/>
  <c r="D32" i="3"/>
  <c r="A32" i="3" s="1"/>
  <c r="D31" i="3"/>
  <c r="A31" i="3" s="1"/>
  <c r="D30" i="3"/>
  <c r="A30" i="3" s="1"/>
  <c r="D28" i="3"/>
  <c r="A28" i="3" s="1"/>
  <c r="D27" i="3"/>
  <c r="A27" i="3" s="1"/>
  <c r="D26" i="3"/>
  <c r="A26" i="3" s="1"/>
  <c r="D25" i="3"/>
  <c r="A25" i="3" s="1"/>
  <c r="D23" i="3"/>
  <c r="A23" i="3" s="1"/>
  <c r="D22" i="3"/>
  <c r="A22" i="3" s="1"/>
  <c r="D21" i="3"/>
  <c r="A21" i="3" s="1"/>
  <c r="D19" i="3"/>
  <c r="A19" i="3" s="1"/>
  <c r="D18" i="3"/>
  <c r="A18" i="3" s="1"/>
  <c r="D17" i="3"/>
  <c r="A17" i="3" s="1"/>
  <c r="D16" i="3"/>
  <c r="A16" i="3" s="1"/>
  <c r="D15" i="3"/>
  <c r="A15" i="3" s="1"/>
  <c r="D14" i="3"/>
  <c r="A14" i="3" s="1"/>
  <c r="D13" i="3"/>
  <c r="A13" i="3" s="1"/>
  <c r="D12" i="3"/>
  <c r="A12" i="3" s="1"/>
  <c r="D11" i="3"/>
  <c r="A11" i="3" s="1"/>
  <c r="D10" i="3"/>
  <c r="A10" i="3" s="1"/>
  <c r="D9" i="3"/>
  <c r="A9" i="3" s="1"/>
  <c r="D8" i="3"/>
  <c r="A8" i="3" s="1"/>
  <c r="D7" i="3"/>
  <c r="A7" i="3" s="1"/>
  <c r="D6" i="3"/>
  <c r="A6" i="3" s="1"/>
  <c r="D5" i="3"/>
  <c r="A5" i="3" s="1"/>
  <c r="D4" i="3"/>
  <c r="A4" i="3" s="1"/>
  <c r="D2" i="3"/>
  <c r="D3" i="3"/>
  <c r="A3" i="3" s="1"/>
  <c r="D151" i="3" l="1"/>
  <c r="A2" i="3"/>
  <c r="A151" i="3" s="1"/>
  <c r="G79" i="1"/>
  <c r="E98" i="1" l="1"/>
  <c r="E97" i="1"/>
  <c r="E96" i="1"/>
  <c r="E95" i="1"/>
  <c r="E94" i="1"/>
  <c r="E93" i="1"/>
  <c r="E92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3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00" i="1" l="1"/>
  <c r="G98" i="1"/>
  <c r="I98" i="1" s="1"/>
  <c r="G96" i="1"/>
  <c r="I96" i="1" s="1"/>
  <c r="G89" i="1"/>
  <c r="I89" i="1" s="1"/>
  <c r="G85" i="1"/>
  <c r="I85" i="1" s="1"/>
  <c r="G82" i="1"/>
  <c r="I82" i="1" s="1"/>
  <c r="G80" i="1"/>
  <c r="I80" i="1" s="1"/>
  <c r="I76" i="1"/>
  <c r="G70" i="1"/>
  <c r="I70" i="1" s="1"/>
  <c r="G67" i="1"/>
  <c r="I67" i="1" s="1"/>
  <c r="I54" i="1"/>
  <c r="G47" i="1"/>
  <c r="I47" i="1" s="1"/>
  <c r="G42" i="1"/>
  <c r="I42" i="1" s="1"/>
  <c r="G32" i="1"/>
  <c r="I32" i="1" s="1"/>
  <c r="I19" i="1"/>
  <c r="G97" i="1"/>
  <c r="I97" i="1" s="1"/>
  <c r="G95" i="1"/>
  <c r="I95" i="1" s="1"/>
  <c r="G94" i="1"/>
  <c r="I94" i="1" s="1"/>
  <c r="G92" i="1"/>
  <c r="I92" i="1" s="1"/>
  <c r="G93" i="1"/>
  <c r="I93" i="1" s="1"/>
  <c r="I91" i="1"/>
  <c r="G90" i="1"/>
  <c r="I90" i="1" s="1"/>
  <c r="G88" i="1"/>
  <c r="I88" i="1" s="1"/>
  <c r="G87" i="1"/>
  <c r="I87" i="1" s="1"/>
  <c r="G86" i="1"/>
  <c r="I86" i="1" s="1"/>
  <c r="G84" i="1"/>
  <c r="I84" i="1" s="1"/>
  <c r="G83" i="1"/>
  <c r="I83" i="1" s="1"/>
  <c r="G78" i="1"/>
  <c r="I78" i="1" s="1"/>
  <c r="G77" i="1"/>
  <c r="I77" i="1" s="1"/>
  <c r="G81" i="1"/>
  <c r="I81" i="1" s="1"/>
  <c r="I79" i="1"/>
  <c r="G75" i="1"/>
  <c r="I75" i="1" s="1"/>
  <c r="G74" i="1"/>
  <c r="I74" i="1" s="1"/>
  <c r="G73" i="1"/>
  <c r="I73" i="1" s="1"/>
  <c r="G72" i="1"/>
  <c r="I72" i="1" s="1"/>
  <c r="G71" i="1"/>
  <c r="I71" i="1" s="1"/>
  <c r="G69" i="1"/>
  <c r="I69" i="1" s="1"/>
  <c r="G68" i="1"/>
  <c r="I68" i="1" s="1"/>
  <c r="G66" i="1"/>
  <c r="I66" i="1" s="1"/>
  <c r="G65" i="1" l="1"/>
  <c r="I65" i="1" s="1"/>
  <c r="G64" i="1"/>
  <c r="I64" i="1" s="1"/>
  <c r="G63" i="1"/>
  <c r="I63" i="1" s="1"/>
  <c r="G62" i="1"/>
  <c r="I62" i="1" s="1"/>
  <c r="G61" i="1"/>
  <c r="I61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3" i="1"/>
  <c r="I53" i="1" s="1"/>
  <c r="G52" i="1"/>
  <c r="I52" i="1" s="1"/>
  <c r="G51" i="1"/>
  <c r="I51" i="1" s="1"/>
  <c r="G50" i="1"/>
  <c r="I50" i="1" s="1"/>
  <c r="G48" i="1"/>
  <c r="I48" i="1" s="1"/>
  <c r="G49" i="1"/>
  <c r="I49" i="1" s="1"/>
  <c r="G46" i="1"/>
  <c r="I46" i="1" s="1"/>
  <c r="G45" i="1"/>
  <c r="I45" i="1" s="1"/>
  <c r="G44" i="1"/>
  <c r="I44" i="1" s="1"/>
  <c r="I43" i="1"/>
  <c r="G41" i="1"/>
  <c r="I41" i="1" s="1"/>
  <c r="G40" i="1"/>
  <c r="I40" i="1" s="1"/>
  <c r="G39" i="1"/>
  <c r="I39" i="1" s="1"/>
  <c r="G38" i="1"/>
  <c r="I38" i="1" s="1"/>
  <c r="G37" i="1"/>
  <c r="I37" i="1" s="1"/>
  <c r="I36" i="1"/>
  <c r="I35" i="1"/>
  <c r="I34" i="1"/>
  <c r="G33" i="1"/>
  <c r="I33" i="1" s="1"/>
  <c r="G30" i="1"/>
  <c r="I30" i="1" s="1"/>
  <c r="I31" i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8" i="1"/>
  <c r="I18" i="1" s="1"/>
  <c r="G2" i="1"/>
  <c r="G3" i="1"/>
  <c r="I3" i="1" s="1"/>
  <c r="G4" i="1"/>
  <c r="I4" i="1" s="1"/>
  <c r="G5" i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6" i="1"/>
  <c r="I16" i="1" s="1"/>
  <c r="G17" i="1"/>
  <c r="I17" i="1" s="1"/>
  <c r="G100" i="1" l="1"/>
  <c r="I100" i="1" s="1"/>
  <c r="I2" i="1"/>
  <c r="J3" i="4" l="1"/>
  <c r="D100" i="1" l="1"/>
  <c r="J4" i="4" l="1"/>
  <c r="B3" i="4" l="1"/>
  <c r="J2" i="4" l="1"/>
  <c r="J6" i="4" s="1"/>
  <c r="D4" i="4"/>
  <c r="D3" i="4"/>
  <c r="D2" i="4"/>
  <c r="H5" i="4"/>
  <c r="H4" i="4"/>
  <c r="H3" i="4"/>
  <c r="H2" i="4"/>
  <c r="B4" i="4"/>
  <c r="B2" i="4"/>
  <c r="K2" i="4" l="1"/>
  <c r="D5" i="4"/>
  <c r="H6" i="4"/>
  <c r="I2" i="4" s="1"/>
  <c r="B5" i="4"/>
  <c r="E3" i="4" l="1"/>
  <c r="I5" i="4"/>
  <c r="K3" i="4"/>
  <c r="E4" i="4"/>
  <c r="E2" i="4"/>
  <c r="K4" i="4"/>
  <c r="K5" i="4"/>
  <c r="C4" i="4"/>
  <c r="C3" i="4"/>
  <c r="C2" i="4"/>
  <c r="I3" i="4"/>
  <c r="I4" i="4"/>
  <c r="K6" i="4" l="1"/>
  <c r="E5" i="4"/>
  <c r="I6" i="4"/>
  <c r="C5" i="4"/>
</calcChain>
</file>

<file path=xl/sharedStrings.xml><?xml version="1.0" encoding="utf-8"?>
<sst xmlns="http://schemas.openxmlformats.org/spreadsheetml/2006/main" count="509" uniqueCount="492">
  <si>
    <t>Agency/Authority</t>
  </si>
  <si>
    <t>Total</t>
  </si>
  <si>
    <t>Dormitory Authority of the State of New York (DASNY)</t>
  </si>
  <si>
    <t>Office of General Services (OGS)</t>
  </si>
  <si>
    <t>Department of Health (DOH)</t>
  </si>
  <si>
    <t>Information Technology Services (ITS)</t>
  </si>
  <si>
    <t>Office of Mental Health (OMH)</t>
  </si>
  <si>
    <t>New York Power Authority (NYPA)</t>
  </si>
  <si>
    <t>New York State Thruway Authority (NYSTA)</t>
  </si>
  <si>
    <t>Department of Transportation (DOT)</t>
  </si>
  <si>
    <t>City University of New York (CUNY)</t>
  </si>
  <si>
    <t>Department of Labor (DOL)</t>
  </si>
  <si>
    <t>Environmental Facilities Corporation (EFC)</t>
  </si>
  <si>
    <t>New York State Insurance Fund (NYSIF)</t>
  </si>
  <si>
    <t>Metropolitan Transportation Authority (MTA)</t>
  </si>
  <si>
    <t>Office for People with Developmental Disabilities (OPWDD)</t>
  </si>
  <si>
    <t>Webhouse, Inc.</t>
  </si>
  <si>
    <t>State University of New York (SUNY)</t>
  </si>
  <si>
    <t>SDVOB Vendor Name</t>
  </si>
  <si>
    <t>SDVOB Control # (Found in column A of Certified SDVOB List)</t>
  </si>
  <si>
    <t>Contract or Purchase Order #</t>
  </si>
  <si>
    <t>Industry (Commodities, Construction, Construction Consultants, Services/Consultants)</t>
  </si>
  <si>
    <t>Type of Contract (Discretionary, General, Set-Aside)</t>
  </si>
  <si>
    <t xml:space="preserve">Total $ Amount of Contract or Purchase Order </t>
  </si>
  <si>
    <t>Total SDVOB Participation % in Contract/PO</t>
  </si>
  <si>
    <t>$ Amount of SDVOB Participation in Contract/PO</t>
  </si>
  <si>
    <t>General</t>
  </si>
  <si>
    <t>Construction</t>
  </si>
  <si>
    <t>Strategic Response Initiatives</t>
  </si>
  <si>
    <t>Commodities</t>
  </si>
  <si>
    <t>Discretionary</t>
  </si>
  <si>
    <t>Tony Baird Electronics</t>
  </si>
  <si>
    <t>Academy Securities, Inc.</t>
  </si>
  <si>
    <t>Services/Consultants</t>
  </si>
  <si>
    <t>AWICS Security &amp; Investigations, Inc.</t>
  </si>
  <si>
    <t>REGIMENT TECHNOLOGY GROUP LLC</t>
  </si>
  <si>
    <t>Ashore Supply LLC</t>
  </si>
  <si>
    <t>Total Value of Awards</t>
  </si>
  <si>
    <t>Total Value of Disbursements Received</t>
  </si>
  <si>
    <t>M.I.S. of America, Inc.</t>
  </si>
  <si>
    <t>Case Contracting Unlimited LLC</t>
  </si>
  <si>
    <t>DMYLES, INC.</t>
  </si>
  <si>
    <t>King's  Rubbish Removal, LLC</t>
  </si>
  <si>
    <t>Leslie McDermott, Inc.</t>
  </si>
  <si>
    <t>Niles Advertising &amp; Display Solutions, Inc.</t>
  </si>
  <si>
    <t>Valor Construction Corp.</t>
  </si>
  <si>
    <t>VET4U, LLC</t>
  </si>
  <si>
    <t>Veteran Electrical Supply Inc.</t>
  </si>
  <si>
    <t>Integrated Power Supplies International, Inc.</t>
  </si>
  <si>
    <t>Environmental and Energy Innovations, LLC</t>
  </si>
  <si>
    <t>Drexel Hamilton Financial Group, Inc.</t>
  </si>
  <si>
    <t>Mischler Financial Group, Inc.</t>
  </si>
  <si>
    <t>Totals</t>
  </si>
  <si>
    <t>Total Agency/Authority Non-Exempt and Non-Excluded Disbursements</t>
  </si>
  <si>
    <t>SDVOB Utilization %</t>
  </si>
  <si>
    <t>Type of Contract</t>
  </si>
  <si>
    <t>Set-Aside</t>
  </si>
  <si>
    <t>Industry</t>
  </si>
  <si>
    <t>Construction Consultants</t>
  </si>
  <si>
    <t xml:space="preserve">Total </t>
  </si>
  <si>
    <t>$ Value</t>
  </si>
  <si>
    <t># of Contracts/POs</t>
  </si>
  <si>
    <t>% of Total Contracts/POs</t>
  </si>
  <si>
    <t>% of Total $ Value</t>
  </si>
  <si>
    <t># of Awards</t>
  </si>
  <si>
    <t>$ Value of Awards</t>
  </si>
  <si>
    <t>Office of Parks, Recreation, &amp; Historic Preservation (PARKS)</t>
  </si>
  <si>
    <t xml:space="preserve">Digitech Publishing International, Inc. </t>
  </si>
  <si>
    <t>Notes</t>
  </si>
  <si>
    <t>MacDonald Land Surveying &amp; Engineering D.P.C.</t>
  </si>
  <si>
    <t>Tolman Engineering, Architecture, &amp; Surveying, PLLC</t>
  </si>
  <si>
    <t>RJR Engineering, PC</t>
  </si>
  <si>
    <t>B.C. Trucking Services LLC</t>
  </si>
  <si>
    <t>Upstate Paving, LLC</t>
  </si>
  <si>
    <t>American Veteran Enterprise Team LLC</t>
  </si>
  <si>
    <t>T&amp;T Materials, Inc.</t>
  </si>
  <si>
    <t>Nordstrom Contracting &amp; Consulting Corp.</t>
  </si>
  <si>
    <t>M&amp;C Venture Group, LLC</t>
  </si>
  <si>
    <t>Veteran Lawn Care Services, LLC</t>
  </si>
  <si>
    <t>Northern Dreams Construction, Inc.</t>
  </si>
  <si>
    <t>JJ Contracting Corp</t>
  </si>
  <si>
    <t>DCS Infrastructure, LLC</t>
  </si>
  <si>
    <t>Sigma Psi Consulting Mechanical, Electrical, Plumbing Engineers, PLLC</t>
  </si>
  <si>
    <t>LI Craftsmanship, Inc.</t>
  </si>
  <si>
    <t>Allied Paving &amp; Sealing, Inc.</t>
  </si>
  <si>
    <t>MRM of Buffalo, Inc.</t>
  </si>
  <si>
    <t xml:space="preserve">Total Agency/Authority Disbursements to SDVOB Vendor this Quarter </t>
  </si>
  <si>
    <t>gothamCulture LLC</t>
  </si>
  <si>
    <t>Distributed Technology Group, LLC</t>
  </si>
  <si>
    <t>Sheen &amp; Shine, Inc.</t>
  </si>
  <si>
    <t>Clear It Out Contracting, LLC</t>
  </si>
  <si>
    <t>Tiede-Zoeller Tile Corp.</t>
  </si>
  <si>
    <t>Fire Safety Systems Inc.</t>
  </si>
  <si>
    <t># of Contracts and/or POs Awarded</t>
  </si>
  <si>
    <t>Agency / Authority</t>
  </si>
  <si>
    <t>Federal Safety Equipment, Inc</t>
  </si>
  <si>
    <t>A-Z Solutions, Inc.</t>
  </si>
  <si>
    <t>Lyadai Inc.</t>
  </si>
  <si>
    <t>Veteran Solar Systems, Inc.</t>
  </si>
  <si>
    <t>Central New York Regional Transportation Authority (CNYRTA)</t>
  </si>
  <si>
    <t>Welch Construction, Inc.</t>
  </si>
  <si>
    <t>Regimental Contracting LLC</t>
  </si>
  <si>
    <t>Mattessich Iron, LLC</t>
  </si>
  <si>
    <t>Christopher J. Geherin, d/b/a Builders Choice Lumber Co.</t>
  </si>
  <si>
    <t>Heat and Cool By Domes</t>
  </si>
  <si>
    <t>VETcorp, Inc.</t>
  </si>
  <si>
    <t>Department of Motor Vehicles (DMV)</t>
  </si>
  <si>
    <t>Command and Control Solutions Corp.</t>
  </si>
  <si>
    <t>Davoco, LLC</t>
  </si>
  <si>
    <t>3M Solutions</t>
  </si>
  <si>
    <t>Department of Environmental Conservation (DEC)</t>
  </si>
  <si>
    <t>Long Island Power Authority (LIPA)</t>
  </si>
  <si>
    <t>Concentric Group, LLC</t>
  </si>
  <si>
    <t>Truart A.M. Finishes</t>
  </si>
  <si>
    <t>Land Pro, Inc.</t>
  </si>
  <si>
    <t>United Nations Development Corporation (UNDC)</t>
  </si>
  <si>
    <t>M.C. Avino, Inc.</t>
  </si>
  <si>
    <t>Skyop LLC</t>
  </si>
  <si>
    <t>American Interfile and Library Services</t>
  </si>
  <si>
    <t>Versa-Tel TS Inc.</t>
  </si>
  <si>
    <t>Valley Motorsports and Service</t>
  </si>
  <si>
    <t>Casual Graffix, LLC d/b/a Bear Essentials Apparel</t>
  </si>
  <si>
    <t>DCS Infrastructure Engineering, PLLC</t>
  </si>
  <si>
    <t>Office of the Medicaid Inspector General (OMIG)</t>
  </si>
  <si>
    <t>Hudson River-Black River Regulating District (HRBRRD)</t>
  </si>
  <si>
    <t>New York State Thoroughbred Breeding &amp; Development Fund Corporation (NYBREDS)</t>
  </si>
  <si>
    <t>Council on the Arts (ARTS)</t>
  </si>
  <si>
    <t>Erie County Fiscal Stability Authority (ECFSA)</t>
  </si>
  <si>
    <t>Gaming Commission (GAMING)</t>
  </si>
  <si>
    <t>Governor's Office of Employee Relations (GOER)</t>
  </si>
  <si>
    <t>Agriculture &amp; NYS Horse-Breeding Development Fund (Ag&amp;Horse)</t>
  </si>
  <si>
    <t>Development Authority of the North Country (DANC)</t>
  </si>
  <si>
    <t>Division of Criminal Justice Services (DCJS)</t>
  </si>
  <si>
    <t>State Commision of Correction (SCOC)</t>
  </si>
  <si>
    <t>Board of Elections (ELECTIONS)</t>
  </si>
  <si>
    <t>Buffalo Fiscal Stability Authority (BFSA)</t>
  </si>
  <si>
    <t>Department of Civil Service (CS)</t>
  </si>
  <si>
    <t>Veterans Office Interiors</t>
  </si>
  <si>
    <t>Mountainside Medical Equipment, Inc</t>
  </si>
  <si>
    <t>Albany Port District Commission (PortAlbany)</t>
  </si>
  <si>
    <t>Erie County Medical Center (ECMC)</t>
  </si>
  <si>
    <t>Nassau Health Care Corp. (NHCC)</t>
  </si>
  <si>
    <t>Albany County Airport Authority (ACAA)</t>
  </si>
  <si>
    <t>Alcohol Beverage Control Board (SLA)</t>
  </si>
  <si>
    <t>Battery Park City Authority (BPCA)</t>
  </si>
  <si>
    <t>New York State Bridge Authority (NYSBA)</t>
  </si>
  <si>
    <t>Capital District Transportation Authority (CDTA)</t>
  </si>
  <si>
    <t>Cayuga County Water &amp; Sewer Authority (CCWSA)</t>
  </si>
  <si>
    <t>City University Construction Fund (CUCF)</t>
  </si>
  <si>
    <t>Department of Financial Services (DFS)</t>
  </si>
  <si>
    <t>Department of Public Service (DPS)</t>
  </si>
  <si>
    <t>Division of Budget (DOB)</t>
  </si>
  <si>
    <t>Division of Human Rights (DHR)</t>
  </si>
  <si>
    <t>Division of State Police (TROOPERS)</t>
  </si>
  <si>
    <t>Empire Center at the Egg (EGG)</t>
  </si>
  <si>
    <t>Higher Education Services Corporation (HESC)</t>
  </si>
  <si>
    <t>Division of Homeland Security &amp; Emergency Services (DHSES)</t>
  </si>
  <si>
    <t>Hudson River Park Trust (HRPT)</t>
  </si>
  <si>
    <t>Office of the Inspector General (OIG)</t>
  </si>
  <si>
    <t>Joint Commission on Public Ethics (JCOPE)</t>
  </si>
  <si>
    <t>Justice Center for the Protection of Persons with Special Needs (JUSTICE)</t>
  </si>
  <si>
    <t>Livingston County Water &amp; Sewer Authority (LCWSA)</t>
  </si>
  <si>
    <t>Division of Military &amp; Naval Affairs (DMNA)</t>
  </si>
  <si>
    <t>Nassau County Interim Finance Authority (NIFA)</t>
  </si>
  <si>
    <t>Natural Heritage Trust (NHT)</t>
  </si>
  <si>
    <t>Niagara Falls Water Board (NFWB)</t>
  </si>
  <si>
    <t>Niagara Frontier Transportation Authority (NFTA)</t>
  </si>
  <si>
    <t>Office for the Aging (AGING)</t>
  </si>
  <si>
    <t>Ogdensburg Bridge &amp; Port Authority (OGDEN)</t>
  </si>
  <si>
    <t>Office of Children &amp; Family Services (OCFS)</t>
  </si>
  <si>
    <t>Office of Alcoholism &amp; Substance Abuse Services (OASAS)</t>
  </si>
  <si>
    <t>New York State Energy Research &amp; Development Authority (NYSERDA)</t>
  </si>
  <si>
    <t>Department of Taxation &amp; Finance (TAX)</t>
  </si>
  <si>
    <t>Department of Corrections &amp; Community Supervision (DOCCS)</t>
  </si>
  <si>
    <t>Olympic Regional Development Authority (ORDA)</t>
  </si>
  <si>
    <t>Port of Oswego Authority (OSWEGO)</t>
  </si>
  <si>
    <t>Office for the Prevention of Domestic Violence (OPDV)</t>
  </si>
  <si>
    <t>Public Employment Relations Board (PERB)</t>
  </si>
  <si>
    <t>Rochester Genesee Regional Transportation Authority (RGRTA)</t>
  </si>
  <si>
    <t>Roosevelt Island Operating Corporation (RIOC)</t>
  </si>
  <si>
    <t>Roswell Park Cancer Institute (RPCI)</t>
  </si>
  <si>
    <t>Schenectady Metroplex Development Authority (SMDA)</t>
  </si>
  <si>
    <t>State University Construction Fund (SUCF)</t>
  </si>
  <si>
    <t>Department of State (DOS)</t>
  </si>
  <si>
    <t>Syracuse Regional Airport Authority (SRAA)</t>
  </si>
  <si>
    <t>Division of Veterans Affairs (DVA)</t>
  </si>
  <si>
    <t>Office for Victim Services (OVS)</t>
  </si>
  <si>
    <t>Office of the Welfare Inspector General (OWIG)</t>
  </si>
  <si>
    <t>Office of Temporary &amp; Disability Assistance (OTDA)</t>
  </si>
  <si>
    <t>Westchester County Health Care Corporation (WMC)</t>
  </si>
  <si>
    <t>Upper Mohawk Valley Water Authority (MVWA)</t>
  </si>
  <si>
    <t>Executive Chamber (CHAMBER)</t>
  </si>
  <si>
    <t>Department of Agriculture &amp; Markets (AG&amp;MKTS)</t>
  </si>
  <si>
    <t>New York State Homes &amp; Community Renewal - HFA, AHC, SONYMA, MBBA, TSFC (HFA)</t>
  </si>
  <si>
    <t>New York State Homes &amp; Community Renewal - DHCR, HTFC (DHCR)</t>
  </si>
  <si>
    <t>Jacob Javits Convention Center (JAVITS)</t>
  </si>
  <si>
    <t>Noreast Property Management Corp</t>
  </si>
  <si>
    <t>Novisal LLC</t>
  </si>
  <si>
    <t>Serviam Construction, LLC</t>
  </si>
  <si>
    <t>B &amp; B Sheet Metal, Inc.</t>
  </si>
  <si>
    <t>Total SDVOB Participation Goal % Assigned in Contract/PO</t>
  </si>
  <si>
    <t>Actual SDVOB Participation % Attained in Contract/PO</t>
  </si>
  <si>
    <t>Summary of Reason for Granting Waiver</t>
  </si>
  <si>
    <t>Agency</t>
  </si>
  <si>
    <t>Housing Trust Fund Corporation/Governor's Office of Storm Recovery (GOSR)</t>
  </si>
  <si>
    <t>Sierra Delta Contracting, LLC</t>
  </si>
  <si>
    <t>All Environmental Compliance Inc.</t>
  </si>
  <si>
    <t>O.H. Striping, Inc.</t>
  </si>
  <si>
    <t>Goal Plan Estimate</t>
  </si>
  <si>
    <t>Quarterly Estimate</t>
  </si>
  <si>
    <t>Adirondack Park Agency (APA)</t>
  </si>
  <si>
    <t>Robert F. Hyland &amp; Sons, LLC</t>
  </si>
  <si>
    <t>Empire State Development (ESD)</t>
  </si>
  <si>
    <t>Department of Economic Development (DED)</t>
  </si>
  <si>
    <t>Hayduk Engineering, LLC</t>
  </si>
  <si>
    <t>Graham Restoration Co Inc.</t>
  </si>
  <si>
    <t>INTEGRATUS LLC Total</t>
  </si>
  <si>
    <t>The Human Factor</t>
  </si>
  <si>
    <t>Wilton Floors</t>
  </si>
  <si>
    <t>EB Galaxy</t>
  </si>
  <si>
    <t>Angel Haven Enterprises, Inc. d/b/a Rapid Refill</t>
  </si>
  <si>
    <t>G BICHLER ENTERPRISES LLC</t>
  </si>
  <si>
    <t>PARAMOUNT STRUCTUREHOME IMPROVEMENT LLC</t>
  </si>
  <si>
    <t>WL Concepts</t>
  </si>
  <si>
    <t xml:space="preserve">Cadence Group LLC </t>
  </si>
  <si>
    <t>Commercial Kitchen Consulting LLC</t>
  </si>
  <si>
    <t>YE OLE LOCKSMITH SHOPPE I</t>
  </si>
  <si>
    <t>TAYLOR CONCRETE PRODUCTS INC</t>
  </si>
  <si>
    <t>Engaged</t>
  </si>
  <si>
    <t>Employee Leasing of Greater NY dba Distinctive Personnel</t>
  </si>
  <si>
    <t>VIRSIG LLC</t>
  </si>
  <si>
    <t>W. ALLEN ENGINEERING</t>
  </si>
  <si>
    <t>TRIPLE R FAMILY LLC</t>
  </si>
  <si>
    <t>Workers Compensation Board (WCB)</t>
  </si>
  <si>
    <t>Rass Group, Inc</t>
  </si>
  <si>
    <t>Sempe Ride LLC</t>
  </si>
  <si>
    <t>Michael Avramedis</t>
  </si>
  <si>
    <t>NV Maintenance Services</t>
  </si>
  <si>
    <t>Eastern Environmental Solutions, Inc.</t>
  </si>
  <si>
    <t>Mavec Advisors, LLC</t>
  </si>
  <si>
    <t>Invictus International Consulting, LLC</t>
  </si>
  <si>
    <t>James McDonald Construction Services, LLC</t>
  </si>
  <si>
    <t>Albany Associates</t>
  </si>
  <si>
    <t>Champion Security Services Inc</t>
  </si>
  <si>
    <t>Scott Michael Mahnke</t>
  </si>
  <si>
    <t>KB Engieering &amp; Consulting PLLC</t>
  </si>
  <si>
    <t>Mercury Speed LLC</t>
  </si>
  <si>
    <t>Michael Mcconnell</t>
  </si>
  <si>
    <t>Patriot Mobility</t>
  </si>
  <si>
    <t>Ops and Eng</t>
  </si>
  <si>
    <t>Stephen St. Andre (dba - SEC Auto Solutions)</t>
  </si>
  <si>
    <t>Walker Diving Underwater Construction</t>
  </si>
  <si>
    <t>Land Air Sea Enterprises</t>
  </si>
  <si>
    <t>RESIDENTIAL IMPROVEMENTS INC</t>
  </si>
  <si>
    <t>Office of the State Comptroller (OSC)</t>
  </si>
  <si>
    <t>TRM DESIGN &amp; PLANNING LLC</t>
  </si>
  <si>
    <t>Sierra Delta, LLC.</t>
  </si>
  <si>
    <t xml:space="preserve">Veteran's Mechanical Services </t>
  </si>
  <si>
    <t>Titan Development Group</t>
  </si>
  <si>
    <t>Shona Mechanical</t>
  </si>
  <si>
    <t>Adirondack Park Agency (APA) Awards</t>
  </si>
  <si>
    <t>Adirondack Park Agency (APA) Disbursements</t>
  </si>
  <si>
    <t>Agriculture &amp; NYS Horse-Breeding Development Fund (Ag&amp;Horse) Awards</t>
  </si>
  <si>
    <t>Agriculture &amp; NYS Horse-Breeding Development Fund (Ag&amp;Horse) Disbursements</t>
  </si>
  <si>
    <t>Albany County Airport Authority (ACAA) Awards</t>
  </si>
  <si>
    <t>Albany County Airport Authority (ACAA) Disbursements</t>
  </si>
  <si>
    <t>Albany Port District Commission (PortAlbany) Awards</t>
  </si>
  <si>
    <t>Albany Port District Commission (PortAlbany) Disbursements</t>
  </si>
  <si>
    <t>Alcohol Beverage Control Board (SLA) Awards</t>
  </si>
  <si>
    <t>Alcohol Beverage Control Board (SLA) Disbursements</t>
  </si>
  <si>
    <t>Battery Park City Authority (BPCA) Awards</t>
  </si>
  <si>
    <t>Battery Park City Authority (BPCA) Disbursements</t>
  </si>
  <si>
    <t>Board of Elections (ELECTIONS) Awards</t>
  </si>
  <si>
    <t>Board of Elections (ELECTIONS) Disbursements</t>
  </si>
  <si>
    <t>Buffalo Fiscal Stability Authority (BFSA) Awards</t>
  </si>
  <si>
    <t>Buffalo Fiscal Stability Authority (BFSA) Disbursements</t>
  </si>
  <si>
    <t>Capital District Transportation Authority (CDTA) Awards</t>
  </si>
  <si>
    <t>Capital District Transportation Authority (CDTA) Disbursements</t>
  </si>
  <si>
    <t>Cayuga County Water &amp; Sewer Authority (CCWSA) Awards</t>
  </si>
  <si>
    <t>Cayuga County Water &amp; Sewer Authority (CCWSA) Disbursements</t>
  </si>
  <si>
    <t>Central New York Regional Transportation Authority (CNYRTA) Awards</t>
  </si>
  <si>
    <t>Central New York Regional Transportation Authority (CNYRTA) Disbursements</t>
  </si>
  <si>
    <t>City University Construction Fund (CUCF) Awards</t>
  </si>
  <si>
    <t>City University Construction Fund (CUCF) Disbursements</t>
  </si>
  <si>
    <t>City University of New York (CUNY) Awards</t>
  </si>
  <si>
    <t>City University of New York (CUNY) Disbursements</t>
  </si>
  <si>
    <t>Council on the Arts (ARTS) Awards</t>
  </si>
  <si>
    <t>Council on the Arts (ARTS) Disbursements</t>
  </si>
  <si>
    <t>Department of Agriculture &amp; Markets (AG&amp;MKTS) Awards</t>
  </si>
  <si>
    <t>Department of Agriculture &amp; Markets (AG&amp;MKTS) Disbursements</t>
  </si>
  <si>
    <t>Department of Civil Service (CS) Awards</t>
  </si>
  <si>
    <t>Department of Civil Service (CS) Disbursements</t>
  </si>
  <si>
    <t>Department of Corrections &amp; Community Supervision (DOCCS) Awards</t>
  </si>
  <si>
    <t>Department of Corrections &amp; Community Supervision (DOCCS) Disbursements</t>
  </si>
  <si>
    <t>Department of Economic Development (DED) Awards</t>
  </si>
  <si>
    <t>Department ofEconomic Development (DED) Disbursements</t>
  </si>
  <si>
    <t>Department of Environmental Conservation (DEC) Awards</t>
  </si>
  <si>
    <t>Department of Environmental Conservation (DEC) Disbursements</t>
  </si>
  <si>
    <t xml:space="preserve">Department of Financial Services (DFS) Awards </t>
  </si>
  <si>
    <t>Department of Financial Services (DFS) Disbursements</t>
  </si>
  <si>
    <t>Department of Health (DOH) Awards</t>
  </si>
  <si>
    <t>Department of Health (DOH) Disbursements</t>
  </si>
  <si>
    <t>Department of Labor (DOL) Awards</t>
  </si>
  <si>
    <t xml:space="preserve">Department of Labor (DOL) Disbursements </t>
  </si>
  <si>
    <t xml:space="preserve">Department of Motor Vehicles (DMV) Awards </t>
  </si>
  <si>
    <t>Department of Motor Vehicles (DMV) Disbursements</t>
  </si>
  <si>
    <t>Department of Public Service (DPS) Awards</t>
  </si>
  <si>
    <t>Department of Public Service (DPS) Disbursements</t>
  </si>
  <si>
    <t>Department of State (DOS) Awards</t>
  </si>
  <si>
    <t>Department of State (DOS) Disbursements</t>
  </si>
  <si>
    <t>Department of Taxation &amp; Finance (TAX) Awards</t>
  </si>
  <si>
    <t>Department of Taxation &amp; Finance (TAX) Disbursements</t>
  </si>
  <si>
    <t xml:space="preserve">Department of Transportation (DOT) Awards </t>
  </si>
  <si>
    <t>Department of Transportation (DOT) Disbursements</t>
  </si>
  <si>
    <t>Development Authority of the North Country (DANC) Awards</t>
  </si>
  <si>
    <t>Development Authority of the North Country (DANC) Disbursements</t>
  </si>
  <si>
    <t>Division of Budget (DOB) Awards</t>
  </si>
  <si>
    <t>Division of Budget (DOB) Disbursements</t>
  </si>
  <si>
    <t>Division of Criminal Justice Services (DCJS) Awards</t>
  </si>
  <si>
    <t>Division of Criminal Justice Services (DCJS) Disbursements</t>
  </si>
  <si>
    <t>Division of Homeland Security &amp; Emergency Services (DHSES) Awards</t>
  </si>
  <si>
    <t xml:space="preserve">Division of Homeland Security &amp; Emergency Services (DHSES) Disbursements </t>
  </si>
  <si>
    <t>Division of Human Rights (DHR) Awards</t>
  </si>
  <si>
    <t xml:space="preserve">Division of Human Rights (DHR) Disbursements </t>
  </si>
  <si>
    <t>Division of Military &amp; Naval Affairs (DMNA) Awards</t>
  </si>
  <si>
    <t>Division of Military &amp; Naval Affairs (DMNA) Disbursements</t>
  </si>
  <si>
    <t xml:space="preserve">Division of State Police (TROOPERS) Awards </t>
  </si>
  <si>
    <t>Division of State Police (TROOPERS) Disbursements</t>
  </si>
  <si>
    <t>Division of Veterans Affairs (DVA) Awards</t>
  </si>
  <si>
    <t>Division of Veterans Affairs (DVA) Disbursements</t>
  </si>
  <si>
    <t>Dormitory Authority of the State of New York (DASNY) Awards</t>
  </si>
  <si>
    <t>Dormitory Authority of the State of New York (DASNY) Disbursements</t>
  </si>
  <si>
    <t>Empire Center at the Egg (EGG) Awards</t>
  </si>
  <si>
    <t>Empire Center at the Egg (EGG) Disbursements</t>
  </si>
  <si>
    <t>Empire State Development (ESD) Awards</t>
  </si>
  <si>
    <t>Empire State Development (ESD) Disbursements</t>
  </si>
  <si>
    <t>Environmental Facilities Corporation (EFC) Awards</t>
  </si>
  <si>
    <t>Environmental Facilities Corporation (EFC) Disbursements</t>
  </si>
  <si>
    <t>Erie County Fiscal Stability Authority (ECFSA) Awards</t>
  </si>
  <si>
    <t>Erie County Fiscal Stability Authority (ECFSA) Disbursements</t>
  </si>
  <si>
    <t xml:space="preserve">Erie County Medical Center (ECMC) Awards </t>
  </si>
  <si>
    <t>Erie County Medical Center (ECMC) Disbursements</t>
  </si>
  <si>
    <t xml:space="preserve">Executive Chamber (CHAMBER) Awards </t>
  </si>
  <si>
    <t>Executive Chamber (CHAMBER) Disbursements</t>
  </si>
  <si>
    <t xml:space="preserve">Gaming Commission (GAMING) Awards </t>
  </si>
  <si>
    <t>Gaming Commission (GAMING) Disbursements</t>
  </si>
  <si>
    <t>Governor's Office of Employee Relations (GOER) Awards</t>
  </si>
  <si>
    <t>Governor's Office of Employee Relations (GOER) Disbursements</t>
  </si>
  <si>
    <t xml:space="preserve">Higher Education Services Corporation (HESC) Awards </t>
  </si>
  <si>
    <t>Higher Education Services Corporation (HESC) Disbursements</t>
  </si>
  <si>
    <t>Housing Trust Fund Corporation/Governor's Office of Storm Recovery (GOSR) Awards</t>
  </si>
  <si>
    <t>Housing Trust Fund Corporation/Governor's Office of Storm Recovery (GOSR) Disbursements</t>
  </si>
  <si>
    <t>Hudson River Park Trust (HRPT) Awards</t>
  </si>
  <si>
    <t>Hudson River Park Trust (HRPT) Disbursements</t>
  </si>
  <si>
    <t>Hudson River-Black River Regulating District (HRBRRD) Awards</t>
  </si>
  <si>
    <t>Hudson River-Black River Regulating District (HRBRRD) Disbursements</t>
  </si>
  <si>
    <t>Information Technology Services (ITS) Awards</t>
  </si>
  <si>
    <t>Information Technology Services (ITS) Disbursements</t>
  </si>
  <si>
    <t>Jacob Javits Convention Center (JAVITS)Awards</t>
  </si>
  <si>
    <t>Jacob Javits Convention Center (JAVITS) Disbursements</t>
  </si>
  <si>
    <t>Joint Commission on Public Ethics (JCOPE) Awards</t>
  </si>
  <si>
    <t>Joint Commission on Public Ethics (JCOPE) Disbursements</t>
  </si>
  <si>
    <t>Justice Center for the Protection of Persons with Special Needs (JUSTICE)Awards</t>
  </si>
  <si>
    <t>Justice Center for the Protection of Persons with Special Needs (JUSTICE) Disbursements</t>
  </si>
  <si>
    <t>Livingston County Water &amp; Sewer Authority (LCWSA)Awards</t>
  </si>
  <si>
    <t>Livingston County Water &amp; Sewer Authority (LCWSA) Disbursements</t>
  </si>
  <si>
    <t>Long Island Power Authority (LIPA) Awards</t>
  </si>
  <si>
    <t>Long Island Power Authority (LIPA) Disbursements</t>
  </si>
  <si>
    <t>Metropolitan Transportation Authority (MTA) Awards</t>
  </si>
  <si>
    <t>Metropolitan Transportation Authority (MTA) Disbursements</t>
  </si>
  <si>
    <t>Nassau County Interim Finance Authority (NIFA) Awards</t>
  </si>
  <si>
    <t>Nassau County Interim Finance Authority (NIFA) Disbursements</t>
  </si>
  <si>
    <t>Nassau Health Care Corp. (NHCC) Awards</t>
  </si>
  <si>
    <t>Nassau Health Care Corp. (NHCC) Disbursements</t>
  </si>
  <si>
    <t>Natural Heritage Trust (NHT) Awards</t>
  </si>
  <si>
    <t>Natural Heritage Trust (NHT) Disbursements</t>
  </si>
  <si>
    <t>New York Power Authority (NYPA) Awards</t>
  </si>
  <si>
    <t>New York Power Authority (NYPA) Disbursements</t>
  </si>
  <si>
    <t>New York State Bridge Authority (NYSBA) Awards</t>
  </si>
  <si>
    <t>New York State Bridge Authority (NYSBA)Disbursements</t>
  </si>
  <si>
    <t>New York State Energy Research &amp; Development Authority (NYSERDA)Awards</t>
  </si>
  <si>
    <t>New York State Energy Research &amp; Development Authority (NYSERDA) Disbursements</t>
  </si>
  <si>
    <t>New York State Homes &amp; Community Renewal - DHCR, HTFC (DHCR) Awards</t>
  </si>
  <si>
    <t>New York State Homes &amp; Community Renewal - DHCR, HTFC (DHCR) Disbursements</t>
  </si>
  <si>
    <t>New York State Homes &amp; Community Renewal - HFA, AHC, SONYMA, MBBA, TSFC (HFA) Awards</t>
  </si>
  <si>
    <t>New York State Homes &amp; Community Renewal - HFA, AHC, SONYMA, MBBA, TSFC (HFA) Disbursements</t>
  </si>
  <si>
    <t>New York State Insurance Fund (NYSIF) Awards</t>
  </si>
  <si>
    <t>New York State Insurance Fund (NYSIF) Disbursements</t>
  </si>
  <si>
    <t>New York State Thoroughbred Breeding &amp; Development Fund Corporation (NYBREDS) Awards</t>
  </si>
  <si>
    <t>New York State Thoroughbred Breeding &amp; Development Fund Corporation (NYBREDS) Disbursements</t>
  </si>
  <si>
    <t>New York State Thruway Authority (NYSTA) Awards</t>
  </si>
  <si>
    <t>New York State Thruway Authority (NYSTA) Disbursements</t>
  </si>
  <si>
    <t>Niagara Falls Water Board (NFWB) Awards</t>
  </si>
  <si>
    <t>Niagara Falls Water Board (NFWB) Disbursements</t>
  </si>
  <si>
    <t>Niagara Frontier Transportation Authority (NFTA) Awards</t>
  </si>
  <si>
    <t>Niagara Frontier Transportation Authority (NFTA) Disbursements</t>
  </si>
  <si>
    <t>Office for People with Developmental Disabilities (OPWDD) Awards</t>
  </si>
  <si>
    <t>Office for People with Developmental Disabilities (OPWDD) Disbursements</t>
  </si>
  <si>
    <t>Office for the Aging (AGING) Awards</t>
  </si>
  <si>
    <t>Office for the Aging (AGING) Disbursements</t>
  </si>
  <si>
    <t>Office for the Prevention of Domestic Violence (OPDV) Awards</t>
  </si>
  <si>
    <t>Office for the Prevention of Domestic Violence (OPDV) Disbursements</t>
  </si>
  <si>
    <t>Office for Victim Services (OVS) Awards</t>
  </si>
  <si>
    <t>Office for Victim Services (OVS) Disbursements</t>
  </si>
  <si>
    <t>Office of Alcoholism &amp; Substance Abuse Services (OASAS) Awards</t>
  </si>
  <si>
    <t>Office of Alcoholism &amp; Substance Abuse Services (OASAS) Disbursements</t>
  </si>
  <si>
    <t>Office of Children &amp; Family Services (OCFS) Awards</t>
  </si>
  <si>
    <t>Office of Children &amp; Family Services (OCFS) Disbursements</t>
  </si>
  <si>
    <t>Office of General Services (OGS) Awards</t>
  </si>
  <si>
    <t>Office of General Services (OGS) Disbursements</t>
  </si>
  <si>
    <t>Office of Mental Health (OMH) Awards</t>
  </si>
  <si>
    <t>Office of Mental Health (OMH) Disbursements</t>
  </si>
  <si>
    <t>Office of Parks, Recreation, &amp; Historic Preservation (PARKS) Awards</t>
  </si>
  <si>
    <t>Office of Parks, Recreation, &amp; Historic Preservation (PARKS) Disbursements</t>
  </si>
  <si>
    <t>Office of Temporary &amp; Disability Assistance (OTDA) Awards</t>
  </si>
  <si>
    <t>Office of Temporary &amp; Disability Assistance (OTDA) Disbursements</t>
  </si>
  <si>
    <t>Office of the Inspector General (OIG) Awards</t>
  </si>
  <si>
    <t>Office of the Inspector General (OIG) Disbursements</t>
  </si>
  <si>
    <t>Office of the Medicaid Inspector General (OMIG) Awards</t>
  </si>
  <si>
    <t>Office of the Medicaid Inspector General (OMIG) Disbursements</t>
  </si>
  <si>
    <t>Office of the Welfare Inspector General (OWIG) Awards</t>
  </si>
  <si>
    <t>Office of the Welfare Inspector General (OWIG) Disbursements</t>
  </si>
  <si>
    <t>Ogdensburg Bridge &amp; Port Authority (OGDEN) Awards</t>
  </si>
  <si>
    <t>Ogdensburg Bridge &amp; Port Authority (OGDEN) Disbursements</t>
  </si>
  <si>
    <t>Olympic Regional Development Authority (ORDA) Awards</t>
  </si>
  <si>
    <t>Olympic Regional Development Authority (ORDA) Disbursements</t>
  </si>
  <si>
    <t>Port of Oswego Authority (OSWEGO) Awards</t>
  </si>
  <si>
    <t>Port of Oswego Authority (OSWEGO) Disbursements</t>
  </si>
  <si>
    <t>Public Employment Relations Board (PERB) Awards</t>
  </si>
  <si>
    <t>Public Employment Relations Board (PERB) Disbursements</t>
  </si>
  <si>
    <t>Rochester Genesee Regional Transportation Authority (RGRTA) Awards</t>
  </si>
  <si>
    <t>Rochester Genesee Regional Transportation Authority (RGRTA) Disbursements</t>
  </si>
  <si>
    <t>Roosevelt Island Operating Corporation (RIOC) Awards</t>
  </si>
  <si>
    <t>Roosevelt Island Operating Corporation (RIOC) Disbursements</t>
  </si>
  <si>
    <t>Roswell Park Cancer Institute (RPCI) Awards</t>
  </si>
  <si>
    <t>Roswell Park Cancer Institute (RPCI) Disbursements</t>
  </si>
  <si>
    <t>Schenectady Metroplex Development Authority (SMDA) Awards</t>
  </si>
  <si>
    <t>Schenectady Metroplex Development Authority (SMDA) Disbursements</t>
  </si>
  <si>
    <t>State Commision of Correction (SCOC) Awards</t>
  </si>
  <si>
    <t>State Commision of Correction (SCOC) Disbursements</t>
  </si>
  <si>
    <t>State University Construction Fund (SUCF) Awards</t>
  </si>
  <si>
    <t>State University Construction Fund (SUCF) Disbursements</t>
  </si>
  <si>
    <t>State University of New York (SUNY) Awards</t>
  </si>
  <si>
    <t>State University of New York (SUNY) Disbursements</t>
  </si>
  <si>
    <t>Syracuse Regional Airport Authority (SRAA) Awards</t>
  </si>
  <si>
    <t>Syracuse Regional Airport Authority (SRAA) Disbursements</t>
  </si>
  <si>
    <t>United Nations Development Corporation (UNDC) Awards</t>
  </si>
  <si>
    <t>United Nations Development Corporation (UNDC) Disbursements</t>
  </si>
  <si>
    <t>Upper Mohawk Valley Water Authority (MVWA) Awards</t>
  </si>
  <si>
    <t>Upper Mohawk Valley Water Authority (MVWA) Disbursements</t>
  </si>
  <si>
    <t>Westchester County Health Care Corporation (WMC) Awards</t>
  </si>
  <si>
    <t>Westchester County Health Care Corporation (WMC) Disbursements</t>
  </si>
  <si>
    <t>Workers Compensation Board (WCB) Awards</t>
  </si>
  <si>
    <t>Workers Compensation Board (WCB) Disbursements</t>
  </si>
  <si>
    <t>Office of the State Comptroller (OSC) Disbursements</t>
  </si>
  <si>
    <t>Office of the State Comptroller (OSC) Awards</t>
  </si>
  <si>
    <t>Total Awards:</t>
  </si>
  <si>
    <t>Total Disbursements:</t>
  </si>
  <si>
    <t xml:space="preserve"> </t>
  </si>
  <si>
    <t>Trophy Point, LLC</t>
  </si>
  <si>
    <t>Lomma Construction Corp</t>
  </si>
  <si>
    <t>American Demolition &amp; Nuclear Decommissioning, Inc.</t>
  </si>
  <si>
    <t>Crossman Towing and Recovery</t>
  </si>
  <si>
    <t>Leslie Brooks d/b/a Freedom Mobility &amp; Consulting</t>
  </si>
  <si>
    <t>R&amp;R Partnership Enterprises Inc. d/b/a Hold That Scene</t>
  </si>
  <si>
    <t>Resilient Support Services Inc</t>
  </si>
  <si>
    <t>Tully Rinckey PLLC</t>
  </si>
  <si>
    <t>VIP Special Services</t>
  </si>
  <si>
    <t>Invictus Engineering, P.C.</t>
  </si>
  <si>
    <t>HEPCO, Inc</t>
  </si>
  <si>
    <t>3D Industrial Sales and Service, Inc.</t>
  </si>
  <si>
    <t>Bristol Enterprises, Inc.</t>
  </si>
  <si>
    <t xml:space="preserve">  </t>
  </si>
  <si>
    <t>Disburse- ments / Utilization</t>
  </si>
  <si>
    <t>Level Five Asscioates</t>
  </si>
  <si>
    <t>KayDev Technology, LLC</t>
  </si>
  <si>
    <t>Crowley Fabricating &amp; Machining Co., Inc.</t>
  </si>
  <si>
    <t>Glenn Read Enterprises, LLC d//b/a Allegra Marketing Print Mall</t>
  </si>
  <si>
    <t>TruView BSI, LLC</t>
  </si>
  <si>
    <t>EGA Home Inspection Incorporated</t>
  </si>
  <si>
    <t>R. Baker &amp; Son All Industrial Services Inc. of NJ</t>
  </si>
  <si>
    <t>DFB Construction LLC</t>
  </si>
  <si>
    <t>G&amp;J Leading Construction Inc.</t>
  </si>
  <si>
    <t>Academy Energy Group, LLC</t>
  </si>
  <si>
    <t>Submitted?</t>
  </si>
  <si>
    <t>Number of Agencies Not Reported:</t>
  </si>
  <si>
    <t>Acela Engineering Co PC</t>
  </si>
  <si>
    <t>Smith &amp; Smith Medical Supply LLC</t>
  </si>
  <si>
    <t>Mobile Nations, Inc.</t>
  </si>
  <si>
    <t>Vanguard Tech Group Inc.</t>
  </si>
  <si>
    <t>Totem Holdings Inc.</t>
  </si>
  <si>
    <t>Clark Air Conditioning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</si>
</sst>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#,###,##0;\(#,###,##0\)"/>
    <numFmt numFmtId="167" formatCode="&quot;$&quot;#,###,##0;\(&quot;$&quot;#,###,##0\)"/>
    <numFmt numFmtId="168" formatCode="#,##0.00%;\(#,##0.00%\)"/>
    <numFmt numFmtId="169" formatCode="#,##0\ \ \ ;[Red]\(#,##0\)\ \ ;\—\ \ \ "/>
    <numFmt numFmtId="170" formatCode="0.000%"/>
  </numFmts>
  <fonts count="6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b/>
      <sz val="9.85"/>
      <color indexed="8"/>
      <name val="Times New Roman"/>
      <family val="1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2"/>
      <name val="Times New Roman"/>
      <family val="1"/>
    </font>
    <font>
      <sz val="11"/>
      <color theme="1"/>
      <name val="Times New Roman"/>
      <family val="2"/>
    </font>
    <font>
      <sz val="12"/>
      <name val="SWISS"/>
    </font>
    <font>
      <b/>
      <sz val="14"/>
      <color indexed="8"/>
      <name val="SWISS"/>
    </font>
    <font>
      <sz val="10"/>
      <color indexed="0"/>
      <name val="Arial"/>
      <family val="2"/>
    </font>
    <font>
      <sz val="11"/>
      <name val="Calibri"/>
      <family val="2"/>
    </font>
    <font>
      <sz val="11"/>
      <name val="Times New Roman"/>
      <family val="1"/>
    </font>
    <font>
      <b/>
      <i/>
      <sz val="8"/>
      <color indexed="0"/>
      <name val="Arial"/>
      <family val="2"/>
    </font>
    <font>
      <b/>
      <sz val="10"/>
      <color indexed="0"/>
      <name val="Arial"/>
      <family val="2"/>
    </font>
    <font>
      <b/>
      <sz val="18"/>
      <color theme="3"/>
      <name val="Calibri Light"/>
      <family val="2"/>
      <scheme val="major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  <bgColor indexed="1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774">
    <xf numFmtId="0" fontId="0" fillId="0" borderId="0"/>
    <xf numFmtId="0" fontId="6" fillId="0" borderId="0"/>
    <xf numFmtId="0" fontId="8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10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20" applyNumberFormat="0" applyFill="0" applyAlignment="0" applyProtection="0"/>
    <xf numFmtId="0" fontId="14" fillId="0" borderId="21" applyNumberFormat="0" applyFill="0" applyAlignment="0" applyProtection="0"/>
    <xf numFmtId="0" fontId="15" fillId="0" borderId="22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23" applyNumberFormat="0" applyAlignment="0" applyProtection="0"/>
    <xf numFmtId="0" fontId="19" fillId="14" borderId="24" applyNumberFormat="0" applyAlignment="0" applyProtection="0"/>
    <xf numFmtId="0" fontId="20" fillId="14" borderId="23" applyNumberFormat="0" applyAlignment="0" applyProtection="0"/>
    <xf numFmtId="0" fontId="21" fillId="0" borderId="25" applyNumberFormat="0" applyFill="0" applyAlignment="0" applyProtection="0"/>
    <xf numFmtId="0" fontId="22" fillId="15" borderId="26" applyNumberFormat="0" applyAlignment="0" applyProtection="0"/>
    <xf numFmtId="0" fontId="4" fillId="0" borderId="0" applyNumberFormat="0" applyFill="0" applyBorder="0" applyAlignment="0" applyProtection="0"/>
    <xf numFmtId="0" fontId="9" fillId="16" borderId="27" applyNumberFormat="0" applyFont="0" applyAlignment="0" applyProtection="0"/>
    <xf numFmtId="0" fontId="23" fillId="0" borderId="0" applyNumberFormat="0" applyFill="0" applyBorder="0" applyAlignment="0" applyProtection="0"/>
    <xf numFmtId="0" fontId="1" fillId="0" borderId="28" applyNumberFormat="0" applyFill="0" applyAlignment="0" applyProtection="0"/>
    <xf numFmtId="0" fontId="2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24" fillId="40" borderId="0" applyNumberFormat="0" applyBorder="0" applyAlignment="0" applyProtection="0"/>
    <xf numFmtId="0" fontId="26" fillId="0" borderId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8" borderId="0" applyNumberFormat="0" applyBorder="0" applyAlignment="0" applyProtection="0"/>
    <xf numFmtId="0" fontId="33" fillId="42" borderId="0" applyNumberFormat="0" applyBorder="0" applyAlignment="0" applyProtection="0"/>
    <xf numFmtId="0" fontId="34" fillId="59" borderId="30" applyNumberFormat="0" applyAlignment="0" applyProtection="0"/>
    <xf numFmtId="0" fontId="31" fillId="60" borderId="31" applyNumberFormat="0" applyAlignment="0" applyProtection="0"/>
    <xf numFmtId="43" fontId="28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43" borderId="0" applyNumberFormat="0" applyBorder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0" fillId="46" borderId="30" applyNumberFormat="0" applyAlignment="0" applyProtection="0"/>
    <xf numFmtId="0" fontId="41" fillId="0" borderId="35" applyNumberFormat="0" applyFill="0" applyAlignment="0" applyProtection="0"/>
    <xf numFmtId="0" fontId="42" fillId="61" borderId="0" applyNumberFormat="0" applyBorder="0" applyAlignment="0" applyProtection="0"/>
    <xf numFmtId="0" fontId="6" fillId="0" borderId="0">
      <alignment vertical="top"/>
    </xf>
    <xf numFmtId="0" fontId="26" fillId="0" borderId="0"/>
    <xf numFmtId="0" fontId="26" fillId="0" borderId="0"/>
    <xf numFmtId="0" fontId="26" fillId="0" borderId="0"/>
    <xf numFmtId="0" fontId="25" fillId="0" borderId="0"/>
    <xf numFmtId="0" fontId="6" fillId="0" borderId="0">
      <alignment vertical="top"/>
    </xf>
    <xf numFmtId="0" fontId="45" fillId="0" borderId="0"/>
    <xf numFmtId="0" fontId="9" fillId="0" borderId="0"/>
    <xf numFmtId="0" fontId="25" fillId="0" borderId="0"/>
    <xf numFmtId="0" fontId="25" fillId="62" borderId="7" applyNumberFormat="0" applyFont="0" applyAlignment="0" applyProtection="0"/>
    <xf numFmtId="0" fontId="43" fillId="59" borderId="36" applyNumberFormat="0" applyAlignment="0" applyProtection="0"/>
    <xf numFmtId="0" fontId="44" fillId="0" borderId="0" applyNumberFormat="0" applyFill="0" applyBorder="0" applyAlignment="0" applyProtection="0"/>
    <xf numFmtId="0" fontId="30" fillId="0" borderId="37" applyNumberFormat="0" applyFill="0" applyAlignment="0" applyProtection="0"/>
    <xf numFmtId="0" fontId="29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4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7" fillId="63" borderId="0"/>
    <xf numFmtId="0" fontId="47" fillId="63" borderId="0"/>
    <xf numFmtId="0" fontId="47" fillId="63" borderId="0"/>
    <xf numFmtId="0" fontId="47" fillId="63" borderId="0"/>
    <xf numFmtId="0" fontId="47" fillId="63" borderId="0"/>
    <xf numFmtId="0" fontId="47" fillId="63" borderId="0"/>
    <xf numFmtId="0" fontId="48" fillId="64" borderId="38"/>
    <xf numFmtId="0" fontId="47" fillId="63" borderId="0"/>
    <xf numFmtId="166" fontId="49" fillId="0" borderId="0"/>
    <xf numFmtId="167" fontId="49" fillId="0" borderId="0"/>
    <xf numFmtId="168" fontId="49" fillId="0" borderId="0"/>
    <xf numFmtId="0" fontId="50" fillId="0" borderId="0"/>
    <xf numFmtId="0" fontId="27" fillId="0" borderId="0"/>
    <xf numFmtId="169" fontId="51" fillId="0" borderId="0" applyFill="0" applyBorder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7" fillId="63" borderId="0"/>
    <xf numFmtId="0" fontId="49" fillId="0" borderId="0"/>
    <xf numFmtId="0" fontId="52" fillId="0" borderId="0"/>
    <xf numFmtId="0" fontId="53" fillId="0" borderId="0"/>
    <xf numFmtId="0" fontId="25" fillId="0" borderId="0"/>
    <xf numFmtId="0" fontId="25" fillId="0" borderId="0"/>
    <xf numFmtId="0" fontId="6" fillId="0" borderId="0">
      <alignment vertical="top"/>
    </xf>
    <xf numFmtId="0" fontId="25" fillId="0" borderId="0"/>
    <xf numFmtId="44" fontId="26" fillId="0" borderId="0" applyFont="0" applyFill="0" applyBorder="0" applyAlignment="0" applyProtection="0"/>
    <xf numFmtId="0" fontId="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25" fillId="0" borderId="0"/>
    <xf numFmtId="0" fontId="26" fillId="0" borderId="0"/>
    <xf numFmtId="0" fontId="55" fillId="0" borderId="0"/>
    <xf numFmtId="0" fontId="9" fillId="0" borderId="0"/>
    <xf numFmtId="0" fontId="25" fillId="0" borderId="0"/>
    <xf numFmtId="0" fontId="6" fillId="0" borderId="0">
      <alignment vertical="top"/>
    </xf>
    <xf numFmtId="0" fontId="9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6" fillId="0" borderId="0">
      <alignment vertical="top"/>
    </xf>
    <xf numFmtId="0" fontId="9" fillId="0" borderId="0"/>
    <xf numFmtId="0" fontId="45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62" borderId="7" applyNumberFormat="0" applyFont="0" applyAlignment="0" applyProtection="0"/>
    <xf numFmtId="0" fontId="25" fillId="62" borderId="7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2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0" fontId="24" fillId="40" borderId="0" applyNumberFormat="0" applyBorder="0" applyAlignment="0" applyProtection="0"/>
    <xf numFmtId="0" fontId="9" fillId="39" borderId="0" applyNumberFormat="0" applyBorder="0" applyAlignment="0" applyProtection="0"/>
    <xf numFmtId="0" fontId="9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9" fillId="35" borderId="0" applyNumberFormat="0" applyBorder="0" applyAlignment="0" applyProtection="0"/>
    <xf numFmtId="0" fontId="9" fillId="34" borderId="0" applyNumberFormat="0" applyBorder="0" applyAlignment="0" applyProtection="0"/>
    <xf numFmtId="0" fontId="24" fillId="33" borderId="0" applyNumberFormat="0" applyBorder="0" applyAlignment="0" applyProtection="0"/>
    <xf numFmtId="0" fontId="24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24" fillId="17" borderId="0" applyNumberFormat="0" applyBorder="0" applyAlignment="0" applyProtection="0"/>
    <xf numFmtId="0" fontId="22" fillId="15" borderId="26" applyNumberFormat="0" applyAlignment="0" applyProtection="0"/>
    <xf numFmtId="0" fontId="20" fillId="14" borderId="23" applyNumberFormat="0" applyAlignment="0" applyProtection="0"/>
    <xf numFmtId="0" fontId="19" fillId="14" borderId="24" applyNumberFormat="0" applyAlignment="0" applyProtection="0"/>
    <xf numFmtId="0" fontId="18" fillId="13" borderId="23" applyNumberFormat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1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5" fillId="0" borderId="0"/>
    <xf numFmtId="0" fontId="25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9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6" fillId="0" borderId="0"/>
    <xf numFmtId="0" fontId="26" fillId="0" borderId="0"/>
    <xf numFmtId="0" fontId="6" fillId="0" borderId="0">
      <alignment vertical="top"/>
    </xf>
    <xf numFmtId="0" fontId="45" fillId="0" borderId="0"/>
    <xf numFmtId="0" fontId="27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26" fillId="0" borderId="0"/>
    <xf numFmtId="0" fontId="25" fillId="62" borderId="7" applyNumberFormat="0" applyFont="0" applyAlignment="0" applyProtection="0"/>
    <xf numFmtId="0" fontId="40" fillId="46" borderId="30" applyNumberFormat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34" fillId="59" borderId="30" applyNumberFormat="0" applyAlignment="0" applyProtection="0"/>
    <xf numFmtId="0" fontId="25" fillId="62" borderId="7" applyNumberFormat="0" applyFont="0" applyAlignment="0" applyProtection="0"/>
    <xf numFmtId="0" fontId="25" fillId="62" borderId="7" applyNumberFormat="0" applyFont="0" applyAlignment="0" applyProtection="0"/>
    <xf numFmtId="0" fontId="43" fillId="59" borderId="36" applyNumberFormat="0" applyAlignment="0" applyProtection="0"/>
    <xf numFmtId="0" fontId="30" fillId="0" borderId="3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27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9" fillId="0" borderId="0"/>
    <xf numFmtId="0" fontId="9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2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25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5" fillId="0" borderId="0"/>
    <xf numFmtId="0" fontId="25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9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25" fillId="62" borderId="7" applyNumberFormat="0" applyFont="0" applyAlignment="0" applyProtection="0"/>
    <xf numFmtId="0" fontId="25" fillId="62" borderId="7" applyNumberFormat="0" applyFont="0" applyAlignment="0" applyProtection="0"/>
    <xf numFmtId="0" fontId="25" fillId="62" borderId="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27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2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27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2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27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25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2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27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2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27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2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27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2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27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57" fillId="0" borderId="0"/>
  </cellStyleXfs>
  <cellXfs count="412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0" fillId="0" borderId="1" xfId="0" applyBorder="1"/>
    <xf numFmtId="10" fontId="0" fillId="0" borderId="1" xfId="0" applyNumberFormat="1" applyBorder="1"/>
    <xf numFmtId="164" fontId="1" fillId="4" borderId="1" xfId="0" applyNumberFormat="1" applyFont="1" applyFill="1" applyBorder="1"/>
    <xf numFmtId="0" fontId="1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10" fontId="0" fillId="5" borderId="1" xfId="0" applyNumberFormat="1" applyFill="1" applyBorder="1"/>
    <xf numFmtId="10" fontId="1" fillId="4" borderId="1" xfId="0" applyNumberFormat="1" applyFont="1" applyFill="1" applyBorder="1"/>
    <xf numFmtId="164" fontId="0" fillId="5" borderId="1" xfId="0" applyNumberFormat="1" applyFill="1" applyBorder="1"/>
    <xf numFmtId="0" fontId="0" fillId="0" borderId="0" xfId="0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0" fontId="1" fillId="4" borderId="1" xfId="0" applyNumberFormat="1" applyFont="1" applyFill="1" applyBorder="1" applyAlignment="1"/>
    <xf numFmtId="2" fontId="2" fillId="0" borderId="1" xfId="0" applyNumberFormat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Border="1"/>
    <xf numFmtId="2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 wrapText="1"/>
    </xf>
    <xf numFmtId="0" fontId="1" fillId="4" borderId="1" xfId="0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164" fontId="0" fillId="0" borderId="0" xfId="0" applyNumberFormat="1" applyFill="1" applyBorder="1"/>
    <xf numFmtId="0" fontId="0" fillId="4" borderId="0" xfId="0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NumberFormat="1" applyFont="1" applyBorder="1" applyAlignment="1">
      <alignment horizontal="right" wrapText="1"/>
    </xf>
    <xf numFmtId="0" fontId="0" fillId="0" borderId="0" xfId="0" applyNumberFormat="1" applyBorder="1"/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1" fillId="4" borderId="1" xfId="0" applyFont="1" applyFill="1" applyBorder="1" applyAlignment="1"/>
    <xf numFmtId="7" fontId="2" fillId="4" borderId="0" xfId="3" applyNumberFormat="1" applyFont="1" applyFill="1" applyBorder="1" applyAlignment="1">
      <alignment horizontal="center" vertical="center" wrapText="1"/>
    </xf>
    <xf numFmtId="7" fontId="2" fillId="0" borderId="1" xfId="3" applyNumberFormat="1" applyFont="1" applyFill="1" applyBorder="1" applyAlignment="1">
      <alignment horizontal="right" wrapText="1"/>
    </xf>
    <xf numFmtId="7" fontId="2" fillId="0" borderId="1" xfId="3" applyNumberFormat="1" applyFont="1" applyFill="1" applyBorder="1" applyAlignment="1">
      <alignment wrapText="1"/>
    </xf>
    <xf numFmtId="7" fontId="1" fillId="4" borderId="1" xfId="3" applyNumberFormat="1" applyFont="1" applyFill="1" applyBorder="1"/>
    <xf numFmtId="7" fontId="0" fillId="0" borderId="0" xfId="3" applyNumberFormat="1" applyFont="1" applyBorder="1"/>
    <xf numFmtId="164" fontId="0" fillId="3" borderId="6" xfId="0" applyNumberFormat="1" applyFill="1" applyBorder="1" applyAlignment="1">
      <alignment vertical="center" wrapText="1"/>
    </xf>
    <xf numFmtId="164" fontId="0" fillId="9" borderId="6" xfId="0" applyNumberFormat="1" applyFill="1" applyBorder="1" applyAlignment="1">
      <alignment vertical="center" wrapText="1"/>
    </xf>
    <xf numFmtId="164" fontId="0" fillId="3" borderId="17" xfId="0" applyNumberFormat="1" applyFill="1" applyBorder="1" applyAlignment="1">
      <alignment vertical="center" wrapText="1"/>
    </xf>
    <xf numFmtId="164" fontId="0" fillId="9" borderId="17" xfId="0" applyNumberFormat="1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 wrapText="1"/>
    </xf>
    <xf numFmtId="164" fontId="0" fillId="9" borderId="9" xfId="0" applyNumberFormat="1" applyFill="1" applyBorder="1" applyAlignment="1">
      <alignment vertical="center" wrapText="1"/>
    </xf>
    <xf numFmtId="164" fontId="10" fillId="0" borderId="0" xfId="0" applyNumberFormat="1" applyFont="1" applyAlignment="1">
      <alignment vertical="center"/>
    </xf>
    <xf numFmtId="164" fontId="1" fillId="4" borderId="1" xfId="3" applyNumberFormat="1" applyFont="1" applyFill="1" applyBorder="1"/>
    <xf numFmtId="0" fontId="3" fillId="0" borderId="19" xfId="0" applyFont="1" applyFill="1" applyBorder="1" applyAlignment="1">
      <alignment horizontal="center" vertical="center"/>
    </xf>
    <xf numFmtId="0" fontId="0" fillId="0" borderId="19" xfId="0" applyNumberFormat="1" applyFont="1" applyBorder="1" applyAlignment="1">
      <alignment horizontal="center"/>
    </xf>
    <xf numFmtId="0" fontId="3" fillId="0" borderId="19" xfId="0" applyFont="1" applyFill="1" applyBorder="1"/>
    <xf numFmtId="0" fontId="3" fillId="0" borderId="19" xfId="2" applyFont="1" applyFill="1" applyBorder="1" applyAlignment="1">
      <alignment horizontal="left"/>
    </xf>
    <xf numFmtId="0" fontId="0" fillId="0" borderId="0" xfId="0" applyBorder="1"/>
    <xf numFmtId="0" fontId="0" fillId="0" borderId="19" xfId="0" applyBorder="1" applyAlignment="1">
      <alignment horizontal="left" wrapText="1"/>
    </xf>
    <xf numFmtId="0" fontId="2" fillId="0" borderId="19" xfId="0" applyFont="1" applyFill="1" applyBorder="1" applyAlignment="1"/>
    <xf numFmtId="0" fontId="2" fillId="0" borderId="19" xfId="0" applyFont="1" applyFill="1" applyBorder="1" applyAlignment="1">
      <alignment wrapText="1"/>
    </xf>
    <xf numFmtId="0" fontId="2" fillId="0" borderId="19" xfId="0" applyNumberFormat="1" applyFont="1" applyFill="1" applyBorder="1" applyAlignment="1">
      <alignment horizontal="center" wrapText="1"/>
    </xf>
    <xf numFmtId="0" fontId="2" fillId="0" borderId="19" xfId="0" applyNumberFormat="1" applyFont="1" applyFill="1" applyBorder="1" applyAlignment="1">
      <alignment horizontal="right" wrapText="1"/>
    </xf>
    <xf numFmtId="7" fontId="2" fillId="0" borderId="19" xfId="3" applyNumberFormat="1" applyFont="1" applyFill="1" applyBorder="1" applyAlignment="1">
      <alignment horizontal="right" wrapText="1"/>
    </xf>
    <xf numFmtId="7" fontId="2" fillId="0" borderId="19" xfId="3" applyNumberFormat="1" applyFont="1" applyFill="1" applyBorder="1" applyAlignment="1">
      <alignment wrapText="1"/>
    </xf>
    <xf numFmtId="2" fontId="2" fillId="0" borderId="19" xfId="0" applyNumberFormat="1" applyFont="1" applyFill="1" applyBorder="1" applyAlignment="1">
      <alignment horizontal="left"/>
    </xf>
    <xf numFmtId="2" fontId="2" fillId="0" borderId="19" xfId="0" applyNumberFormat="1" applyFont="1" applyFill="1" applyBorder="1" applyAlignment="1">
      <alignment horizontal="left" wrapText="1"/>
    </xf>
    <xf numFmtId="0" fontId="5" fillId="0" borderId="19" xfId="0" applyNumberFormat="1" applyFont="1" applyFill="1" applyBorder="1" applyAlignment="1">
      <alignment horizontal="center"/>
    </xf>
    <xf numFmtId="2" fontId="3" fillId="0" borderId="41" xfId="0" applyNumberFormat="1" applyFont="1" applyFill="1" applyBorder="1" applyAlignment="1">
      <alignment horizontal="left"/>
    </xf>
    <xf numFmtId="1" fontId="3" fillId="0" borderId="19" xfId="0" applyNumberFormat="1" applyFont="1" applyFill="1" applyBorder="1" applyAlignment="1">
      <alignment horizontal="center" vertical="center"/>
    </xf>
    <xf numFmtId="0" fontId="0" fillId="7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center" wrapText="1"/>
    </xf>
    <xf numFmtId="10" fontId="3" fillId="2" borderId="19" xfId="4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19" xfId="0" applyNumberFormat="1" applyFont="1" applyFill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left"/>
    </xf>
    <xf numFmtId="0" fontId="3" fillId="0" borderId="41" xfId="0" applyFont="1" applyFill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8" xfId="0" applyNumberFormat="1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2" fontId="3" fillId="0" borderId="19" xfId="0" applyNumberFormat="1" applyFont="1" applyFill="1" applyBorder="1" applyAlignment="1">
      <alignment horizontal="left"/>
    </xf>
    <xf numFmtId="2" fontId="3" fillId="0" borderId="8" xfId="0" applyNumberFormat="1" applyFont="1" applyFill="1" applyBorder="1" applyAlignment="1">
      <alignment horizontal="left"/>
    </xf>
    <xf numFmtId="0" fontId="3" fillId="0" borderId="2" xfId="0" applyNumberFormat="1" applyFont="1" applyBorder="1" applyAlignment="1">
      <alignment horizontal="left"/>
    </xf>
    <xf numFmtId="0" fontId="3" fillId="0" borderId="19" xfId="0" applyNumberFormat="1" applyFont="1" applyBorder="1" applyAlignment="1">
      <alignment horizontal="left"/>
    </xf>
    <xf numFmtId="0" fontId="3" fillId="0" borderId="41" xfId="0" applyNumberFormat="1" applyFont="1" applyBorder="1" applyAlignment="1">
      <alignment horizontal="left"/>
    </xf>
    <xf numFmtId="0" fontId="3" fillId="0" borderId="41" xfId="0" applyNumberFormat="1" applyFont="1" applyFill="1" applyBorder="1" applyAlignment="1">
      <alignment horizontal="left"/>
    </xf>
    <xf numFmtId="0" fontId="3" fillId="0" borderId="41" xfId="0" applyNumberFormat="1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2" fontId="3" fillId="0" borderId="19" xfId="0" applyNumberFormat="1" applyFont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10" fontId="3" fillId="0" borderId="2" xfId="0" applyNumberFormat="1" applyFont="1" applyBorder="1" applyAlignment="1">
      <alignment horizontal="right"/>
    </xf>
    <xf numFmtId="10" fontId="3" fillId="0" borderId="19" xfId="0" applyNumberFormat="1" applyFont="1" applyBorder="1" applyAlignment="1">
      <alignment horizontal="right"/>
    </xf>
    <xf numFmtId="10" fontId="3" fillId="0" borderId="19" xfId="4" applyNumberFormat="1" applyFont="1" applyBorder="1" applyAlignment="1">
      <alignment horizontal="right"/>
    </xf>
    <xf numFmtId="10" fontId="3" fillId="0" borderId="19" xfId="0" applyNumberFormat="1" applyFont="1" applyFill="1" applyBorder="1" applyAlignment="1">
      <alignment horizontal="right"/>
    </xf>
    <xf numFmtId="10" fontId="3" fillId="0" borderId="19" xfId="4" applyNumberFormat="1" applyFont="1" applyFill="1" applyBorder="1" applyAlignment="1">
      <alignment horizontal="right"/>
    </xf>
    <xf numFmtId="10" fontId="3" fillId="0" borderId="8" xfId="0" applyNumberFormat="1" applyFont="1" applyBorder="1" applyAlignment="1">
      <alignment horizontal="right"/>
    </xf>
    <xf numFmtId="10" fontId="3" fillId="0" borderId="4" xfId="0" applyNumberFormat="1" applyFont="1" applyBorder="1" applyAlignment="1">
      <alignment horizontal="right"/>
    </xf>
    <xf numFmtId="44" fontId="3" fillId="0" borderId="19" xfId="3" applyFont="1" applyFill="1" applyBorder="1"/>
    <xf numFmtId="44" fontId="0" fillId="0" borderId="19" xfId="3" applyFont="1" applyBorder="1"/>
    <xf numFmtId="0" fontId="3" fillId="0" borderId="2" xfId="0" applyNumberFormat="1" applyFont="1" applyBorder="1" applyAlignment="1">
      <alignment horizontal="center" vertical="center"/>
    </xf>
    <xf numFmtId="170" fontId="0" fillId="0" borderId="0" xfId="0" applyNumberFormat="1" applyFill="1" applyBorder="1"/>
    <xf numFmtId="0" fontId="0" fillId="0" borderId="1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44" fontId="3" fillId="0" borderId="19" xfId="3" applyFont="1" applyBorder="1" applyAlignment="1">
      <alignment horizontal="right"/>
    </xf>
    <xf numFmtId="44" fontId="3" fillId="0" borderId="19" xfId="3" applyFont="1" applyFill="1" applyBorder="1" applyAlignment="1"/>
    <xf numFmtId="2" fontId="3" fillId="0" borderId="1" xfId="0" applyNumberFormat="1" applyFont="1" applyFill="1" applyBorder="1" applyAlignment="1">
      <alignment horizontal="left"/>
    </xf>
    <xf numFmtId="10" fontId="3" fillId="0" borderId="19" xfId="0" applyNumberFormat="1" applyFont="1" applyFill="1" applyBorder="1" applyAlignment="1">
      <alignment horizontal="right" vertical="center"/>
    </xf>
    <xf numFmtId="2" fontId="3" fillId="0" borderId="1" xfId="0" applyNumberFormat="1" applyFont="1" applyBorder="1" applyAlignment="1">
      <alignment horizontal="left"/>
    </xf>
    <xf numFmtId="2" fontId="3" fillId="0" borderId="18" xfId="0" applyNumberFormat="1" applyFont="1" applyBorder="1" applyAlignment="1">
      <alignment horizontal="left"/>
    </xf>
    <xf numFmtId="0" fontId="3" fillId="0" borderId="19" xfId="0" applyFont="1" applyFill="1" applyBorder="1" applyAlignment="1">
      <alignment horizontal="left" vertical="top"/>
    </xf>
    <xf numFmtId="2" fontId="3" fillId="7" borderId="1" xfId="0" applyNumberFormat="1" applyFont="1" applyFill="1" applyBorder="1" applyAlignment="1">
      <alignment horizontal="left"/>
    </xf>
    <xf numFmtId="0" fontId="3" fillId="0" borderId="19" xfId="2" applyFont="1" applyFill="1" applyBorder="1" applyAlignment="1" applyProtection="1">
      <alignment horizontal="center" vertical="center"/>
    </xf>
    <xf numFmtId="2" fontId="3" fillId="0" borderId="41" xfId="0" applyNumberFormat="1" applyFont="1" applyBorder="1" applyAlignment="1">
      <alignment horizontal="left"/>
    </xf>
    <xf numFmtId="164" fontId="3" fillId="0" borderId="19" xfId="0" applyNumberFormat="1" applyFont="1" applyFill="1" applyBorder="1" applyAlignment="1">
      <alignment horizontal="left"/>
    </xf>
    <xf numFmtId="2" fontId="3" fillId="0" borderId="8" xfId="0" applyNumberFormat="1" applyFont="1" applyBorder="1" applyAlignment="1">
      <alignment horizontal="left"/>
    </xf>
    <xf numFmtId="0" fontId="0" fillId="0" borderId="19" xfId="0" applyBorder="1" applyAlignment="1">
      <alignment wrapText="1"/>
    </xf>
    <xf numFmtId="0" fontId="2" fillId="6" borderId="19" xfId="0" applyFont="1" applyFill="1" applyBorder="1" applyAlignment="1">
      <alignment horizontal="center" vertical="center" wrapText="1"/>
    </xf>
    <xf numFmtId="10" fontId="2" fillId="6" borderId="19" xfId="0" applyNumberFormat="1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vertical="center" wrapText="1"/>
    </xf>
    <xf numFmtId="0" fontId="3" fillId="0" borderId="19" xfId="0" applyNumberFormat="1" applyFont="1" applyFill="1" applyBorder="1" applyAlignment="1">
      <alignment horizontal="left" wrapText="1"/>
    </xf>
    <xf numFmtId="10" fontId="0" fillId="0" borderId="19" xfId="0" applyNumberFormat="1" applyBorder="1" applyAlignment="1">
      <alignment horizontal="right" wrapText="1"/>
    </xf>
    <xf numFmtId="0" fontId="2" fillId="6" borderId="0" xfId="0" applyFont="1" applyFill="1" applyBorder="1" applyAlignment="1">
      <alignment horizontal="left" vertical="center" wrapText="1"/>
    </xf>
    <xf numFmtId="44" fontId="3" fillId="2" borderId="19" xfId="3" applyFont="1" applyFill="1" applyBorder="1" applyAlignment="1">
      <alignment horizontal="center" vertical="center" wrapText="1"/>
    </xf>
    <xf numFmtId="44" fontId="3" fillId="0" borderId="2" xfId="3" applyFont="1" applyBorder="1" applyAlignment="1">
      <alignment horizontal="right"/>
    </xf>
    <xf numFmtId="44" fontId="3" fillId="0" borderId="19" xfId="3" applyFont="1" applyFill="1" applyBorder="1" applyAlignment="1">
      <alignment horizontal="right"/>
    </xf>
    <xf numFmtId="44" fontId="3" fillId="0" borderId="19" xfId="3" applyFont="1" applyFill="1" applyBorder="1" applyAlignment="1">
      <alignment horizontal="right" vertical="center"/>
    </xf>
    <xf numFmtId="44" fontId="3" fillId="0" borderId="42" xfId="3" applyFont="1" applyBorder="1" applyAlignment="1">
      <alignment horizontal="right"/>
    </xf>
    <xf numFmtId="44" fontId="3" fillId="0" borderId="8" xfId="3" applyFont="1" applyBorder="1" applyAlignment="1">
      <alignment horizontal="right"/>
    </xf>
    <xf numFmtId="44" fontId="3" fillId="0" borderId="0" xfId="3" applyFont="1" applyBorder="1" applyAlignment="1">
      <alignment horizontal="right"/>
    </xf>
    <xf numFmtId="44" fontId="3" fillId="0" borderId="4" xfId="3" applyFont="1" applyBorder="1" applyAlignment="1">
      <alignment horizontal="right"/>
    </xf>
    <xf numFmtId="44" fontId="0" fillId="0" borderId="19" xfId="3" applyFont="1" applyBorder="1" applyAlignment="1">
      <alignment horizontal="center"/>
    </xf>
    <xf numFmtId="44" fontId="0" fillId="0" borderId="19" xfId="3" applyFont="1" applyFill="1" applyBorder="1" applyAlignment="1">
      <alignment horizontal="right" vertical="center" wrapText="1"/>
    </xf>
    <xf numFmtId="44" fontId="2" fillId="6" borderId="19" xfId="3" applyFont="1" applyFill="1" applyBorder="1" applyAlignment="1">
      <alignment horizontal="center" vertical="center" wrapText="1"/>
    </xf>
    <xf numFmtId="44" fontId="0" fillId="0" borderId="19" xfId="3" applyFont="1" applyBorder="1" applyAlignment="1">
      <alignment horizontal="right" wrapText="1"/>
    </xf>
    <xf numFmtId="44" fontId="0" fillId="0" borderId="19" xfId="3" applyFont="1" applyBorder="1" applyAlignment="1">
      <alignment wrapText="1"/>
    </xf>
    <xf numFmtId="0" fontId="3" fillId="0" borderId="19" xfId="0" applyFont="1" applyFill="1" applyBorder="1" applyAlignment="1"/>
    <xf numFmtId="0" fontId="3" fillId="0" borderId="19" xfId="0" applyNumberFormat="1" applyFont="1" applyFill="1" applyBorder="1"/>
    <xf numFmtId="10" fontId="3" fillId="0" borderId="19" xfId="0" applyNumberFormat="1" applyFont="1" applyFill="1" applyBorder="1"/>
    <xf numFmtId="0" fontId="3" fillId="0" borderId="19" xfId="0" applyNumberFormat="1" applyFont="1" applyFill="1" applyBorder="1" applyAlignment="1"/>
    <xf numFmtId="10" fontId="3" fillId="0" borderId="19" xfId="4" applyNumberFormat="1" applyFont="1" applyFill="1" applyBorder="1" applyAlignment="1"/>
    <xf numFmtId="0" fontId="3" fillId="0" borderId="19" xfId="0" applyFont="1" applyFill="1" applyBorder="1" applyAlignment="1">
      <alignment horizontal="center" vertical="center" wrapText="1"/>
    </xf>
    <xf numFmtId="44" fontId="3" fillId="0" borderId="19" xfId="3" applyFont="1" applyFill="1" applyBorder="1" applyAlignment="1">
      <alignment horizontal="center" vertical="center" wrapText="1"/>
    </xf>
    <xf numFmtId="10" fontId="0" fillId="0" borderId="19" xfId="0" applyNumberFormat="1" applyFont="1" applyFill="1" applyBorder="1" applyAlignment="1">
      <alignment vertical="center" wrapText="1"/>
    </xf>
    <xf numFmtId="44" fontId="3" fillId="8" borderId="19" xfId="3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9" xfId="0" applyBorder="1" applyAlignment="1">
      <alignment vertical="top" wrapText="1"/>
    </xf>
    <xf numFmtId="9" fontId="0" fillId="0" borderId="19" xfId="0" applyNumberFormat="1" applyBorder="1" applyAlignment="1">
      <alignment horizontal="left" wrapText="1"/>
    </xf>
    <xf numFmtId="10" fontId="0" fillId="0" borderId="19" xfId="0" applyNumberFormat="1" applyBorder="1" applyAlignment="1">
      <alignment wrapText="1"/>
    </xf>
    <xf numFmtId="0" fontId="0" fillId="0" borderId="8" xfId="0" applyBorder="1" applyAlignment="1">
      <alignment wrapText="1"/>
    </xf>
    <xf numFmtId="44" fontId="0" fillId="0" borderId="8" xfId="3" applyFont="1" applyBorder="1" applyAlignment="1">
      <alignment wrapText="1"/>
    </xf>
    <xf numFmtId="10" fontId="0" fillId="0" borderId="8" xfId="0" applyNumberForma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9" xfId="0" applyFill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19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44" fontId="0" fillId="0" borderId="0" xfId="3" applyFont="1" applyAlignment="1">
      <alignment wrapText="1"/>
    </xf>
    <xf numFmtId="10" fontId="0" fillId="0" borderId="0" xfId="0" applyNumberFormat="1" applyAlignment="1">
      <alignment horizontal="right" wrapText="1"/>
    </xf>
    <xf numFmtId="44" fontId="0" fillId="8" borderId="19" xfId="3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wrapText="1"/>
    </xf>
    <xf numFmtId="0" fontId="3" fillId="0" borderId="19" xfId="0" applyFont="1" applyFill="1" applyBorder="1" applyAlignment="1">
      <alignment horizontal="left" wrapText="1"/>
    </xf>
    <xf numFmtId="0" fontId="0" fillId="0" borderId="19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left" wrapText="1"/>
    </xf>
    <xf numFmtId="44" fontId="0" fillId="0" borderId="19" xfId="3" applyFont="1" applyFill="1" applyBorder="1" applyAlignment="1">
      <alignment wrapText="1"/>
    </xf>
    <xf numFmtId="0" fontId="3" fillId="0" borderId="2" xfId="0" applyFont="1" applyFill="1" applyBorder="1" applyAlignment="1"/>
    <xf numFmtId="44" fontId="3" fillId="0" borderId="2" xfId="3" applyFont="1" applyFill="1" applyBorder="1" applyAlignment="1"/>
    <xf numFmtId="2" fontId="3" fillId="0" borderId="2" xfId="0" applyNumberFormat="1" applyFont="1" applyBorder="1" applyAlignment="1">
      <alignment horizontal="left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4" fontId="0" fillId="0" borderId="19" xfId="3" applyFont="1" applyFill="1" applyBorder="1" applyAlignment="1">
      <alignment horizontal="center" vertical="center" wrapText="1"/>
    </xf>
    <xf numFmtId="44" fontId="0" fillId="0" borderId="19" xfId="3" applyFont="1" applyBorder="1" applyAlignment="1"/>
    <xf numFmtId="0" fontId="3" fillId="0" borderId="0" xfId="0" applyNumberFormat="1" applyFont="1" applyFill="1" applyBorder="1" applyAlignment="1">
      <alignment horizontal="center" vertical="center"/>
    </xf>
    <xf numFmtId="0" fontId="3" fillId="0" borderId="19" xfId="181" applyFont="1" applyFill="1" applyBorder="1" applyAlignment="1">
      <alignment horizontal="left"/>
    </xf>
    <xf numFmtId="10" fontId="3" fillId="0" borderId="19" xfId="0" applyNumberFormat="1" applyFont="1" applyFill="1" applyBorder="1" applyAlignment="1"/>
    <xf numFmtId="0" fontId="0" fillId="7" borderId="19" xfId="0" applyFont="1" applyFill="1" applyBorder="1" applyAlignment="1">
      <alignment vertical="center" wrapText="1"/>
    </xf>
    <xf numFmtId="0" fontId="0" fillId="7" borderId="19" xfId="0" applyFont="1" applyFill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3" fillId="7" borderId="0" xfId="0" applyNumberFormat="1" applyFont="1" applyFill="1" applyBorder="1" applyAlignment="1">
      <alignment horizontal="left"/>
    </xf>
    <xf numFmtId="0" fontId="0" fillId="0" borderId="0" xfId="0" applyBorder="1"/>
    <xf numFmtId="0" fontId="0" fillId="0" borderId="19" xfId="0" applyFill="1" applyBorder="1" applyAlignment="1">
      <alignment horizontal="center"/>
    </xf>
    <xf numFmtId="0" fontId="2" fillId="0" borderId="19" xfId="0" applyFont="1" applyBorder="1"/>
    <xf numFmtId="0" fontId="2" fillId="0" borderId="0" xfId="0" applyFont="1" applyBorder="1"/>
    <xf numFmtId="0" fontId="0" fillId="7" borderId="0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left"/>
    </xf>
    <xf numFmtId="0" fontId="2" fillId="0" borderId="8" xfId="0" applyNumberFormat="1" applyFont="1" applyFill="1" applyBorder="1" applyAlignment="1">
      <alignment horizontal="center" wrapText="1"/>
    </xf>
    <xf numFmtId="0" fontId="2" fillId="0" borderId="8" xfId="0" applyNumberFormat="1" applyFont="1" applyFill="1" applyBorder="1" applyAlignment="1">
      <alignment horizontal="right" wrapText="1"/>
    </xf>
    <xf numFmtId="7" fontId="2" fillId="0" borderId="8" xfId="3" applyNumberFormat="1" applyFont="1" applyFill="1" applyBorder="1" applyAlignment="1">
      <alignment horizontal="right" wrapText="1"/>
    </xf>
    <xf numFmtId="7" fontId="2" fillId="0" borderId="8" xfId="3" applyNumberFormat="1" applyFont="1" applyFill="1" applyBorder="1" applyAlignment="1">
      <alignment wrapText="1"/>
    </xf>
    <xf numFmtId="0" fontId="0" fillId="0" borderId="2" xfId="0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left" wrapText="1"/>
    </xf>
    <xf numFmtId="0" fontId="5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right" wrapText="1"/>
    </xf>
    <xf numFmtId="7" fontId="2" fillId="0" borderId="2" xfId="3" applyNumberFormat="1" applyFont="1" applyFill="1" applyBorder="1" applyAlignment="1">
      <alignment horizontal="right" wrapText="1"/>
    </xf>
    <xf numFmtId="7" fontId="2" fillId="0" borderId="2" xfId="3" applyNumberFormat="1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Border="1"/>
    <xf numFmtId="44" fontId="3" fillId="0" borderId="0" xfId="3" applyFont="1" applyBorder="1" applyAlignment="1">
      <alignment horizontal="left"/>
    </xf>
    <xf numFmtId="0" fontId="0" fillId="0" borderId="0" xfId="0" applyFont="1" applyAlignment="1">
      <alignment horizontal="center"/>
    </xf>
    <xf numFmtId="0" fontId="3" fillId="7" borderId="19" xfId="0" applyFont="1" applyFill="1" applyBorder="1" applyAlignment="1">
      <alignment horizontal="left" vertical="center"/>
    </xf>
    <xf numFmtId="7" fontId="2" fillId="0" borderId="0" xfId="3" applyNumberFormat="1" applyFont="1" applyBorder="1" applyAlignment="1">
      <alignment horizontal="center" wrapText="1"/>
    </xf>
    <xf numFmtId="2" fontId="3" fillId="2" borderId="19" xfId="0" applyNumberFormat="1" applyFont="1" applyFill="1" applyBorder="1" applyAlignment="1">
      <alignment horizontal="left" vertical="center" wrapText="1"/>
    </xf>
    <xf numFmtId="10" fontId="0" fillId="0" borderId="19" xfId="0" applyNumberFormat="1" applyFont="1" applyFill="1" applyBorder="1" applyAlignment="1">
      <alignment horizontal="right" vertical="center" wrapText="1"/>
    </xf>
    <xf numFmtId="0" fontId="3" fillId="0" borderId="19" xfId="181" applyFont="1" applyFill="1" applyBorder="1" applyAlignment="1"/>
    <xf numFmtId="0" fontId="0" fillId="0" borderId="19" xfId="0" applyFont="1" applyFill="1" applyBorder="1" applyAlignment="1"/>
    <xf numFmtId="0" fontId="0" fillId="0" borderId="19" xfId="0" applyFont="1" applyFill="1" applyBorder="1" applyAlignment="1">
      <alignment horizontal="left" vertical="center"/>
    </xf>
    <xf numFmtId="164" fontId="3" fillId="0" borderId="19" xfId="0" applyNumberFormat="1" applyFont="1" applyFill="1" applyBorder="1" applyAlignment="1"/>
    <xf numFmtId="0" fontId="0" fillId="0" borderId="19" xfId="0" applyFont="1" applyBorder="1"/>
    <xf numFmtId="44" fontId="0" fillId="0" borderId="19" xfId="3" applyFont="1" applyFill="1" applyBorder="1" applyAlignment="1">
      <alignment horizontal="left" vertical="center"/>
    </xf>
    <xf numFmtId="44" fontId="0" fillId="0" borderId="19" xfId="3" applyFont="1" applyFill="1" applyBorder="1"/>
    <xf numFmtId="1" fontId="3" fillId="2" borderId="19" xfId="0" applyNumberFormat="1" applyFont="1" applyFill="1" applyBorder="1" applyAlignment="1">
      <alignment horizontal="center" vertical="center" wrapText="1"/>
    </xf>
    <xf numFmtId="44" fontId="3" fillId="2" borderId="19" xfId="3" applyFont="1" applyFill="1" applyBorder="1" applyAlignment="1">
      <alignment horizontal="right" vertical="center" wrapText="1"/>
    </xf>
    <xf numFmtId="0" fontId="0" fillId="0" borderId="19" xfId="0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/>
    </xf>
    <xf numFmtId="44" fontId="0" fillId="0" borderId="19" xfId="3" applyFont="1" applyFill="1" applyBorder="1" applyAlignment="1"/>
    <xf numFmtId="44" fontId="0" fillId="0" borderId="19" xfId="3" applyFont="1" applyFill="1" applyBorder="1" applyAlignment="1">
      <alignment horizontal="center"/>
    </xf>
    <xf numFmtId="0" fontId="0" fillId="0" borderId="19" xfId="0" applyNumberFormat="1" applyFont="1" applyFill="1" applyBorder="1" applyAlignment="1">
      <alignment horizontal="left" vertical="center" wrapText="1"/>
    </xf>
    <xf numFmtId="0" fontId="3" fillId="0" borderId="19" xfId="0" applyNumberFormat="1" applyFont="1" applyFill="1" applyBorder="1" applyAlignment="1">
      <alignment horizontal="center" vertical="top"/>
    </xf>
    <xf numFmtId="0" fontId="0" fillId="0" borderId="19" xfId="0" applyFont="1" applyFill="1" applyBorder="1"/>
    <xf numFmtId="0" fontId="0" fillId="0" borderId="19" xfId="0" applyFont="1" applyFill="1" applyBorder="1" applyAlignment="1">
      <alignment horizontal="center"/>
    </xf>
    <xf numFmtId="44" fontId="3" fillId="0" borderId="19" xfId="3" applyFont="1" applyFill="1" applyBorder="1" applyAlignment="1">
      <alignment horizontal="right" vertical="top"/>
    </xf>
    <xf numFmtId="0" fontId="0" fillId="0" borderId="19" xfId="0" applyNumberFormat="1" applyFont="1" applyFill="1" applyBorder="1" applyAlignment="1"/>
    <xf numFmtId="44" fontId="3" fillId="0" borderId="19" xfId="3" applyFont="1" applyFill="1" applyBorder="1" applyAlignment="1">
      <alignment vertical="top"/>
    </xf>
    <xf numFmtId="0" fontId="0" fillId="0" borderId="19" xfId="3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44" fontId="3" fillId="0" borderId="0" xfId="3" applyFont="1" applyFill="1" applyBorder="1" applyAlignment="1"/>
    <xf numFmtId="164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44" fontId="3" fillId="0" borderId="0" xfId="3" applyFont="1" applyFill="1" applyBorder="1" applyAlignment="1">
      <alignment horizontal="righ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/>
    <xf numFmtId="0" fontId="3" fillId="0" borderId="0" xfId="1" applyNumberFormat="1" applyFont="1" applyFill="1" applyBorder="1" applyAlignment="1">
      <alignment horizontal="center" vertical="center"/>
    </xf>
    <xf numFmtId="0" fontId="3" fillId="0" borderId="19" xfId="2" applyFont="1" applyFill="1" applyBorder="1" applyAlignment="1"/>
    <xf numFmtId="0" fontId="58" fillId="0" borderId="19" xfId="1" applyNumberFormat="1" applyFont="1" applyFill="1" applyBorder="1" applyAlignment="1">
      <alignment horizontal="center"/>
    </xf>
    <xf numFmtId="0" fontId="59" fillId="65" borderId="44" xfId="0" applyFont="1" applyFill="1" applyBorder="1" applyAlignment="1">
      <alignment horizontal="center" vertical="center" wrapText="1"/>
    </xf>
    <xf numFmtId="0" fontId="59" fillId="65" borderId="45" xfId="0" applyFont="1" applyFill="1" applyBorder="1" applyAlignment="1">
      <alignment horizontal="center" vertical="center" wrapText="1"/>
    </xf>
    <xf numFmtId="0" fontId="59" fillId="65" borderId="45" xfId="0" applyNumberFormat="1" applyFont="1" applyFill="1" applyBorder="1" applyAlignment="1">
      <alignment horizontal="center" vertical="center" wrapText="1"/>
    </xf>
    <xf numFmtId="2" fontId="59" fillId="65" borderId="45" xfId="0" applyNumberFormat="1" applyFont="1" applyFill="1" applyBorder="1" applyAlignment="1">
      <alignment horizontal="center" vertical="center" wrapText="1"/>
    </xf>
    <xf numFmtId="44" fontId="59" fillId="65" borderId="45" xfId="3" applyFont="1" applyFill="1" applyBorder="1" applyAlignment="1">
      <alignment horizontal="center" vertical="center" wrapText="1"/>
    </xf>
    <xf numFmtId="44" fontId="59" fillId="65" borderId="46" xfId="3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0" fontId="0" fillId="0" borderId="19" xfId="0" applyNumberFormat="1" applyFont="1" applyFill="1" applyBorder="1"/>
    <xf numFmtId="0" fontId="0" fillId="0" borderId="19" xfId="0" applyNumberFormat="1" applyFont="1" applyFill="1" applyBorder="1" applyAlignment="1">
      <alignment horizontal="left"/>
    </xf>
    <xf numFmtId="0" fontId="0" fillId="0" borderId="19" xfId="0" applyFont="1" applyFill="1" applyBorder="1" applyAlignment="1">
      <alignment horizontal="left"/>
    </xf>
    <xf numFmtId="0" fontId="58" fillId="0" borderId="19" xfId="1" applyFont="1" applyFill="1" applyBorder="1" applyAlignment="1"/>
    <xf numFmtId="44" fontId="58" fillId="0" borderId="19" xfId="3" applyFont="1" applyFill="1" applyBorder="1" applyAlignment="1">
      <alignment horizontal="right"/>
    </xf>
    <xf numFmtId="44" fontId="0" fillId="0" borderId="19" xfId="3" applyFont="1" applyFill="1" applyBorder="1" applyAlignment="1">
      <alignment horizontal="center" vertical="center"/>
    </xf>
    <xf numFmtId="10" fontId="3" fillId="0" borderId="19" xfId="3" applyNumberFormat="1" applyFont="1" applyFill="1" applyBorder="1" applyAlignment="1">
      <alignment horizontal="right" vertical="center" wrapText="1"/>
    </xf>
    <xf numFmtId="0" fontId="3" fillId="0" borderId="19" xfId="0" applyNumberFormat="1" applyFont="1" applyFill="1" applyBorder="1" applyAlignment="1">
      <alignment horizontal="left" vertical="center"/>
    </xf>
    <xf numFmtId="1" fontId="3" fillId="0" borderId="41" xfId="0" applyNumberFormat="1" applyFont="1" applyFill="1" applyBorder="1" applyAlignment="1">
      <alignment horizontal="left"/>
    </xf>
    <xf numFmtId="1" fontId="3" fillId="0" borderId="19" xfId="0" applyNumberFormat="1" applyFont="1" applyBorder="1" applyAlignment="1">
      <alignment horizontal="left"/>
    </xf>
    <xf numFmtId="10" fontId="2" fillId="0" borderId="19" xfId="0" applyNumberFormat="1" applyFont="1" applyFill="1" applyBorder="1" applyAlignment="1">
      <alignment horizontal="right"/>
    </xf>
    <xf numFmtId="2" fontId="3" fillId="0" borderId="2" xfId="0" applyNumberFormat="1" applyFont="1" applyFill="1" applyBorder="1" applyAlignment="1">
      <alignment horizontal="left"/>
    </xf>
    <xf numFmtId="2" fontId="3" fillId="66" borderId="0" xfId="0" applyNumberFormat="1" applyFont="1" applyFill="1" applyBorder="1" applyAlignment="1">
      <alignment horizontal="left"/>
    </xf>
    <xf numFmtId="2" fontId="3" fillId="66" borderId="1" xfId="0" applyNumberFormat="1" applyFont="1" applyFill="1" applyBorder="1" applyAlignment="1">
      <alignment horizontal="left"/>
    </xf>
    <xf numFmtId="44" fontId="0" fillId="0" borderId="19" xfId="3" applyFont="1" applyFill="1" applyBorder="1" applyAlignment="1">
      <alignment horizontal="right"/>
    </xf>
    <xf numFmtId="10" fontId="0" fillId="0" borderId="19" xfId="0" applyNumberFormat="1" applyFont="1" applyFill="1" applyBorder="1"/>
    <xf numFmtId="0" fontId="0" fillId="0" borderId="19" xfId="0" applyBorder="1" applyAlignment="1"/>
    <xf numFmtId="0" fontId="0" fillId="0" borderId="19" xfId="0" applyBorder="1" applyAlignment="1">
      <alignment horizontal="center"/>
    </xf>
    <xf numFmtId="164" fontId="3" fillId="8" borderId="19" xfId="0" applyNumberFormat="1" applyFont="1" applyFill="1" applyBorder="1" applyAlignment="1">
      <alignment horizontal="center" vertical="center" wrapText="1"/>
    </xf>
    <xf numFmtId="3" fontId="3" fillId="8" borderId="19" xfId="0" applyNumberFormat="1" applyFont="1" applyFill="1" applyBorder="1" applyAlignment="1">
      <alignment horizontal="center" vertical="center" wrapText="1"/>
    </xf>
    <xf numFmtId="44" fontId="3" fillId="8" borderId="19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19" xfId="5" applyFont="1" applyFill="1" applyBorder="1" applyAlignment="1">
      <alignment horizontal="center" vertical="center" wrapText="1"/>
    </xf>
    <xf numFmtId="44" fontId="3" fillId="0" borderId="19" xfId="5" applyNumberFormat="1" applyFont="1" applyFill="1" applyBorder="1" applyAlignment="1">
      <alignment horizontal="center" vertical="center" wrapText="1"/>
    </xf>
    <xf numFmtId="3" fontId="3" fillId="0" borderId="19" xfId="5" applyNumberFormat="1" applyFont="1" applyFill="1" applyBorder="1" applyAlignment="1">
      <alignment horizontal="center" vertical="center" wrapText="1"/>
    </xf>
    <xf numFmtId="44" fontId="3" fillId="0" borderId="9" xfId="3" applyFont="1" applyFill="1" applyBorder="1" applyAlignment="1">
      <alignment horizontal="center" vertical="center" wrapText="1"/>
    </xf>
    <xf numFmtId="165" fontId="3" fillId="0" borderId="19" xfId="5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 wrapText="1"/>
    </xf>
    <xf numFmtId="44" fontId="0" fillId="0" borderId="2" xfId="3" applyFont="1" applyFill="1" applyBorder="1" applyAlignment="1">
      <alignment horizontal="center" vertical="center" wrapText="1"/>
    </xf>
    <xf numFmtId="44" fontId="0" fillId="0" borderId="2" xfId="3" applyFont="1" applyBorder="1" applyAlignment="1">
      <alignment horizontal="center" vertical="center" wrapText="1"/>
    </xf>
    <xf numFmtId="10" fontId="3" fillId="0" borderId="19" xfId="5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44" fontId="3" fillId="0" borderId="2" xfId="3" applyFont="1" applyFill="1" applyBorder="1" applyAlignment="1">
      <alignment horizontal="center" vertical="center" wrapText="1"/>
    </xf>
    <xf numFmtId="44" fontId="3" fillId="0" borderId="19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44" fontId="0" fillId="0" borderId="19" xfId="3" applyFont="1" applyBorder="1" applyAlignment="1">
      <alignment horizontal="center" vertical="center" wrapText="1"/>
    </xf>
    <xf numFmtId="165" fontId="3" fillId="0" borderId="1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4" fontId="0" fillId="7" borderId="2" xfId="3" applyFont="1" applyFill="1" applyBorder="1" applyAlignment="1">
      <alignment horizontal="center" vertical="center" wrapText="1"/>
    </xf>
    <xf numFmtId="44" fontId="9" fillId="0" borderId="19" xfId="3" applyFont="1" applyFill="1" applyBorder="1" applyAlignment="1">
      <alignment horizontal="center" vertical="center" wrapText="1"/>
    </xf>
    <xf numFmtId="44" fontId="0" fillId="0" borderId="19" xfId="3" applyFont="1" applyBorder="1" applyAlignment="1">
      <alignment horizontal="center" vertical="center"/>
    </xf>
    <xf numFmtId="44" fontId="9" fillId="0" borderId="2" xfId="3" applyFont="1" applyFill="1" applyBorder="1" applyAlignment="1">
      <alignment horizontal="center" vertical="center" wrapText="1"/>
    </xf>
    <xf numFmtId="44" fontId="0" fillId="7" borderId="19" xfId="3" applyFont="1" applyFill="1" applyBorder="1" applyAlignment="1">
      <alignment horizontal="center" vertical="center" wrapText="1"/>
    </xf>
    <xf numFmtId="44" fontId="3" fillId="0" borderId="19" xfId="3" applyFont="1" applyBorder="1" applyAlignment="1">
      <alignment horizontal="center" vertical="center" wrapText="1"/>
    </xf>
    <xf numFmtId="44" fontId="1" fillId="3" borderId="19" xfId="3" applyFont="1" applyFill="1" applyBorder="1" applyAlignment="1">
      <alignment horizontal="center" vertical="center" wrapText="1"/>
    </xf>
    <xf numFmtId="3" fontId="1" fillId="3" borderId="19" xfId="0" applyNumberFormat="1" applyFont="1" applyFill="1" applyBorder="1" applyAlignment="1">
      <alignment horizontal="center" vertical="center" wrapText="1"/>
    </xf>
    <xf numFmtId="10" fontId="1" fillId="3" borderId="19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44" fontId="0" fillId="0" borderId="0" xfId="0" applyNumberFormat="1" applyFont="1" applyFill="1" applyBorder="1" applyAlignment="1">
      <alignment horizontal="center" vertical="center" wrapText="1"/>
    </xf>
    <xf numFmtId="44" fontId="0" fillId="0" borderId="0" xfId="3" applyFont="1" applyFill="1" applyBorder="1" applyAlignment="1">
      <alignment horizontal="center" vertical="center" wrapText="1"/>
    </xf>
    <xf numFmtId="0" fontId="3" fillId="0" borderId="19" xfId="5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44" fontId="3" fillId="0" borderId="19" xfId="3" applyFont="1" applyFill="1" applyBorder="1" applyAlignment="1">
      <alignment horizontal="center" vertical="center"/>
    </xf>
    <xf numFmtId="10" fontId="0" fillId="0" borderId="19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vertical="center"/>
    </xf>
    <xf numFmtId="0" fontId="0" fillId="0" borderId="19" xfId="0" applyBorder="1"/>
    <xf numFmtId="0" fontId="0" fillId="0" borderId="0" xfId="0" applyBorder="1"/>
    <xf numFmtId="44" fontId="3" fillId="0" borderId="2" xfId="5" applyNumberFormat="1" applyFont="1" applyFill="1" applyBorder="1" applyAlignment="1">
      <alignment horizontal="center" vertical="center" wrapText="1"/>
    </xf>
    <xf numFmtId="44" fontId="3" fillId="0" borderId="9" xfId="5" applyNumberFormat="1" applyFont="1" applyFill="1" applyBorder="1" applyAlignment="1">
      <alignment horizontal="center" vertical="center" wrapText="1"/>
    </xf>
    <xf numFmtId="0" fontId="9" fillId="0" borderId="19" xfId="11" applyFont="1" applyFill="1" applyBorder="1" applyAlignment="1">
      <alignment horizontal="left" vertical="center" wrapText="1"/>
    </xf>
    <xf numFmtId="44" fontId="9" fillId="0" borderId="19" xfId="11" applyNumberFormat="1" applyFont="1" applyFill="1" applyBorder="1" applyAlignment="1">
      <alignment horizontal="center" vertical="center" wrapText="1"/>
    </xf>
    <xf numFmtId="3" fontId="9" fillId="0" borderId="19" xfId="11" applyNumberFormat="1" applyFont="1" applyFill="1" applyBorder="1" applyAlignment="1">
      <alignment horizontal="center" vertical="center" wrapText="1"/>
    </xf>
    <xf numFmtId="165" fontId="9" fillId="0" borderId="19" xfId="1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vertical="top"/>
    </xf>
    <xf numFmtId="0" fontId="0" fillId="0" borderId="19" xfId="0" applyFont="1" applyBorder="1" applyAlignment="1">
      <alignment horizontal="center"/>
    </xf>
    <xf numFmtId="0" fontId="3" fillId="0" borderId="19" xfId="1" applyFont="1" applyFill="1" applyBorder="1" applyAlignment="1"/>
    <xf numFmtId="0" fontId="3" fillId="0" borderId="19" xfId="1" applyNumberFormat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left"/>
    </xf>
    <xf numFmtId="10" fontId="2" fillId="0" borderId="19" xfId="0" applyNumberFormat="1" applyFont="1" applyFill="1" applyBorder="1" applyAlignment="1">
      <alignment horizontal="center" vertical="center" wrapText="1"/>
    </xf>
    <xf numFmtId="44" fontId="60" fillId="0" borderId="48" xfId="3" applyFont="1" applyBorder="1"/>
    <xf numFmtId="0" fontId="3" fillId="0" borderId="19" xfId="0" applyFont="1" applyFill="1" applyBorder="1" applyAlignment="1">
      <alignment horizontal="left" vertical="center"/>
    </xf>
    <xf numFmtId="0" fontId="3" fillId="0" borderId="19" xfId="5" applyFont="1" applyFill="1" applyBorder="1" applyAlignment="1">
      <alignment horizontal="left" vertical="top" wrapText="1"/>
    </xf>
    <xf numFmtId="44" fontId="3" fillId="0" borderId="19" xfId="5" applyNumberFormat="1" applyFont="1" applyFill="1" applyBorder="1" applyAlignment="1">
      <alignment horizontal="center" vertical="top" wrapText="1"/>
    </xf>
    <xf numFmtId="3" fontId="3" fillId="0" borderId="19" xfId="5" applyNumberFormat="1" applyFont="1" applyFill="1" applyBorder="1" applyAlignment="1">
      <alignment horizontal="center" vertical="top" wrapText="1"/>
    </xf>
    <xf numFmtId="44" fontId="3" fillId="0" borderId="19" xfId="3" applyFont="1" applyFill="1" applyBorder="1" applyAlignment="1">
      <alignment horizontal="center" vertical="top" wrapText="1"/>
    </xf>
    <xf numFmtId="44" fontId="0" fillId="0" borderId="19" xfId="3" applyFont="1" applyBorder="1" applyAlignment="1">
      <alignment horizontal="center" vertical="top" wrapText="1"/>
    </xf>
    <xf numFmtId="165" fontId="3" fillId="0" borderId="19" xfId="5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3" fillId="0" borderId="19" xfId="0" applyNumberFormat="1" applyFont="1" applyFill="1" applyBorder="1" applyAlignment="1">
      <alignment horizontal="left" vertical="top"/>
    </xf>
    <xf numFmtId="44" fontId="3" fillId="0" borderId="19" xfId="3" applyFont="1" applyFill="1" applyBorder="1" applyAlignment="1">
      <alignment horizontal="right" vertical="top" wrapText="1"/>
    </xf>
    <xf numFmtId="44" fontId="3" fillId="0" borderId="19" xfId="3" applyFont="1" applyFill="1" applyBorder="1" applyAlignment="1">
      <alignment horizontal="right" wrapText="1"/>
    </xf>
    <xf numFmtId="0" fontId="0" fillId="0" borderId="19" xfId="0" applyNumberFormat="1" applyFont="1" applyFill="1" applyBorder="1" applyAlignment="1">
      <alignment vertical="center"/>
    </xf>
    <xf numFmtId="0" fontId="0" fillId="0" borderId="19" xfId="0" applyFont="1" applyFill="1" applyBorder="1" applyAlignment="1">
      <alignment vertical="center" wrapText="1"/>
    </xf>
    <xf numFmtId="0" fontId="2" fillId="0" borderId="19" xfId="0" applyNumberFormat="1" applyFont="1" applyFill="1" applyBorder="1"/>
    <xf numFmtId="164" fontId="2" fillId="0" borderId="19" xfId="0" applyNumberFormat="1" applyFont="1" applyFill="1" applyBorder="1"/>
    <xf numFmtId="44" fontId="2" fillId="0" borderId="19" xfId="3" applyFont="1" applyFill="1" applyBorder="1"/>
    <xf numFmtId="0" fontId="3" fillId="0" borderId="49" xfId="0" applyFont="1" applyBorder="1" applyAlignment="1">
      <alignment horizontal="left"/>
    </xf>
    <xf numFmtId="0" fontId="3" fillId="0" borderId="49" xfId="0" applyNumberFormat="1" applyFont="1" applyBorder="1" applyAlignment="1">
      <alignment horizontal="left" vertical="center"/>
    </xf>
    <xf numFmtId="0" fontId="3" fillId="0" borderId="49" xfId="0" applyNumberFormat="1" applyFont="1" applyBorder="1" applyAlignment="1">
      <alignment horizontal="left"/>
    </xf>
    <xf numFmtId="44" fontId="3" fillId="0" borderId="49" xfId="3" applyFont="1" applyBorder="1" applyAlignment="1">
      <alignment horizontal="right"/>
    </xf>
    <xf numFmtId="44" fontId="0" fillId="0" borderId="19" xfId="3" applyFont="1" applyFill="1" applyBorder="1" applyAlignment="1">
      <alignment vertical="center" wrapText="1"/>
    </xf>
    <xf numFmtId="0" fontId="3" fillId="0" borderId="19" xfId="0" applyNumberFormat="1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10" fontId="0" fillId="0" borderId="19" xfId="0" applyNumberFormat="1" applyFont="1" applyFill="1" applyBorder="1" applyAlignment="1"/>
    <xf numFmtId="1" fontId="3" fillId="0" borderId="19" xfId="0" applyNumberFormat="1" applyFont="1" applyFill="1" applyBorder="1" applyAlignment="1">
      <alignment horizontal="left" vertical="top"/>
    </xf>
    <xf numFmtId="10" fontId="0" fillId="0" borderId="19" xfId="0" applyNumberFormat="1" applyFont="1" applyFill="1" applyBorder="1" applyAlignment="1">
      <alignment horizontal="right"/>
    </xf>
    <xf numFmtId="0" fontId="3" fillId="0" borderId="19" xfId="0" applyFont="1" applyFill="1" applyBorder="1" applyAlignment="1">
      <alignment vertical="top"/>
    </xf>
    <xf numFmtId="10" fontId="3" fillId="0" borderId="19" xfId="0" applyNumberFormat="1" applyFont="1" applyFill="1" applyBorder="1" applyAlignment="1">
      <alignment horizontal="right" vertical="top"/>
    </xf>
    <xf numFmtId="1" fontId="3" fillId="0" borderId="19" xfId="0" applyNumberFormat="1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left" vertical="top" wrapText="1"/>
    </xf>
    <xf numFmtId="1" fontId="3" fillId="0" borderId="19" xfId="0" applyNumberFormat="1" applyFont="1" applyFill="1" applyBorder="1" applyAlignment="1">
      <alignment horizontal="center" vertical="top" wrapText="1"/>
    </xf>
    <xf numFmtId="1" fontId="3" fillId="0" borderId="19" xfId="0" applyNumberFormat="1" applyFont="1" applyFill="1" applyBorder="1" applyAlignment="1">
      <alignment horizontal="left" vertical="top" wrapText="1"/>
    </xf>
    <xf numFmtId="49" fontId="0" fillId="0" borderId="19" xfId="0" applyNumberFormat="1" applyFont="1" applyFill="1" applyBorder="1" applyAlignment="1">
      <alignment horizontal="left" vertical="center"/>
    </xf>
    <xf numFmtId="0" fontId="0" fillId="0" borderId="19" xfId="0" applyNumberFormat="1" applyFont="1" applyFill="1" applyBorder="1" applyAlignment="1">
      <alignment horizontal="left" vertical="center"/>
    </xf>
    <xf numFmtId="0" fontId="0" fillId="0" borderId="19" xfId="0" applyNumberFormat="1" applyFont="1" applyFill="1" applyBorder="1" applyAlignment="1">
      <alignment horizontal="left" wrapText="1"/>
    </xf>
    <xf numFmtId="44" fontId="0" fillId="0" borderId="19" xfId="3" applyFont="1" applyFill="1" applyBorder="1" applyAlignment="1">
      <alignment horizontal="left"/>
    </xf>
    <xf numFmtId="44" fontId="3" fillId="0" borderId="19" xfId="3" applyFont="1" applyFill="1" applyBorder="1" applyAlignment="1">
      <alignment horizontal="center"/>
    </xf>
    <xf numFmtId="10" fontId="3" fillId="0" borderId="19" xfId="4" applyNumberFormat="1" applyFont="1" applyFill="1" applyBorder="1"/>
    <xf numFmtId="0" fontId="0" fillId="0" borderId="19" xfId="0" applyNumberFormat="1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center" wrapText="1"/>
    </xf>
    <xf numFmtId="10" fontId="3" fillId="0" borderId="19" xfId="0" applyNumberFormat="1" applyFont="1" applyFill="1" applyBorder="1" applyAlignment="1">
      <alignment wrapText="1"/>
    </xf>
    <xf numFmtId="44" fontId="3" fillId="0" borderId="19" xfId="3" applyFont="1" applyFill="1" applyBorder="1" applyAlignment="1">
      <alignment wrapText="1"/>
    </xf>
    <xf numFmtId="10" fontId="0" fillId="0" borderId="19" xfId="0" applyNumberFormat="1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10" fontId="0" fillId="0" borderId="19" xfId="0" applyNumberFormat="1" applyFont="1" applyFill="1" applyBorder="1" applyAlignment="1">
      <alignment horizontal="center" vertical="center"/>
    </xf>
    <xf numFmtId="0" fontId="2" fillId="0" borderId="19" xfId="0" applyFont="1" applyFill="1" applyBorder="1"/>
    <xf numFmtId="10" fontId="2" fillId="0" borderId="19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left"/>
    </xf>
    <xf numFmtId="10" fontId="2" fillId="0" borderId="19" xfId="0" applyNumberFormat="1" applyFont="1" applyFill="1" applyBorder="1"/>
    <xf numFmtId="49" fontId="3" fillId="0" borderId="19" xfId="0" applyNumberFormat="1" applyFont="1" applyFill="1" applyBorder="1" applyAlignment="1">
      <alignment horizontal="left" vertical="center"/>
    </xf>
    <xf numFmtId="164" fontId="2" fillId="0" borderId="19" xfId="0" applyNumberFormat="1" applyFont="1" applyFill="1" applyBorder="1" applyAlignment="1">
      <alignment wrapText="1"/>
    </xf>
    <xf numFmtId="44" fontId="0" fillId="0" borderId="2" xfId="3" applyFont="1" applyFill="1" applyBorder="1" applyAlignment="1">
      <alignment wrapText="1"/>
    </xf>
    <xf numFmtId="0" fontId="3" fillId="0" borderId="19" xfId="5" applyFont="1" applyFill="1" applyBorder="1" applyAlignment="1">
      <alignment horizontal="center" vertical="top" wrapText="1"/>
    </xf>
    <xf numFmtId="164" fontId="2" fillId="0" borderId="47" xfId="0" applyNumberFormat="1" applyFont="1" applyBorder="1" applyAlignment="1">
      <alignment wrapText="1"/>
    </xf>
    <xf numFmtId="0" fontId="3" fillId="0" borderId="19" xfId="11" applyFont="1" applyFill="1" applyBorder="1" applyAlignment="1">
      <alignment horizontal="center" vertical="center" wrapText="1"/>
    </xf>
    <xf numFmtId="44" fontId="3" fillId="0" borderId="19" xfId="5" applyNumberFormat="1" applyFont="1" applyFill="1" applyBorder="1" applyAlignment="1">
      <alignment wrapText="1"/>
    </xf>
    <xf numFmtId="0" fontId="3" fillId="0" borderId="19" xfId="11" applyFont="1" applyFill="1" applyBorder="1" applyAlignment="1">
      <alignment horizontal="left" vertical="center" wrapText="1"/>
    </xf>
    <xf numFmtId="44" fontId="3" fillId="0" borderId="19" xfId="11" applyNumberFormat="1" applyFont="1" applyFill="1" applyBorder="1" applyAlignment="1">
      <alignment horizontal="center" vertical="center" wrapText="1"/>
    </xf>
    <xf numFmtId="3" fontId="3" fillId="0" borderId="19" xfId="11" applyNumberFormat="1" applyFont="1" applyFill="1" applyBorder="1" applyAlignment="1">
      <alignment horizontal="center" vertical="center" wrapText="1"/>
    </xf>
    <xf numFmtId="44" fontId="3" fillId="0" borderId="2" xfId="11" applyNumberFormat="1" applyFont="1" applyFill="1" applyBorder="1" applyAlignment="1">
      <alignment horizontal="center" vertical="center" wrapText="1"/>
    </xf>
    <xf numFmtId="165" fontId="3" fillId="0" borderId="19" xfId="1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3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7" fillId="0" borderId="10" xfId="0" applyFont="1" applyBorder="1" applyAlignment="1"/>
    <xf numFmtId="0" fontId="7" fillId="0" borderId="11" xfId="0" applyFont="1" applyBorder="1" applyAlignment="1"/>
    <xf numFmtId="0" fontId="7" fillId="0" borderId="12" xfId="0" applyFont="1" applyBorder="1" applyAlignment="1"/>
  </cellXfs>
  <cellStyles count="2774">
    <cellStyle name="20% - Accent1" xfId="23" builtinId="30" customBuiltin="1"/>
    <cellStyle name="20% - Accent1 2" xfId="47"/>
    <cellStyle name="20% - Accent1 3" xfId="574"/>
    <cellStyle name="20% - Accent1 3 2" xfId="1226"/>
    <cellStyle name="20% - Accent1 3 2 2" xfId="2466"/>
    <cellStyle name="20% - Accent1 3 3" xfId="1847"/>
    <cellStyle name="20% - Accent1 4" xfId="917"/>
    <cellStyle name="20% - Accent1 4 2" xfId="2157"/>
    <cellStyle name="20% - Accent1 5" xfId="1537"/>
    <cellStyle name="20% - Accent1 6" xfId="328"/>
    <cellStyle name="20% - Accent2" xfId="27" builtinId="34" customBuiltin="1"/>
    <cellStyle name="20% - Accent2 2" xfId="48"/>
    <cellStyle name="20% - Accent2 3" xfId="576"/>
    <cellStyle name="20% - Accent2 3 2" xfId="1228"/>
    <cellStyle name="20% - Accent2 3 2 2" xfId="2468"/>
    <cellStyle name="20% - Accent2 3 3" xfId="1849"/>
    <cellStyle name="20% - Accent2 4" xfId="919"/>
    <cellStyle name="20% - Accent2 4 2" xfId="2159"/>
    <cellStyle name="20% - Accent2 5" xfId="1539"/>
    <cellStyle name="20% - Accent2 6" xfId="324"/>
    <cellStyle name="20% - Accent3" xfId="31" builtinId="38" customBuiltin="1"/>
    <cellStyle name="20% - Accent3 2" xfId="49"/>
    <cellStyle name="20% - Accent3 3" xfId="578"/>
    <cellStyle name="20% - Accent3 3 2" xfId="1230"/>
    <cellStyle name="20% - Accent3 3 2 2" xfId="2470"/>
    <cellStyle name="20% - Accent3 3 3" xfId="1851"/>
    <cellStyle name="20% - Accent3 4" xfId="921"/>
    <cellStyle name="20% - Accent3 4 2" xfId="2161"/>
    <cellStyle name="20% - Accent3 5" xfId="1541"/>
    <cellStyle name="20% - Accent3 6" xfId="320"/>
    <cellStyle name="20% - Accent4" xfId="35" builtinId="42" customBuiltin="1"/>
    <cellStyle name="20% - Accent4 2" xfId="50"/>
    <cellStyle name="20% - Accent4 3" xfId="580"/>
    <cellStyle name="20% - Accent4 3 2" xfId="1232"/>
    <cellStyle name="20% - Accent4 3 2 2" xfId="2472"/>
    <cellStyle name="20% - Accent4 3 3" xfId="1853"/>
    <cellStyle name="20% - Accent4 4" xfId="923"/>
    <cellStyle name="20% - Accent4 4 2" xfId="2163"/>
    <cellStyle name="20% - Accent4 5" xfId="1543"/>
    <cellStyle name="20% - Accent4 6" xfId="316"/>
    <cellStyle name="20% - Accent5" xfId="39" builtinId="46" customBuiltin="1"/>
    <cellStyle name="20% - Accent5 2" xfId="51"/>
    <cellStyle name="20% - Accent5 3" xfId="582"/>
    <cellStyle name="20% - Accent5 3 2" xfId="1234"/>
    <cellStyle name="20% - Accent5 3 2 2" xfId="2474"/>
    <cellStyle name="20% - Accent5 3 3" xfId="1855"/>
    <cellStyle name="20% - Accent5 4" xfId="925"/>
    <cellStyle name="20% - Accent5 4 2" xfId="2165"/>
    <cellStyle name="20% - Accent5 5" xfId="1545"/>
    <cellStyle name="20% - Accent5 6" xfId="312"/>
    <cellStyle name="20% - Accent6" xfId="43" builtinId="50" customBuiltin="1"/>
    <cellStyle name="20% - Accent6 2" xfId="52"/>
    <cellStyle name="20% - Accent6 3" xfId="584"/>
    <cellStyle name="20% - Accent6 3 2" xfId="1236"/>
    <cellStyle name="20% - Accent6 3 2 2" xfId="2476"/>
    <cellStyle name="20% - Accent6 3 3" xfId="1857"/>
    <cellStyle name="20% - Accent6 4" xfId="927"/>
    <cellStyle name="20% - Accent6 4 2" xfId="2167"/>
    <cellStyle name="20% - Accent6 5" xfId="1547"/>
    <cellStyle name="20% - Accent6 6" xfId="308"/>
    <cellStyle name="40% - Accent1" xfId="24" builtinId="31" customBuiltin="1"/>
    <cellStyle name="40% - Accent1 2" xfId="53"/>
    <cellStyle name="40% - Accent1 3" xfId="575"/>
    <cellStyle name="40% - Accent1 3 2" xfId="1227"/>
    <cellStyle name="40% - Accent1 3 2 2" xfId="2467"/>
    <cellStyle name="40% - Accent1 3 3" xfId="1848"/>
    <cellStyle name="40% - Accent1 4" xfId="918"/>
    <cellStyle name="40% - Accent1 4 2" xfId="2158"/>
    <cellStyle name="40% - Accent1 5" xfId="1538"/>
    <cellStyle name="40% - Accent1 6" xfId="327"/>
    <cellStyle name="40% - Accent2" xfId="28" builtinId="35" customBuiltin="1"/>
    <cellStyle name="40% - Accent2 2" xfId="54"/>
    <cellStyle name="40% - Accent2 3" xfId="577"/>
    <cellStyle name="40% - Accent2 3 2" xfId="1229"/>
    <cellStyle name="40% - Accent2 3 2 2" xfId="2469"/>
    <cellStyle name="40% - Accent2 3 3" xfId="1850"/>
    <cellStyle name="40% - Accent2 4" xfId="920"/>
    <cellStyle name="40% - Accent2 4 2" xfId="2160"/>
    <cellStyle name="40% - Accent2 5" xfId="1540"/>
    <cellStyle name="40% - Accent2 6" xfId="323"/>
    <cellStyle name="40% - Accent3" xfId="32" builtinId="39" customBuiltin="1"/>
    <cellStyle name="40% - Accent3 2" xfId="55"/>
    <cellStyle name="40% - Accent3 3" xfId="579"/>
    <cellStyle name="40% - Accent3 3 2" xfId="1231"/>
    <cellStyle name="40% - Accent3 3 2 2" xfId="2471"/>
    <cellStyle name="40% - Accent3 3 3" xfId="1852"/>
    <cellStyle name="40% - Accent3 4" xfId="922"/>
    <cellStyle name="40% - Accent3 4 2" xfId="2162"/>
    <cellStyle name="40% - Accent3 5" xfId="1542"/>
    <cellStyle name="40% - Accent3 6" xfId="319"/>
    <cellStyle name="40% - Accent4" xfId="36" builtinId="43" customBuiltin="1"/>
    <cellStyle name="40% - Accent4 2" xfId="56"/>
    <cellStyle name="40% - Accent4 3" xfId="581"/>
    <cellStyle name="40% - Accent4 3 2" xfId="1233"/>
    <cellStyle name="40% - Accent4 3 2 2" xfId="2473"/>
    <cellStyle name="40% - Accent4 3 3" xfId="1854"/>
    <cellStyle name="40% - Accent4 4" xfId="924"/>
    <cellStyle name="40% - Accent4 4 2" xfId="2164"/>
    <cellStyle name="40% - Accent4 5" xfId="1544"/>
    <cellStyle name="40% - Accent4 6" xfId="315"/>
    <cellStyle name="40% - Accent5" xfId="40" builtinId="47" customBuiltin="1"/>
    <cellStyle name="40% - Accent5 2" xfId="57"/>
    <cellStyle name="40% - Accent5 3" xfId="583"/>
    <cellStyle name="40% - Accent5 3 2" xfId="1235"/>
    <cellStyle name="40% - Accent5 3 2 2" xfId="2475"/>
    <cellStyle name="40% - Accent5 3 3" xfId="1856"/>
    <cellStyle name="40% - Accent5 4" xfId="926"/>
    <cellStyle name="40% - Accent5 4 2" xfId="2166"/>
    <cellStyle name="40% - Accent5 5" xfId="1546"/>
    <cellStyle name="40% - Accent5 6" xfId="311"/>
    <cellStyle name="40% - Accent6" xfId="44" builtinId="51" customBuiltin="1"/>
    <cellStyle name="40% - Accent6 2" xfId="58"/>
    <cellStyle name="40% - Accent6 3" xfId="585"/>
    <cellStyle name="40% - Accent6 3 2" xfId="1237"/>
    <cellStyle name="40% - Accent6 3 2 2" xfId="2477"/>
    <cellStyle name="40% - Accent6 3 3" xfId="1858"/>
    <cellStyle name="40% - Accent6 4" xfId="928"/>
    <cellStyle name="40% - Accent6 4 2" xfId="2168"/>
    <cellStyle name="40% - Accent6 5" xfId="1548"/>
    <cellStyle name="40% - Accent6 6" xfId="307"/>
    <cellStyle name="60% - Accent1" xfId="25" builtinId="32" customBuiltin="1"/>
    <cellStyle name="60% - Accent1 2" xfId="59"/>
    <cellStyle name="60% - Accent1 3" xfId="326"/>
    <cellStyle name="60% - Accent2" xfId="29" builtinId="36" customBuiltin="1"/>
    <cellStyle name="60% - Accent2 2" xfId="60"/>
    <cellStyle name="60% - Accent2 3" xfId="322"/>
    <cellStyle name="60% - Accent3" xfId="33" builtinId="40" customBuiltin="1"/>
    <cellStyle name="60% - Accent3 2" xfId="61"/>
    <cellStyle name="60% - Accent3 3" xfId="318"/>
    <cellStyle name="60% - Accent4" xfId="37" builtinId="44" customBuiltin="1"/>
    <cellStyle name="60% - Accent4 2" xfId="62"/>
    <cellStyle name="60% - Accent4 3" xfId="314"/>
    <cellStyle name="60% - Accent5" xfId="41" builtinId="48" customBuiltin="1"/>
    <cellStyle name="60% - Accent5 2" xfId="63"/>
    <cellStyle name="60% - Accent5 3" xfId="310"/>
    <cellStyle name="60% - Accent6" xfId="45" builtinId="52" customBuiltin="1"/>
    <cellStyle name="60% - Accent6 2" xfId="64"/>
    <cellStyle name="60% - Accent6 3" xfId="306"/>
    <cellStyle name="Accent1" xfId="22" builtinId="29" customBuiltin="1"/>
    <cellStyle name="Accent1 2" xfId="65"/>
    <cellStyle name="Accent1 3" xfId="329"/>
    <cellStyle name="Accent2" xfId="26" builtinId="33" customBuiltin="1"/>
    <cellStyle name="Accent2 2" xfId="66"/>
    <cellStyle name="Accent2 3" xfId="325"/>
    <cellStyle name="Accent3" xfId="30" builtinId="37" customBuiltin="1"/>
    <cellStyle name="Accent3 2" xfId="67"/>
    <cellStyle name="Accent3 3" xfId="321"/>
    <cellStyle name="Accent4" xfId="34" builtinId="41" customBuiltin="1"/>
    <cellStyle name="Accent4 2" xfId="68"/>
    <cellStyle name="Accent4 3" xfId="317"/>
    <cellStyle name="Accent5" xfId="38" builtinId="45" customBuiltin="1"/>
    <cellStyle name="Accent5 2" xfId="69"/>
    <cellStyle name="Accent5 3" xfId="313"/>
    <cellStyle name="Accent6" xfId="42" builtinId="49" customBuiltin="1"/>
    <cellStyle name="Accent6 2" xfId="70"/>
    <cellStyle name="Accent6 3" xfId="309"/>
    <cellStyle name="Bad" xfId="11" builtinId="27" customBuiltin="1"/>
    <cellStyle name="Bad 2" xfId="71"/>
    <cellStyle name="Bad 3" xfId="335"/>
    <cellStyle name="Calculation" xfId="15" builtinId="22" customBuiltin="1"/>
    <cellStyle name="Calculation 2" xfId="72"/>
    <cellStyle name="Calculation 3" xfId="416"/>
    <cellStyle name="Calculation 4" xfId="331"/>
    <cellStyle name="Check Cell" xfId="17" builtinId="23" customBuiltin="1"/>
    <cellStyle name="Check Cell 2" xfId="73"/>
    <cellStyle name="Check Cell 3" xfId="330"/>
    <cellStyle name="Comma 10" xfId="74"/>
    <cellStyle name="Comma 11" xfId="230"/>
    <cellStyle name="Comma 11 2" xfId="426"/>
    <cellStyle name="Comma 11 2 2" xfId="768"/>
    <cellStyle name="Comma 11 2 2 2" xfId="1387"/>
    <cellStyle name="Comma 11 2 2 2 2" xfId="2627"/>
    <cellStyle name="Comma 11 2 2 3" xfId="2008"/>
    <cellStyle name="Comma 11 2 3" xfId="1078"/>
    <cellStyle name="Comma 11 2 3 2" xfId="2318"/>
    <cellStyle name="Comma 11 2 4" xfId="1699"/>
    <cellStyle name="Comma 11 3" xfId="684"/>
    <cellStyle name="Comma 11 3 2" xfId="1321"/>
    <cellStyle name="Comma 11 3 2 2" xfId="2561"/>
    <cellStyle name="Comma 11 3 3" xfId="1942"/>
    <cellStyle name="Comma 11 4" xfId="1012"/>
    <cellStyle name="Comma 11 4 2" xfId="2252"/>
    <cellStyle name="Comma 11 5" xfId="1633"/>
    <cellStyle name="Comma 12" xfId="915"/>
    <cellStyle name="Comma 12 2" xfId="2155"/>
    <cellStyle name="Comma 13" xfId="1535"/>
    <cellStyle name="Comma 2" xfId="75"/>
    <cellStyle name="Comma 2 2" xfId="76"/>
    <cellStyle name="Comma 2 3" xfId="148"/>
    <cellStyle name="Comma 2 4" xfId="411"/>
    <cellStyle name="Comma 2 4 2" xfId="427"/>
    <cellStyle name="Comma 2 4 2 2" xfId="769"/>
    <cellStyle name="Comma 2 4 2 2 2" xfId="1388"/>
    <cellStyle name="Comma 2 4 2 2 2 2" xfId="2628"/>
    <cellStyle name="Comma 2 4 2 2 3" xfId="2009"/>
    <cellStyle name="Comma 2 4 2 3" xfId="1079"/>
    <cellStyle name="Comma 2 4 2 3 2" xfId="2319"/>
    <cellStyle name="Comma 2 4 2 4" xfId="1700"/>
    <cellStyle name="Comma 2 4 3" xfId="758"/>
    <cellStyle name="Comma 2 4 3 2" xfId="1380"/>
    <cellStyle name="Comma 2 4 3 2 2" xfId="2620"/>
    <cellStyle name="Comma 2 4 3 3" xfId="2001"/>
    <cellStyle name="Comma 2 4 4" xfId="1071"/>
    <cellStyle name="Comma 2 4 4 2" xfId="2311"/>
    <cellStyle name="Comma 2 4 5" xfId="1692"/>
    <cellStyle name="Comma 2 5" xfId="147"/>
    <cellStyle name="Comma 3" xfId="77"/>
    <cellStyle name="Comma 4" xfId="78"/>
    <cellStyle name="Comma 4 2" xfId="109"/>
    <cellStyle name="Comma 4 2 2" xfId="149"/>
    <cellStyle name="Comma 4 2 3" xfId="150"/>
    <cellStyle name="Comma 5" xfId="79"/>
    <cellStyle name="Comma 5 2" xfId="110"/>
    <cellStyle name="Comma 5 2 2" xfId="151"/>
    <cellStyle name="Comma 5 2 3" xfId="152"/>
    <cellStyle name="Comma 5 3" xfId="153"/>
    <cellStyle name="Comma 5 4" xfId="154"/>
    <cellStyle name="Comma 6" xfId="105"/>
    <cellStyle name="Comma 6 2" xfId="111"/>
    <cellStyle name="Comma 6 2 2" xfId="155"/>
    <cellStyle name="Comma 6 2 3" xfId="156"/>
    <cellStyle name="Comma 6 3" xfId="428"/>
    <cellStyle name="Comma 6 3 2" xfId="770"/>
    <cellStyle name="Comma 6 3 2 2" xfId="1389"/>
    <cellStyle name="Comma 6 3 2 2 2" xfId="2629"/>
    <cellStyle name="Comma 6 3 2 3" xfId="2010"/>
    <cellStyle name="Comma 6 3 3" xfId="1080"/>
    <cellStyle name="Comma 6 3 3 2" xfId="2320"/>
    <cellStyle name="Comma 6 3 4" xfId="1701"/>
    <cellStyle name="Comma 6 4" xfId="750"/>
    <cellStyle name="Comma 6 4 2" xfId="1375"/>
    <cellStyle name="Comma 6 4 2 2" xfId="2615"/>
    <cellStyle name="Comma 6 4 3" xfId="1996"/>
    <cellStyle name="Comma 6 5" xfId="1066"/>
    <cellStyle name="Comma 6 5 2" xfId="2306"/>
    <cellStyle name="Comma 6 6" xfId="1687"/>
    <cellStyle name="Comma 7" xfId="106"/>
    <cellStyle name="Comma 7 2" xfId="429"/>
    <cellStyle name="Comma 7 2 2" xfId="771"/>
    <cellStyle name="Comma 7 2 2 2" xfId="1390"/>
    <cellStyle name="Comma 7 2 2 2 2" xfId="2630"/>
    <cellStyle name="Comma 7 2 2 3" xfId="2011"/>
    <cellStyle name="Comma 7 2 3" xfId="1081"/>
    <cellStyle name="Comma 7 2 3 2" xfId="2321"/>
    <cellStyle name="Comma 7 2 4" xfId="1702"/>
    <cellStyle name="Comma 7 3" xfId="751"/>
    <cellStyle name="Comma 7 3 2" xfId="1376"/>
    <cellStyle name="Comma 7 3 2 2" xfId="2616"/>
    <cellStyle name="Comma 7 3 3" xfId="1997"/>
    <cellStyle name="Comma 7 4" xfId="1067"/>
    <cellStyle name="Comma 7 4 2" xfId="2307"/>
    <cellStyle name="Comma 7 5" xfId="1688"/>
    <cellStyle name="Comma 8" xfId="112"/>
    <cellStyle name="Comma 9" xfId="108"/>
    <cellStyle name="Currency" xfId="3" builtinId="4"/>
    <cellStyle name="Currency 10" xfId="303"/>
    <cellStyle name="Currency 11" xfId="573"/>
    <cellStyle name="Currency 11 2" xfId="1225"/>
    <cellStyle name="Currency 11 2 2" xfId="2465"/>
    <cellStyle name="Currency 11 3" xfId="1846"/>
    <cellStyle name="Currency 12" xfId="916"/>
    <cellStyle name="Currency 12 2" xfId="2156"/>
    <cellStyle name="Currency 13" xfId="1536"/>
    <cellStyle name="Currency 2" xfId="80"/>
    <cellStyle name="Currency 2 2" xfId="157"/>
    <cellStyle name="Currency 2 2 2" xfId="400"/>
    <cellStyle name="Currency 2 2 2 2" xfId="746"/>
    <cellStyle name="Currency 2 2 3" xfId="391"/>
    <cellStyle name="Currency 2 2 3 2" xfId="430"/>
    <cellStyle name="Currency 2 2 3 2 2" xfId="772"/>
    <cellStyle name="Currency 2 2 3 2 2 2" xfId="1391"/>
    <cellStyle name="Currency 2 2 3 2 2 2 2" xfId="2631"/>
    <cellStyle name="Currency 2 2 3 2 2 3" xfId="2012"/>
    <cellStyle name="Currency 2 2 3 2 3" xfId="1082"/>
    <cellStyle name="Currency 2 2 3 2 3 2" xfId="2322"/>
    <cellStyle name="Currency 2 2 3 2 4" xfId="1703"/>
    <cellStyle name="Currency 2 2 3 3" xfId="736"/>
    <cellStyle name="Currency 2 2 3 3 2" xfId="1370"/>
    <cellStyle name="Currency 2 2 3 3 2 2" xfId="2610"/>
    <cellStyle name="Currency 2 2 3 3 3" xfId="1991"/>
    <cellStyle name="Currency 2 2 3 4" xfId="1061"/>
    <cellStyle name="Currency 2 2 3 4 2" xfId="2301"/>
    <cellStyle name="Currency 2 2 3 5" xfId="1682"/>
    <cellStyle name="Currency 2 2 4" xfId="592"/>
    <cellStyle name="Currency 2 3" xfId="158"/>
    <cellStyle name="Currency 2 3 2" xfId="737"/>
    <cellStyle name="Currency 2 3 3" xfId="392"/>
    <cellStyle name="Currency 2 4" xfId="159"/>
    <cellStyle name="Currency 2 4 2" xfId="403"/>
    <cellStyle name="Currency 2 5" xfId="376"/>
    <cellStyle name="Currency 2 5 2" xfId="431"/>
    <cellStyle name="Currency 2 5 2 2" xfId="773"/>
    <cellStyle name="Currency 2 5 2 2 2" xfId="1392"/>
    <cellStyle name="Currency 2 5 2 2 2 2" xfId="2632"/>
    <cellStyle name="Currency 2 5 2 2 3" xfId="2013"/>
    <cellStyle name="Currency 2 5 2 3" xfId="1083"/>
    <cellStyle name="Currency 2 5 2 3 2" xfId="2323"/>
    <cellStyle name="Currency 2 5 2 4" xfId="1704"/>
    <cellStyle name="Currency 2 5 3" xfId="719"/>
    <cellStyle name="Currency 2 5 3 2" xfId="1356"/>
    <cellStyle name="Currency 2 5 3 2 2" xfId="2596"/>
    <cellStyle name="Currency 2 5 3 3" xfId="1977"/>
    <cellStyle name="Currency 2 5 4" xfId="1047"/>
    <cellStyle name="Currency 2 5 4 2" xfId="2287"/>
    <cellStyle name="Currency 2 5 5" xfId="1668"/>
    <cellStyle name="Currency 2 6" xfId="586"/>
    <cellStyle name="Currency 3" xfId="113"/>
    <cellStyle name="Currency 3 2" xfId="160"/>
    <cellStyle name="Currency 3 2 2" xfId="593"/>
    <cellStyle name="Currency 3 3" xfId="161"/>
    <cellStyle name="Currency 3 3 2" xfId="432"/>
    <cellStyle name="Currency 3 3 2 2" xfId="774"/>
    <cellStyle name="Currency 3 3 2 2 2" xfId="1393"/>
    <cellStyle name="Currency 3 3 2 2 2 2" xfId="2633"/>
    <cellStyle name="Currency 3 3 2 2 3" xfId="2014"/>
    <cellStyle name="Currency 3 3 2 3" xfId="1084"/>
    <cellStyle name="Currency 3 3 2 3 2" xfId="2324"/>
    <cellStyle name="Currency 3 3 2 4" xfId="1705"/>
    <cellStyle name="Currency 3 3 3" xfId="722"/>
    <cellStyle name="Currency 3 3 3 2" xfId="1358"/>
    <cellStyle name="Currency 3 3 3 2 2" xfId="2598"/>
    <cellStyle name="Currency 3 3 3 3" xfId="1979"/>
    <cellStyle name="Currency 3 3 4" xfId="1049"/>
    <cellStyle name="Currency 3 3 4 2" xfId="2289"/>
    <cellStyle name="Currency 3 3 5" xfId="1670"/>
    <cellStyle name="Currency 3 4" xfId="162"/>
    <cellStyle name="Currency 4" xfId="145"/>
    <cellStyle name="Currency 4 2" xfId="163"/>
    <cellStyle name="Currency 4 2 2" xfId="594"/>
    <cellStyle name="Currency 4 3" xfId="164"/>
    <cellStyle name="Currency 4 4" xfId="165"/>
    <cellStyle name="Currency 5" xfId="166"/>
    <cellStyle name="Currency 5 2" xfId="397"/>
    <cellStyle name="Currency 5 2 2" xfId="743"/>
    <cellStyle name="Currency 5 3" xfId="382"/>
    <cellStyle name="Currency 5 3 2" xfId="433"/>
    <cellStyle name="Currency 5 3 2 2" xfId="775"/>
    <cellStyle name="Currency 5 3 2 2 2" xfId="1394"/>
    <cellStyle name="Currency 5 3 2 2 2 2" xfId="2634"/>
    <cellStyle name="Currency 5 3 2 2 3" xfId="2015"/>
    <cellStyle name="Currency 5 3 2 3" xfId="1085"/>
    <cellStyle name="Currency 5 3 2 3 2" xfId="2325"/>
    <cellStyle name="Currency 5 3 2 4" xfId="1706"/>
    <cellStyle name="Currency 5 3 3" xfId="726"/>
    <cellStyle name="Currency 5 3 3 2" xfId="1362"/>
    <cellStyle name="Currency 5 3 3 2 2" xfId="2602"/>
    <cellStyle name="Currency 5 3 3 3" xfId="1983"/>
    <cellStyle name="Currency 5 3 4" xfId="1053"/>
    <cellStyle name="Currency 5 3 4 2" xfId="2293"/>
    <cellStyle name="Currency 5 3 5" xfId="1674"/>
    <cellStyle name="Currency 5 4" xfId="587"/>
    <cellStyle name="Currency 6" xfId="167"/>
    <cellStyle name="Currency 6 2" xfId="302"/>
    <cellStyle name="Currency 6 2 2" xfId="402"/>
    <cellStyle name="Currency 6 2 2 2" xfId="748"/>
    <cellStyle name="Currency 6 2 3" xfId="598"/>
    <cellStyle name="Currency 6 3" xfId="344"/>
    <cellStyle name="Currency 6 3 2" xfId="599"/>
    <cellStyle name="Currency 6 4" xfId="222"/>
    <cellStyle name="Currency 6 4 2" xfId="600"/>
    <cellStyle name="Currency 6 5" xfId="221"/>
    <cellStyle name="Currency 6 5 2" xfId="597"/>
    <cellStyle name="Currency 6 6" xfId="384"/>
    <cellStyle name="Currency 6 6 2" xfId="434"/>
    <cellStyle name="Currency 6 6 2 2" xfId="776"/>
    <cellStyle name="Currency 6 6 2 2 2" xfId="1395"/>
    <cellStyle name="Currency 6 6 2 2 2 2" xfId="2635"/>
    <cellStyle name="Currency 6 6 2 2 3" xfId="2016"/>
    <cellStyle name="Currency 6 6 2 3" xfId="1086"/>
    <cellStyle name="Currency 6 6 2 3 2" xfId="2326"/>
    <cellStyle name="Currency 6 6 2 4" xfId="1707"/>
    <cellStyle name="Currency 6 6 3" xfId="728"/>
    <cellStyle name="Currency 6 6 3 2" xfId="1364"/>
    <cellStyle name="Currency 6 6 3 2 2" xfId="2604"/>
    <cellStyle name="Currency 6 6 3 3" xfId="1985"/>
    <cellStyle name="Currency 6 6 4" xfId="1055"/>
    <cellStyle name="Currency 6 6 4 2" xfId="2295"/>
    <cellStyle name="Currency 6 6 5" xfId="1676"/>
    <cellStyle name="Currency 7" xfId="168"/>
    <cellStyle name="Currency 7 2" xfId="224"/>
    <cellStyle name="Currency 7 2 2" xfId="602"/>
    <cellStyle name="Currency 7 3" xfId="385"/>
    <cellStyle name="Currency 7 3 2" xfId="435"/>
    <cellStyle name="Currency 7 3 2 2" xfId="777"/>
    <cellStyle name="Currency 7 3 2 2 2" xfId="1396"/>
    <cellStyle name="Currency 7 3 2 2 2 2" xfId="2636"/>
    <cellStyle name="Currency 7 3 2 2 3" xfId="2017"/>
    <cellStyle name="Currency 7 3 2 3" xfId="1087"/>
    <cellStyle name="Currency 7 3 2 3 2" xfId="2327"/>
    <cellStyle name="Currency 7 3 2 4" xfId="1708"/>
    <cellStyle name="Currency 7 3 3" xfId="729"/>
    <cellStyle name="Currency 7 3 3 2" xfId="1365"/>
    <cellStyle name="Currency 7 3 3 2 2" xfId="2605"/>
    <cellStyle name="Currency 7 3 3 3" xfId="1986"/>
    <cellStyle name="Currency 7 3 4" xfId="1056"/>
    <cellStyle name="Currency 7 3 4 2" xfId="2296"/>
    <cellStyle name="Currency 7 3 5" xfId="1677"/>
    <cellStyle name="Currency 7 4" xfId="601"/>
    <cellStyle name="Currency 7 5" xfId="223"/>
    <cellStyle name="Currency 8" xfId="169"/>
    <cellStyle name="Currency 8 2" xfId="742"/>
    <cellStyle name="Currency 9" xfId="571"/>
    <cellStyle name="Currency 9 2" xfId="913"/>
    <cellStyle name="Currency 9 2 2" xfId="1532"/>
    <cellStyle name="Currency 9 2 2 2" xfId="2772"/>
    <cellStyle name="Currency 9 2 3" xfId="2153"/>
    <cellStyle name="Currency 9 3" xfId="1223"/>
    <cellStyle name="Currency 9 3 2" xfId="2463"/>
    <cellStyle name="Currency 9 4" xfId="1844"/>
    <cellStyle name="Define your own named style" xfId="114"/>
    <cellStyle name="Draw lines around data in range" xfId="115"/>
    <cellStyle name="Draw shadow and lines within range" xfId="116"/>
    <cellStyle name="Enlarge title text, yellow on blue" xfId="117"/>
    <cellStyle name="Explanatory Text" xfId="20" builtinId="53" customBuiltin="1"/>
    <cellStyle name="Explanatory Text 2" xfId="81"/>
    <cellStyle name="Format a column of totals" xfId="118"/>
    <cellStyle name="Format a row of totals" xfId="119"/>
    <cellStyle name="Format text as bold, black on yello" xfId="120"/>
    <cellStyle name="Format text as bold, black on yellow" xfId="121"/>
    <cellStyle name="FRxAmtStyle" xfId="122"/>
    <cellStyle name="FRxCurrStyle" xfId="123"/>
    <cellStyle name="FRxPcntStyle" xfId="124"/>
    <cellStyle name="Good" xfId="5" builtinId="26" customBuiltin="1"/>
    <cellStyle name="Good 2" xfId="82"/>
    <cellStyle name="Good 3" xfId="336"/>
    <cellStyle name="Heading 1" xfId="7" builtinId="16" customBuiltin="1"/>
    <cellStyle name="Heading 1 2" xfId="83"/>
    <cellStyle name="Heading 2" xfId="8" builtinId="17" customBuiltin="1"/>
    <cellStyle name="Heading 2 2" xfId="84"/>
    <cellStyle name="Heading 3" xfId="9" builtinId="18" customBuiltin="1"/>
    <cellStyle name="Heading 3 2" xfId="85"/>
    <cellStyle name="Heading 4" xfId="10" builtinId="19" customBuiltin="1"/>
    <cellStyle name="Heading 4 2" xfId="86"/>
    <cellStyle name="Hyperlink 2" xfId="415"/>
    <cellStyle name="Input" xfId="13" builtinId="20" customBuiltin="1"/>
    <cellStyle name="Input 2" xfId="87"/>
    <cellStyle name="Input 3" xfId="414"/>
    <cellStyle name="Input 4" xfId="333"/>
    <cellStyle name="Linked Cell" xfId="16" builtinId="24" customBuiltin="1"/>
    <cellStyle name="Linked Cell 2" xfId="88"/>
    <cellStyle name="Neutral" xfId="12" builtinId="28" customBuiltin="1"/>
    <cellStyle name="Neutral 2" xfId="89"/>
    <cellStyle name="Neutral 3" xfId="334"/>
    <cellStyle name="Normal" xfId="0" builtinId="0"/>
    <cellStyle name="Normal 10" xfId="141"/>
    <cellStyle name="Normal 10 2" xfId="170"/>
    <cellStyle name="Normal 10 2 2" xfId="755"/>
    <cellStyle name="Normal 10 3" xfId="171"/>
    <cellStyle name="Normal 11" xfId="142"/>
    <cellStyle name="Normal 11 2" xfId="172"/>
    <cellStyle name="Normal 11 3" xfId="173"/>
    <cellStyle name="Normal 12" xfId="143"/>
    <cellStyle name="Normal 13" xfId="144"/>
    <cellStyle name="Normal 13 2" xfId="174"/>
    <cellStyle name="Normal 13 3" xfId="175"/>
    <cellStyle name="Normal 14" xfId="125"/>
    <cellStyle name="Normal 15" xfId="46"/>
    <cellStyle name="Normal 16" xfId="176"/>
    <cellStyle name="Normal 16 2" xfId="765"/>
    <cellStyle name="Normal 16 2 2" xfId="1384"/>
    <cellStyle name="Normal 16 2 2 2" xfId="2624"/>
    <cellStyle name="Normal 16 2 3" xfId="2005"/>
    <cellStyle name="Normal 16 3" xfId="1075"/>
    <cellStyle name="Normal 16 3 2" xfId="2315"/>
    <cellStyle name="Normal 16 4" xfId="1696"/>
    <cellStyle name="Normal 17" xfId="177"/>
    <cellStyle name="Normal 17 2" xfId="912"/>
    <cellStyle name="Normal 17 2 2" xfId="1531"/>
    <cellStyle name="Normal 17 2 2 2" xfId="2771"/>
    <cellStyle name="Normal 17 2 3" xfId="2152"/>
    <cellStyle name="Normal 17 3" xfId="1222"/>
    <cellStyle name="Normal 17 3 2" xfId="2462"/>
    <cellStyle name="Normal 17 4" xfId="1843"/>
    <cellStyle name="Normal 17 5" xfId="570"/>
    <cellStyle name="Normal 18" xfId="304"/>
    <cellStyle name="Normal 19" xfId="572"/>
    <cellStyle name="Normal 19 2" xfId="1224"/>
    <cellStyle name="Normal 19 2 2" xfId="2464"/>
    <cellStyle name="Normal 19 3" xfId="1845"/>
    <cellStyle name="Normal 2" xfId="2"/>
    <cellStyle name="Normal 2 2" xfId="91"/>
    <cellStyle name="Normal 2 2 2" xfId="178"/>
    <cellStyle name="Normal 2 2 3" xfId="179"/>
    <cellStyle name="Normal 2 3" xfId="107"/>
    <cellStyle name="Normal 2 3 2" xfId="180"/>
    <cellStyle name="Normal 2 3 2 2" xfId="436"/>
    <cellStyle name="Normal 2 3 2 2 2" xfId="778"/>
    <cellStyle name="Normal 2 3 2 2 2 2" xfId="1397"/>
    <cellStyle name="Normal 2 3 2 2 2 2 2" xfId="2637"/>
    <cellStyle name="Normal 2 3 2 2 2 3" xfId="2018"/>
    <cellStyle name="Normal 2 3 2 2 3" xfId="1088"/>
    <cellStyle name="Normal 2 3 2 2 3 2" xfId="2328"/>
    <cellStyle name="Normal 2 3 2 2 4" xfId="1709"/>
    <cellStyle name="Normal 2 3 2 3" xfId="752"/>
    <cellStyle name="Normal 2 3 2 3 2" xfId="1377"/>
    <cellStyle name="Normal 2 3 2 3 2 2" xfId="2617"/>
    <cellStyle name="Normal 2 3 2 3 3" xfId="1998"/>
    <cellStyle name="Normal 2 3 2 4" xfId="1068"/>
    <cellStyle name="Normal 2 3 2 4 2" xfId="2308"/>
    <cellStyle name="Normal 2 3 2 5" xfId="1689"/>
    <cellStyle name="Normal 2 3 3" xfId="181"/>
    <cellStyle name="Normal 2 4" xfId="182"/>
    <cellStyle name="Normal 2 5" xfId="183"/>
    <cellStyle name="Normal 2 5 2" xfId="264"/>
    <cellStyle name="Normal 2 6" xfId="184"/>
    <cellStyle name="Normal 2 7" xfId="90"/>
    <cellStyle name="Normal 2 8" xfId="2773"/>
    <cellStyle name="Normal 20" xfId="914"/>
    <cellStyle name="Normal 20 2" xfId="2154"/>
    <cellStyle name="Normal 21" xfId="305"/>
    <cellStyle name="Normal 21 2" xfId="1549"/>
    <cellStyle name="Normal 22" xfId="1534"/>
    <cellStyle name="Normal 23" xfId="1533"/>
    <cellStyle name="Normal 3" xfId="92"/>
    <cellStyle name="Normal 3 2" xfId="93"/>
    <cellStyle name="Normal 3 2 2" xfId="186"/>
    <cellStyle name="Normal 3 2 2 2" xfId="747"/>
    <cellStyle name="Normal 3 2 2 3" xfId="401"/>
    <cellStyle name="Normal 3 2 3" xfId="187"/>
    <cellStyle name="Normal 3 2 3 2" xfId="405"/>
    <cellStyle name="Normal 3 2 4" xfId="390"/>
    <cellStyle name="Normal 3 2 4 2" xfId="437"/>
    <cellStyle name="Normal 3 2 4 2 2" xfId="779"/>
    <cellStyle name="Normal 3 2 4 2 2 2" xfId="1398"/>
    <cellStyle name="Normal 3 2 4 2 2 2 2" xfId="2638"/>
    <cellStyle name="Normal 3 2 4 2 2 3" xfId="2019"/>
    <cellStyle name="Normal 3 2 4 2 3" xfId="1089"/>
    <cellStyle name="Normal 3 2 4 2 3 2" xfId="2329"/>
    <cellStyle name="Normal 3 2 4 2 4" xfId="1710"/>
    <cellStyle name="Normal 3 2 4 3" xfId="735"/>
    <cellStyle name="Normal 3 2 4 3 2" xfId="1369"/>
    <cellStyle name="Normal 3 2 4 3 2 2" xfId="2609"/>
    <cellStyle name="Normal 3 2 4 3 3" xfId="1990"/>
    <cellStyle name="Normal 3 2 4 4" xfId="1060"/>
    <cellStyle name="Normal 3 2 4 4 2" xfId="2300"/>
    <cellStyle name="Normal 3 2 4 5" xfId="1681"/>
    <cellStyle name="Normal 3 2 5" xfId="595"/>
    <cellStyle name="Normal 3 3" xfId="188"/>
    <cellStyle name="Normal 3 3 2" xfId="412"/>
    <cellStyle name="Normal 3 3 3" xfId="741"/>
    <cellStyle name="Normal 3 3 4" xfId="396"/>
    <cellStyle name="Normal 3 4" xfId="404"/>
    <cellStyle name="Normal 3 5" xfId="375"/>
    <cellStyle name="Normal 3 5 2" xfId="438"/>
    <cellStyle name="Normal 3 5 2 2" xfId="780"/>
    <cellStyle name="Normal 3 5 2 2 2" xfId="1399"/>
    <cellStyle name="Normal 3 5 2 2 2 2" xfId="2639"/>
    <cellStyle name="Normal 3 5 2 2 3" xfId="2020"/>
    <cellStyle name="Normal 3 5 2 3" xfId="1090"/>
    <cellStyle name="Normal 3 5 2 3 2" xfId="2330"/>
    <cellStyle name="Normal 3 5 2 4" xfId="1711"/>
    <cellStyle name="Normal 3 5 3" xfId="718"/>
    <cellStyle name="Normal 3 5 3 2" xfId="1355"/>
    <cellStyle name="Normal 3 5 3 2 2" xfId="2595"/>
    <cellStyle name="Normal 3 5 3 3" xfId="1976"/>
    <cellStyle name="Normal 3 5 4" xfId="1046"/>
    <cellStyle name="Normal 3 5 4 2" xfId="2286"/>
    <cellStyle name="Normal 3 5 5" xfId="1667"/>
    <cellStyle name="Normal 3 6" xfId="588"/>
    <cellStyle name="Normal 3 7" xfId="185"/>
    <cellStyle name="Normal 4" xfId="94"/>
    <cellStyle name="Normal 4 2" xfId="126"/>
    <cellStyle name="Normal 4 2 2" xfId="189"/>
    <cellStyle name="Normal 4 2 2 2" xfId="730"/>
    <cellStyle name="Normal 4 2 2 3" xfId="386"/>
    <cellStyle name="Normal 4 2 3" xfId="190"/>
    <cellStyle name="Normal 4 2 3 2" xfId="408"/>
    <cellStyle name="Normal 4 2 4" xfId="596"/>
    <cellStyle name="Normal 4 3" xfId="191"/>
    <cellStyle name="Normal 4 4" xfId="192"/>
    <cellStyle name="Normal 5" xfId="95"/>
    <cellStyle name="Normal 5 10" xfId="228"/>
    <cellStyle name="Normal 5 10 2" xfId="439"/>
    <cellStyle name="Normal 5 10 2 2" xfId="781"/>
    <cellStyle name="Normal 5 10 2 2 2" xfId="1400"/>
    <cellStyle name="Normal 5 10 2 2 2 2" xfId="2640"/>
    <cellStyle name="Normal 5 10 2 2 3" xfId="2021"/>
    <cellStyle name="Normal 5 10 2 3" xfId="1091"/>
    <cellStyle name="Normal 5 10 2 3 2" xfId="2331"/>
    <cellStyle name="Normal 5 10 2 4" xfId="1712"/>
    <cellStyle name="Normal 5 10 3" xfId="686"/>
    <cellStyle name="Normal 5 10 3 2" xfId="1323"/>
    <cellStyle name="Normal 5 10 3 2 2" xfId="2563"/>
    <cellStyle name="Normal 5 10 3 3" xfId="1944"/>
    <cellStyle name="Normal 5 10 4" xfId="1014"/>
    <cellStyle name="Normal 5 10 4 2" xfId="2254"/>
    <cellStyle name="Normal 5 10 5" xfId="1635"/>
    <cellStyle name="Normal 5 11" xfId="423"/>
    <cellStyle name="Normal 5 11 2" xfId="440"/>
    <cellStyle name="Normal 5 11 2 2" xfId="782"/>
    <cellStyle name="Normal 5 11 2 2 2" xfId="1401"/>
    <cellStyle name="Normal 5 11 2 2 2 2" xfId="2641"/>
    <cellStyle name="Normal 5 11 2 2 3" xfId="2022"/>
    <cellStyle name="Normal 5 11 2 3" xfId="1092"/>
    <cellStyle name="Normal 5 11 2 3 2" xfId="2332"/>
    <cellStyle name="Normal 5 11 2 4" xfId="1713"/>
    <cellStyle name="Normal 5 11 3" xfId="764"/>
    <cellStyle name="Normal 5 11 3 2" xfId="1383"/>
    <cellStyle name="Normal 5 11 3 2 2" xfId="2623"/>
    <cellStyle name="Normal 5 11 3 3" xfId="2004"/>
    <cellStyle name="Normal 5 11 4" xfId="1074"/>
    <cellStyle name="Normal 5 11 4 2" xfId="2314"/>
    <cellStyle name="Normal 5 11 5" xfId="1695"/>
    <cellStyle name="Normal 5 12" xfId="282"/>
    <cellStyle name="Normal 5 12 2" xfId="441"/>
    <cellStyle name="Normal 5 12 2 2" xfId="783"/>
    <cellStyle name="Normal 5 12 2 2 2" xfId="1402"/>
    <cellStyle name="Normal 5 12 2 2 2 2" xfId="2642"/>
    <cellStyle name="Normal 5 12 2 2 3" xfId="2023"/>
    <cellStyle name="Normal 5 12 2 3" xfId="1093"/>
    <cellStyle name="Normal 5 12 2 3 2" xfId="2333"/>
    <cellStyle name="Normal 5 12 2 4" xfId="1714"/>
    <cellStyle name="Normal 5 12 3" xfId="633"/>
    <cellStyle name="Normal 5 12 3 2" xfId="1270"/>
    <cellStyle name="Normal 5 12 3 2 2" xfId="2510"/>
    <cellStyle name="Normal 5 12 3 3" xfId="1891"/>
    <cellStyle name="Normal 5 12 4" xfId="961"/>
    <cellStyle name="Normal 5 12 4 2" xfId="2201"/>
    <cellStyle name="Normal 5 12 5" xfId="1582"/>
    <cellStyle name="Normal 5 13" xfId="424"/>
    <cellStyle name="Normal 5 13 2" xfId="766"/>
    <cellStyle name="Normal 5 13 2 2" xfId="1385"/>
    <cellStyle name="Normal 5 13 2 2 2" xfId="2625"/>
    <cellStyle name="Normal 5 13 2 3" xfId="2006"/>
    <cellStyle name="Normal 5 13 3" xfId="1076"/>
    <cellStyle name="Normal 5 13 3 2" xfId="2316"/>
    <cellStyle name="Normal 5 13 4" xfId="1697"/>
    <cellStyle name="Normal 5 14" xfId="589"/>
    <cellStyle name="Normal 5 14 2" xfId="1238"/>
    <cellStyle name="Normal 5 14 2 2" xfId="2478"/>
    <cellStyle name="Normal 5 14 3" xfId="1859"/>
    <cellStyle name="Normal 5 15" xfId="929"/>
    <cellStyle name="Normal 5 15 2" xfId="2169"/>
    <cellStyle name="Normal 5 16" xfId="1550"/>
    <cellStyle name="Normal 5 2" xfId="193"/>
    <cellStyle name="Normal 5 2 10" xfId="226"/>
    <cellStyle name="Normal 5 2 2" xfId="338"/>
    <cellStyle name="Normal 5 2 2 2" xfId="360"/>
    <cellStyle name="Normal 5 2 2 2 2" xfId="444"/>
    <cellStyle name="Normal 5 2 2 2 2 2" xfId="786"/>
    <cellStyle name="Normal 5 2 2 2 2 2 2" xfId="1405"/>
    <cellStyle name="Normal 5 2 2 2 2 2 2 2" xfId="2645"/>
    <cellStyle name="Normal 5 2 2 2 2 2 3" xfId="2026"/>
    <cellStyle name="Normal 5 2 2 2 2 3" xfId="1096"/>
    <cellStyle name="Normal 5 2 2 2 2 3 2" xfId="2336"/>
    <cellStyle name="Normal 5 2 2 2 2 4" xfId="1717"/>
    <cellStyle name="Normal 5 2 2 2 3" xfId="703"/>
    <cellStyle name="Normal 5 2 2 2 3 2" xfId="1340"/>
    <cellStyle name="Normal 5 2 2 2 3 2 2" xfId="2580"/>
    <cellStyle name="Normal 5 2 2 2 3 3" xfId="1961"/>
    <cellStyle name="Normal 5 2 2 2 4" xfId="1031"/>
    <cellStyle name="Normal 5 2 2 2 4 2" xfId="2271"/>
    <cellStyle name="Normal 5 2 2 2 5" xfId="1652"/>
    <cellStyle name="Normal 5 2 2 3" xfId="422"/>
    <cellStyle name="Normal 5 2 2 3 2" xfId="445"/>
    <cellStyle name="Normal 5 2 2 3 2 2" xfId="787"/>
    <cellStyle name="Normal 5 2 2 3 2 2 2" xfId="1406"/>
    <cellStyle name="Normal 5 2 2 3 2 2 2 2" xfId="2646"/>
    <cellStyle name="Normal 5 2 2 3 2 2 3" xfId="2027"/>
    <cellStyle name="Normal 5 2 2 3 2 3" xfId="1097"/>
    <cellStyle name="Normal 5 2 2 3 2 3 2" xfId="2337"/>
    <cellStyle name="Normal 5 2 2 3 2 4" xfId="1718"/>
    <cellStyle name="Normal 5 2 2 3 3" xfId="763"/>
    <cellStyle name="Normal 5 2 2 3 3 2" xfId="1382"/>
    <cellStyle name="Normal 5 2 2 3 3 2 2" xfId="2622"/>
    <cellStyle name="Normal 5 2 2 3 3 3" xfId="2003"/>
    <cellStyle name="Normal 5 2 2 3 4" xfId="1073"/>
    <cellStyle name="Normal 5 2 2 3 4 2" xfId="2313"/>
    <cellStyle name="Normal 5 2 2 3 5" xfId="1694"/>
    <cellStyle name="Normal 5 2 2 4" xfId="253"/>
    <cellStyle name="Normal 5 2 2 4 2" xfId="446"/>
    <cellStyle name="Normal 5 2 2 4 2 2" xfId="788"/>
    <cellStyle name="Normal 5 2 2 4 2 2 2" xfId="1407"/>
    <cellStyle name="Normal 5 2 2 4 2 2 2 2" xfId="2647"/>
    <cellStyle name="Normal 5 2 2 4 2 2 3" xfId="2028"/>
    <cellStyle name="Normal 5 2 2 4 2 3" xfId="1098"/>
    <cellStyle name="Normal 5 2 2 4 2 3 2" xfId="2338"/>
    <cellStyle name="Normal 5 2 2 4 2 4" xfId="1719"/>
    <cellStyle name="Normal 5 2 2 4 3" xfId="661"/>
    <cellStyle name="Normal 5 2 2 4 3 2" xfId="1298"/>
    <cellStyle name="Normal 5 2 2 4 3 2 2" xfId="2538"/>
    <cellStyle name="Normal 5 2 2 4 3 3" xfId="1919"/>
    <cellStyle name="Normal 5 2 2 4 4" xfId="989"/>
    <cellStyle name="Normal 5 2 2 4 4 2" xfId="2229"/>
    <cellStyle name="Normal 5 2 2 4 5" xfId="1610"/>
    <cellStyle name="Normal 5 2 2 5" xfId="443"/>
    <cellStyle name="Normal 5 2 2 5 2" xfId="785"/>
    <cellStyle name="Normal 5 2 2 5 2 2" xfId="1404"/>
    <cellStyle name="Normal 5 2 2 5 2 2 2" xfId="2644"/>
    <cellStyle name="Normal 5 2 2 5 2 3" xfId="2025"/>
    <cellStyle name="Normal 5 2 2 5 3" xfId="1095"/>
    <cellStyle name="Normal 5 2 2 5 3 2" xfId="2335"/>
    <cellStyle name="Normal 5 2 2 5 4" xfId="1716"/>
    <cellStyle name="Normal 5 2 2 6" xfId="618"/>
    <cellStyle name="Normal 5 2 2 6 2" xfId="1255"/>
    <cellStyle name="Normal 5 2 2 6 2 2" xfId="2495"/>
    <cellStyle name="Normal 5 2 2 6 3" xfId="1876"/>
    <cellStyle name="Normal 5 2 2 7" xfId="946"/>
    <cellStyle name="Normal 5 2 2 7 2" xfId="2186"/>
    <cellStyle name="Normal 5 2 2 8" xfId="1567"/>
    <cellStyle name="Normal 5 2 3" xfId="227"/>
    <cellStyle name="Normal 5 2 3 2" xfId="447"/>
    <cellStyle name="Normal 5 2 3 2 2" xfId="789"/>
    <cellStyle name="Normal 5 2 3 2 2 2" xfId="1408"/>
    <cellStyle name="Normal 5 2 3 2 2 2 2" xfId="2648"/>
    <cellStyle name="Normal 5 2 3 2 2 3" xfId="2029"/>
    <cellStyle name="Normal 5 2 3 2 3" xfId="1099"/>
    <cellStyle name="Normal 5 2 3 2 3 2" xfId="2339"/>
    <cellStyle name="Normal 5 2 3 2 4" xfId="1720"/>
    <cellStyle name="Normal 5 2 3 3" xfId="687"/>
    <cellStyle name="Normal 5 2 3 3 2" xfId="1324"/>
    <cellStyle name="Normal 5 2 3 3 2 2" xfId="2564"/>
    <cellStyle name="Normal 5 2 3 3 3" xfId="1945"/>
    <cellStyle name="Normal 5 2 3 4" xfId="1015"/>
    <cellStyle name="Normal 5 2 3 4 2" xfId="2255"/>
    <cellStyle name="Normal 5 2 3 5" xfId="1636"/>
    <cellStyle name="Normal 5 2 4" xfId="378"/>
    <cellStyle name="Normal 5 2 4 2" xfId="448"/>
    <cellStyle name="Normal 5 2 4 2 2" xfId="790"/>
    <cellStyle name="Normal 5 2 4 2 2 2" xfId="1409"/>
    <cellStyle name="Normal 5 2 4 2 2 2 2" xfId="2649"/>
    <cellStyle name="Normal 5 2 4 2 2 3" xfId="2030"/>
    <cellStyle name="Normal 5 2 4 2 3" xfId="1100"/>
    <cellStyle name="Normal 5 2 4 2 3 2" xfId="2340"/>
    <cellStyle name="Normal 5 2 4 2 4" xfId="1721"/>
    <cellStyle name="Normal 5 2 4 3" xfId="721"/>
    <cellStyle name="Normal 5 2 4 3 2" xfId="1357"/>
    <cellStyle name="Normal 5 2 4 3 2 2" xfId="2597"/>
    <cellStyle name="Normal 5 2 4 3 3" xfId="1978"/>
    <cellStyle name="Normal 5 2 4 4" xfId="1048"/>
    <cellStyle name="Normal 5 2 4 4 2" xfId="2288"/>
    <cellStyle name="Normal 5 2 4 5" xfId="1669"/>
    <cellStyle name="Normal 5 2 5" xfId="281"/>
    <cellStyle name="Normal 5 2 5 2" xfId="449"/>
    <cellStyle name="Normal 5 2 5 2 2" xfId="791"/>
    <cellStyle name="Normal 5 2 5 2 2 2" xfId="1410"/>
    <cellStyle name="Normal 5 2 5 2 2 2 2" xfId="2650"/>
    <cellStyle name="Normal 5 2 5 2 2 3" xfId="2031"/>
    <cellStyle name="Normal 5 2 5 2 3" xfId="1101"/>
    <cellStyle name="Normal 5 2 5 2 3 2" xfId="2341"/>
    <cellStyle name="Normal 5 2 5 2 4" xfId="1722"/>
    <cellStyle name="Normal 5 2 5 3" xfId="634"/>
    <cellStyle name="Normal 5 2 5 3 2" xfId="1271"/>
    <cellStyle name="Normal 5 2 5 3 2 2" xfId="2511"/>
    <cellStyle name="Normal 5 2 5 3 3" xfId="1892"/>
    <cellStyle name="Normal 5 2 5 4" xfId="962"/>
    <cellStyle name="Normal 5 2 5 4 2" xfId="2202"/>
    <cellStyle name="Normal 5 2 5 5" xfId="1583"/>
    <cellStyle name="Normal 5 2 6" xfId="442"/>
    <cellStyle name="Normal 5 2 6 2" xfId="784"/>
    <cellStyle name="Normal 5 2 6 2 2" xfId="1403"/>
    <cellStyle name="Normal 5 2 6 2 2 2" xfId="2643"/>
    <cellStyle name="Normal 5 2 6 2 3" xfId="2024"/>
    <cellStyle name="Normal 5 2 6 3" xfId="1094"/>
    <cellStyle name="Normal 5 2 6 3 2" xfId="2334"/>
    <cellStyle name="Normal 5 2 6 4" xfId="1715"/>
    <cellStyle name="Normal 5 2 7" xfId="604"/>
    <cellStyle name="Normal 5 2 7 2" xfId="1241"/>
    <cellStyle name="Normal 5 2 7 2 2" xfId="2481"/>
    <cellStyle name="Normal 5 2 7 3" xfId="1862"/>
    <cellStyle name="Normal 5 2 8" xfId="932"/>
    <cellStyle name="Normal 5 2 8 2" xfId="2172"/>
    <cellStyle name="Normal 5 2 9" xfId="1553"/>
    <cellStyle name="Normal 5 3" xfId="194"/>
    <cellStyle name="Normal 5 3 2" xfId="339"/>
    <cellStyle name="Normal 5 3 2 2" xfId="361"/>
    <cellStyle name="Normal 5 3 2 2 2" xfId="452"/>
    <cellStyle name="Normal 5 3 2 2 2 2" xfId="794"/>
    <cellStyle name="Normal 5 3 2 2 2 2 2" xfId="1413"/>
    <cellStyle name="Normal 5 3 2 2 2 2 2 2" xfId="2653"/>
    <cellStyle name="Normal 5 3 2 2 2 2 3" xfId="2034"/>
    <cellStyle name="Normal 5 3 2 2 2 3" xfId="1104"/>
    <cellStyle name="Normal 5 3 2 2 2 3 2" xfId="2344"/>
    <cellStyle name="Normal 5 3 2 2 2 4" xfId="1725"/>
    <cellStyle name="Normal 5 3 2 2 3" xfId="704"/>
    <cellStyle name="Normal 5 3 2 2 3 2" xfId="1341"/>
    <cellStyle name="Normal 5 3 2 2 3 2 2" xfId="2581"/>
    <cellStyle name="Normal 5 3 2 2 3 3" xfId="1962"/>
    <cellStyle name="Normal 5 3 2 2 4" xfId="1032"/>
    <cellStyle name="Normal 5 3 2 2 4 2" xfId="2272"/>
    <cellStyle name="Normal 5 3 2 2 5" xfId="1653"/>
    <cellStyle name="Normal 5 3 2 3" xfId="421"/>
    <cellStyle name="Normal 5 3 2 3 2" xfId="453"/>
    <cellStyle name="Normal 5 3 2 3 2 2" xfId="795"/>
    <cellStyle name="Normal 5 3 2 3 2 2 2" xfId="1414"/>
    <cellStyle name="Normal 5 3 2 3 2 2 2 2" xfId="2654"/>
    <cellStyle name="Normal 5 3 2 3 2 2 3" xfId="2035"/>
    <cellStyle name="Normal 5 3 2 3 2 3" xfId="1105"/>
    <cellStyle name="Normal 5 3 2 3 2 3 2" xfId="2345"/>
    <cellStyle name="Normal 5 3 2 3 2 4" xfId="1726"/>
    <cellStyle name="Normal 5 3 2 3 3" xfId="762"/>
    <cellStyle name="Normal 5 3 2 3 3 2" xfId="1381"/>
    <cellStyle name="Normal 5 3 2 3 3 2 2" xfId="2621"/>
    <cellStyle name="Normal 5 3 2 3 3 3" xfId="2002"/>
    <cellStyle name="Normal 5 3 2 3 4" xfId="1072"/>
    <cellStyle name="Normal 5 3 2 3 4 2" xfId="2312"/>
    <cellStyle name="Normal 5 3 2 3 5" xfId="1693"/>
    <cellStyle name="Normal 5 3 2 4" xfId="252"/>
    <cellStyle name="Normal 5 3 2 4 2" xfId="454"/>
    <cellStyle name="Normal 5 3 2 4 2 2" xfId="796"/>
    <cellStyle name="Normal 5 3 2 4 2 2 2" xfId="1415"/>
    <cellStyle name="Normal 5 3 2 4 2 2 2 2" xfId="2655"/>
    <cellStyle name="Normal 5 3 2 4 2 2 3" xfId="2036"/>
    <cellStyle name="Normal 5 3 2 4 2 3" xfId="1106"/>
    <cellStyle name="Normal 5 3 2 4 2 3 2" xfId="2346"/>
    <cellStyle name="Normal 5 3 2 4 2 4" xfId="1727"/>
    <cellStyle name="Normal 5 3 2 4 3" xfId="662"/>
    <cellStyle name="Normal 5 3 2 4 3 2" xfId="1299"/>
    <cellStyle name="Normal 5 3 2 4 3 2 2" xfId="2539"/>
    <cellStyle name="Normal 5 3 2 4 3 3" xfId="1920"/>
    <cellStyle name="Normal 5 3 2 4 4" xfId="990"/>
    <cellStyle name="Normal 5 3 2 4 4 2" xfId="2230"/>
    <cellStyle name="Normal 5 3 2 4 5" xfId="1611"/>
    <cellStyle name="Normal 5 3 2 5" xfId="451"/>
    <cellStyle name="Normal 5 3 2 5 2" xfId="793"/>
    <cellStyle name="Normal 5 3 2 5 2 2" xfId="1412"/>
    <cellStyle name="Normal 5 3 2 5 2 2 2" xfId="2652"/>
    <cellStyle name="Normal 5 3 2 5 2 3" xfId="2033"/>
    <cellStyle name="Normal 5 3 2 5 3" xfId="1103"/>
    <cellStyle name="Normal 5 3 2 5 3 2" xfId="2343"/>
    <cellStyle name="Normal 5 3 2 5 4" xfId="1724"/>
    <cellStyle name="Normal 5 3 2 6" xfId="619"/>
    <cellStyle name="Normal 5 3 2 6 2" xfId="1256"/>
    <cellStyle name="Normal 5 3 2 6 2 2" xfId="2496"/>
    <cellStyle name="Normal 5 3 2 6 3" xfId="1877"/>
    <cellStyle name="Normal 5 3 2 7" xfId="947"/>
    <cellStyle name="Normal 5 3 2 7 2" xfId="2187"/>
    <cellStyle name="Normal 5 3 2 8" xfId="1568"/>
    <cellStyle name="Normal 5 3 3" xfId="345"/>
    <cellStyle name="Normal 5 3 3 2" xfId="455"/>
    <cellStyle name="Normal 5 3 3 2 2" xfId="797"/>
    <cellStyle name="Normal 5 3 3 2 2 2" xfId="1416"/>
    <cellStyle name="Normal 5 3 3 2 2 2 2" xfId="2656"/>
    <cellStyle name="Normal 5 3 3 2 2 3" xfId="2037"/>
    <cellStyle name="Normal 5 3 3 2 3" xfId="1107"/>
    <cellStyle name="Normal 5 3 3 2 3 2" xfId="2347"/>
    <cellStyle name="Normal 5 3 3 2 4" xfId="1728"/>
    <cellStyle name="Normal 5 3 3 3" xfId="688"/>
    <cellStyle name="Normal 5 3 3 3 2" xfId="1325"/>
    <cellStyle name="Normal 5 3 3 3 2 2" xfId="2565"/>
    <cellStyle name="Normal 5 3 3 3 3" xfId="1946"/>
    <cellStyle name="Normal 5 3 3 4" xfId="1016"/>
    <cellStyle name="Normal 5 3 3 4 2" xfId="2256"/>
    <cellStyle name="Normal 5 3 3 5" xfId="1637"/>
    <cellStyle name="Normal 5 3 4" xfId="379"/>
    <cellStyle name="Normal 5 3 4 2" xfId="456"/>
    <cellStyle name="Normal 5 3 4 2 2" xfId="798"/>
    <cellStyle name="Normal 5 3 4 2 2 2" xfId="1417"/>
    <cellStyle name="Normal 5 3 4 2 2 2 2" xfId="2657"/>
    <cellStyle name="Normal 5 3 4 2 2 3" xfId="2038"/>
    <cellStyle name="Normal 5 3 4 2 3" xfId="1108"/>
    <cellStyle name="Normal 5 3 4 2 3 2" xfId="2348"/>
    <cellStyle name="Normal 5 3 4 2 4" xfId="1729"/>
    <cellStyle name="Normal 5 3 4 3" xfId="723"/>
    <cellStyle name="Normal 5 3 4 3 2" xfId="1359"/>
    <cellStyle name="Normal 5 3 4 3 2 2" xfId="2599"/>
    <cellStyle name="Normal 5 3 4 3 3" xfId="1980"/>
    <cellStyle name="Normal 5 3 4 4" xfId="1050"/>
    <cellStyle name="Normal 5 3 4 4 2" xfId="2290"/>
    <cellStyle name="Normal 5 3 4 5" xfId="1671"/>
    <cellStyle name="Normal 5 3 5" xfId="280"/>
    <cellStyle name="Normal 5 3 5 2" xfId="457"/>
    <cellStyle name="Normal 5 3 5 2 2" xfId="799"/>
    <cellStyle name="Normal 5 3 5 2 2 2" xfId="1418"/>
    <cellStyle name="Normal 5 3 5 2 2 2 2" xfId="2658"/>
    <cellStyle name="Normal 5 3 5 2 2 3" xfId="2039"/>
    <cellStyle name="Normal 5 3 5 2 3" xfId="1109"/>
    <cellStyle name="Normal 5 3 5 2 3 2" xfId="2349"/>
    <cellStyle name="Normal 5 3 5 2 4" xfId="1730"/>
    <cellStyle name="Normal 5 3 5 3" xfId="635"/>
    <cellStyle name="Normal 5 3 5 3 2" xfId="1272"/>
    <cellStyle name="Normal 5 3 5 3 2 2" xfId="2512"/>
    <cellStyle name="Normal 5 3 5 3 3" xfId="1893"/>
    <cellStyle name="Normal 5 3 5 4" xfId="963"/>
    <cellStyle name="Normal 5 3 5 4 2" xfId="2203"/>
    <cellStyle name="Normal 5 3 5 5" xfId="1584"/>
    <cellStyle name="Normal 5 3 6" xfId="450"/>
    <cellStyle name="Normal 5 3 6 2" xfId="792"/>
    <cellStyle name="Normal 5 3 6 2 2" xfId="1411"/>
    <cellStyle name="Normal 5 3 6 2 2 2" xfId="2651"/>
    <cellStyle name="Normal 5 3 6 2 3" xfId="2032"/>
    <cellStyle name="Normal 5 3 6 3" xfId="1102"/>
    <cellStyle name="Normal 5 3 6 3 2" xfId="2342"/>
    <cellStyle name="Normal 5 3 6 4" xfId="1723"/>
    <cellStyle name="Normal 5 3 7" xfId="605"/>
    <cellStyle name="Normal 5 3 7 2" xfId="1242"/>
    <cellStyle name="Normal 5 3 7 2 2" xfId="2482"/>
    <cellStyle name="Normal 5 3 7 3" xfId="1863"/>
    <cellStyle name="Normal 5 3 8" xfId="933"/>
    <cellStyle name="Normal 5 3 8 2" xfId="2173"/>
    <cellStyle name="Normal 5 3 9" xfId="1554"/>
    <cellStyle name="Normal 5 4" xfId="301"/>
    <cellStyle name="Normal 5 4 2" xfId="340"/>
    <cellStyle name="Normal 5 4 2 2" xfId="362"/>
    <cellStyle name="Normal 5 4 2 2 2" xfId="460"/>
    <cellStyle name="Normal 5 4 2 2 2 2" xfId="802"/>
    <cellStyle name="Normal 5 4 2 2 2 2 2" xfId="1421"/>
    <cellStyle name="Normal 5 4 2 2 2 2 2 2" xfId="2661"/>
    <cellStyle name="Normal 5 4 2 2 2 2 3" xfId="2042"/>
    <cellStyle name="Normal 5 4 2 2 2 3" xfId="1112"/>
    <cellStyle name="Normal 5 4 2 2 2 3 2" xfId="2352"/>
    <cellStyle name="Normal 5 4 2 2 2 4" xfId="1733"/>
    <cellStyle name="Normal 5 4 2 2 3" xfId="705"/>
    <cellStyle name="Normal 5 4 2 2 3 2" xfId="1342"/>
    <cellStyle name="Normal 5 4 2 2 3 2 2" xfId="2582"/>
    <cellStyle name="Normal 5 4 2 2 3 3" xfId="1963"/>
    <cellStyle name="Normal 5 4 2 2 4" xfId="1033"/>
    <cellStyle name="Normal 5 4 2 2 4 2" xfId="2273"/>
    <cellStyle name="Normal 5 4 2 2 5" xfId="1654"/>
    <cellStyle name="Normal 5 4 2 3" xfId="410"/>
    <cellStyle name="Normal 5 4 2 3 2" xfId="461"/>
    <cellStyle name="Normal 5 4 2 3 2 2" xfId="803"/>
    <cellStyle name="Normal 5 4 2 3 2 2 2" xfId="1422"/>
    <cellStyle name="Normal 5 4 2 3 2 2 2 2" xfId="2662"/>
    <cellStyle name="Normal 5 4 2 3 2 2 3" xfId="2043"/>
    <cellStyle name="Normal 5 4 2 3 2 3" xfId="1113"/>
    <cellStyle name="Normal 5 4 2 3 2 3 2" xfId="2353"/>
    <cellStyle name="Normal 5 4 2 3 2 4" xfId="1734"/>
    <cellStyle name="Normal 5 4 2 3 3" xfId="757"/>
    <cellStyle name="Normal 5 4 2 3 3 2" xfId="1379"/>
    <cellStyle name="Normal 5 4 2 3 3 2 2" xfId="2619"/>
    <cellStyle name="Normal 5 4 2 3 3 3" xfId="2000"/>
    <cellStyle name="Normal 5 4 2 3 4" xfId="1070"/>
    <cellStyle name="Normal 5 4 2 3 4 2" xfId="2310"/>
    <cellStyle name="Normal 5 4 2 3 5" xfId="1691"/>
    <cellStyle name="Normal 5 4 2 4" xfId="251"/>
    <cellStyle name="Normal 5 4 2 4 2" xfId="462"/>
    <cellStyle name="Normal 5 4 2 4 2 2" xfId="804"/>
    <cellStyle name="Normal 5 4 2 4 2 2 2" xfId="1423"/>
    <cellStyle name="Normal 5 4 2 4 2 2 2 2" xfId="2663"/>
    <cellStyle name="Normal 5 4 2 4 2 2 3" xfId="2044"/>
    <cellStyle name="Normal 5 4 2 4 2 3" xfId="1114"/>
    <cellStyle name="Normal 5 4 2 4 2 3 2" xfId="2354"/>
    <cellStyle name="Normal 5 4 2 4 2 4" xfId="1735"/>
    <cellStyle name="Normal 5 4 2 4 3" xfId="663"/>
    <cellStyle name="Normal 5 4 2 4 3 2" xfId="1300"/>
    <cellStyle name="Normal 5 4 2 4 3 2 2" xfId="2540"/>
    <cellStyle name="Normal 5 4 2 4 3 3" xfId="1921"/>
    <cellStyle name="Normal 5 4 2 4 4" xfId="991"/>
    <cellStyle name="Normal 5 4 2 4 4 2" xfId="2231"/>
    <cellStyle name="Normal 5 4 2 4 5" xfId="1612"/>
    <cellStyle name="Normal 5 4 2 5" xfId="459"/>
    <cellStyle name="Normal 5 4 2 5 2" xfId="801"/>
    <cellStyle name="Normal 5 4 2 5 2 2" xfId="1420"/>
    <cellStyle name="Normal 5 4 2 5 2 2 2" xfId="2660"/>
    <cellStyle name="Normal 5 4 2 5 2 3" xfId="2041"/>
    <cellStyle name="Normal 5 4 2 5 3" xfId="1111"/>
    <cellStyle name="Normal 5 4 2 5 3 2" xfId="2351"/>
    <cellStyle name="Normal 5 4 2 5 4" xfId="1732"/>
    <cellStyle name="Normal 5 4 2 6" xfId="620"/>
    <cellStyle name="Normal 5 4 2 6 2" xfId="1257"/>
    <cellStyle name="Normal 5 4 2 6 2 2" xfId="2497"/>
    <cellStyle name="Normal 5 4 2 6 3" xfId="1878"/>
    <cellStyle name="Normal 5 4 2 7" xfId="948"/>
    <cellStyle name="Normal 5 4 2 7 2" xfId="2188"/>
    <cellStyle name="Normal 5 4 2 8" xfId="1569"/>
    <cellStyle name="Normal 5 4 3" xfId="346"/>
    <cellStyle name="Normal 5 4 3 2" xfId="463"/>
    <cellStyle name="Normal 5 4 3 2 2" xfId="805"/>
    <cellStyle name="Normal 5 4 3 2 2 2" xfId="1424"/>
    <cellStyle name="Normal 5 4 3 2 2 2 2" xfId="2664"/>
    <cellStyle name="Normal 5 4 3 2 2 3" xfId="2045"/>
    <cellStyle name="Normal 5 4 3 2 3" xfId="1115"/>
    <cellStyle name="Normal 5 4 3 2 3 2" xfId="2355"/>
    <cellStyle name="Normal 5 4 3 2 4" xfId="1736"/>
    <cellStyle name="Normal 5 4 3 3" xfId="689"/>
    <cellStyle name="Normal 5 4 3 3 2" xfId="1326"/>
    <cellStyle name="Normal 5 4 3 3 2 2" xfId="2566"/>
    <cellStyle name="Normal 5 4 3 3 3" xfId="1947"/>
    <cellStyle name="Normal 5 4 3 4" xfId="1017"/>
    <cellStyle name="Normal 5 4 3 4 2" xfId="2257"/>
    <cellStyle name="Normal 5 4 3 5" xfId="1638"/>
    <cellStyle name="Normal 5 4 4" xfId="234"/>
    <cellStyle name="Normal 5 4 4 2" xfId="464"/>
    <cellStyle name="Normal 5 4 4 2 2" xfId="806"/>
    <cellStyle name="Normal 5 4 4 2 2 2" xfId="1425"/>
    <cellStyle name="Normal 5 4 4 2 2 2 2" xfId="2665"/>
    <cellStyle name="Normal 5 4 4 2 2 3" xfId="2046"/>
    <cellStyle name="Normal 5 4 4 2 3" xfId="1116"/>
    <cellStyle name="Normal 5 4 4 2 3 2" xfId="2356"/>
    <cellStyle name="Normal 5 4 4 2 4" xfId="1737"/>
    <cellStyle name="Normal 5 4 4 3" xfId="680"/>
    <cellStyle name="Normal 5 4 4 3 2" xfId="1317"/>
    <cellStyle name="Normal 5 4 4 3 2 2" xfId="2557"/>
    <cellStyle name="Normal 5 4 4 3 3" xfId="1938"/>
    <cellStyle name="Normal 5 4 4 4" xfId="1008"/>
    <cellStyle name="Normal 5 4 4 4 2" xfId="2248"/>
    <cellStyle name="Normal 5 4 4 5" xfId="1629"/>
    <cellStyle name="Normal 5 4 5" xfId="279"/>
    <cellStyle name="Normal 5 4 5 2" xfId="465"/>
    <cellStyle name="Normal 5 4 5 2 2" xfId="807"/>
    <cellStyle name="Normal 5 4 5 2 2 2" xfId="1426"/>
    <cellStyle name="Normal 5 4 5 2 2 2 2" xfId="2666"/>
    <cellStyle name="Normal 5 4 5 2 2 3" xfId="2047"/>
    <cellStyle name="Normal 5 4 5 2 3" xfId="1117"/>
    <cellStyle name="Normal 5 4 5 2 3 2" xfId="2357"/>
    <cellStyle name="Normal 5 4 5 2 4" xfId="1738"/>
    <cellStyle name="Normal 5 4 5 3" xfId="636"/>
    <cellStyle name="Normal 5 4 5 3 2" xfId="1273"/>
    <cellStyle name="Normal 5 4 5 3 2 2" xfId="2513"/>
    <cellStyle name="Normal 5 4 5 3 3" xfId="1894"/>
    <cellStyle name="Normal 5 4 5 4" xfId="964"/>
    <cellStyle name="Normal 5 4 5 4 2" xfId="2204"/>
    <cellStyle name="Normal 5 4 5 5" xfId="1585"/>
    <cellStyle name="Normal 5 4 6" xfId="458"/>
    <cellStyle name="Normal 5 4 6 2" xfId="800"/>
    <cellStyle name="Normal 5 4 6 2 2" xfId="1419"/>
    <cellStyle name="Normal 5 4 6 2 2 2" xfId="2659"/>
    <cellStyle name="Normal 5 4 6 2 3" xfId="2040"/>
    <cellStyle name="Normal 5 4 6 3" xfId="1110"/>
    <cellStyle name="Normal 5 4 6 3 2" xfId="2350"/>
    <cellStyle name="Normal 5 4 6 4" xfId="1731"/>
    <cellStyle name="Normal 5 4 7" xfId="606"/>
    <cellStyle name="Normal 5 4 7 2" xfId="1243"/>
    <cellStyle name="Normal 5 4 7 2 2" xfId="2483"/>
    <cellStyle name="Normal 5 4 7 3" xfId="1864"/>
    <cellStyle name="Normal 5 4 8" xfId="934"/>
    <cellStyle name="Normal 5 4 8 2" xfId="2174"/>
    <cellStyle name="Normal 5 4 9" xfId="1555"/>
    <cellStyle name="Normal 5 5" xfId="300"/>
    <cellStyle name="Normal 5 5 2" xfId="341"/>
    <cellStyle name="Normal 5 5 2 2" xfId="363"/>
    <cellStyle name="Normal 5 5 2 2 2" xfId="468"/>
    <cellStyle name="Normal 5 5 2 2 2 2" xfId="810"/>
    <cellStyle name="Normal 5 5 2 2 2 2 2" xfId="1429"/>
    <cellStyle name="Normal 5 5 2 2 2 2 2 2" xfId="2669"/>
    <cellStyle name="Normal 5 5 2 2 2 2 3" xfId="2050"/>
    <cellStyle name="Normal 5 5 2 2 2 3" xfId="1120"/>
    <cellStyle name="Normal 5 5 2 2 2 3 2" xfId="2360"/>
    <cellStyle name="Normal 5 5 2 2 2 4" xfId="1741"/>
    <cellStyle name="Normal 5 5 2 2 3" xfId="706"/>
    <cellStyle name="Normal 5 5 2 2 3 2" xfId="1343"/>
    <cellStyle name="Normal 5 5 2 2 3 2 2" xfId="2583"/>
    <cellStyle name="Normal 5 5 2 2 3 3" xfId="1964"/>
    <cellStyle name="Normal 5 5 2 2 4" xfId="1034"/>
    <cellStyle name="Normal 5 5 2 2 4 2" xfId="2274"/>
    <cellStyle name="Normal 5 5 2 2 5" xfId="1655"/>
    <cellStyle name="Normal 5 5 2 3" xfId="399"/>
    <cellStyle name="Normal 5 5 2 3 2" xfId="469"/>
    <cellStyle name="Normal 5 5 2 3 2 2" xfId="811"/>
    <cellStyle name="Normal 5 5 2 3 2 2 2" xfId="1430"/>
    <cellStyle name="Normal 5 5 2 3 2 2 2 2" xfId="2670"/>
    <cellStyle name="Normal 5 5 2 3 2 2 3" xfId="2051"/>
    <cellStyle name="Normal 5 5 2 3 2 3" xfId="1121"/>
    <cellStyle name="Normal 5 5 2 3 2 3 2" xfId="2361"/>
    <cellStyle name="Normal 5 5 2 3 2 4" xfId="1742"/>
    <cellStyle name="Normal 5 5 2 3 3" xfId="745"/>
    <cellStyle name="Normal 5 5 2 3 3 2" xfId="1374"/>
    <cellStyle name="Normal 5 5 2 3 3 2 2" xfId="2614"/>
    <cellStyle name="Normal 5 5 2 3 3 3" xfId="1995"/>
    <cellStyle name="Normal 5 5 2 3 4" xfId="1065"/>
    <cellStyle name="Normal 5 5 2 3 4 2" xfId="2305"/>
    <cellStyle name="Normal 5 5 2 3 5" xfId="1686"/>
    <cellStyle name="Normal 5 5 2 4" xfId="250"/>
    <cellStyle name="Normal 5 5 2 4 2" xfId="470"/>
    <cellStyle name="Normal 5 5 2 4 2 2" xfId="812"/>
    <cellStyle name="Normal 5 5 2 4 2 2 2" xfId="1431"/>
    <cellStyle name="Normal 5 5 2 4 2 2 2 2" xfId="2671"/>
    <cellStyle name="Normal 5 5 2 4 2 2 3" xfId="2052"/>
    <cellStyle name="Normal 5 5 2 4 2 3" xfId="1122"/>
    <cellStyle name="Normal 5 5 2 4 2 3 2" xfId="2362"/>
    <cellStyle name="Normal 5 5 2 4 2 4" xfId="1743"/>
    <cellStyle name="Normal 5 5 2 4 3" xfId="664"/>
    <cellStyle name="Normal 5 5 2 4 3 2" xfId="1301"/>
    <cellStyle name="Normal 5 5 2 4 3 2 2" xfId="2541"/>
    <cellStyle name="Normal 5 5 2 4 3 3" xfId="1922"/>
    <cellStyle name="Normal 5 5 2 4 4" xfId="992"/>
    <cellStyle name="Normal 5 5 2 4 4 2" xfId="2232"/>
    <cellStyle name="Normal 5 5 2 4 5" xfId="1613"/>
    <cellStyle name="Normal 5 5 2 5" xfId="467"/>
    <cellStyle name="Normal 5 5 2 5 2" xfId="809"/>
    <cellStyle name="Normal 5 5 2 5 2 2" xfId="1428"/>
    <cellStyle name="Normal 5 5 2 5 2 2 2" xfId="2668"/>
    <cellStyle name="Normal 5 5 2 5 2 3" xfId="2049"/>
    <cellStyle name="Normal 5 5 2 5 3" xfId="1119"/>
    <cellStyle name="Normal 5 5 2 5 3 2" xfId="2359"/>
    <cellStyle name="Normal 5 5 2 5 4" xfId="1740"/>
    <cellStyle name="Normal 5 5 2 6" xfId="621"/>
    <cellStyle name="Normal 5 5 2 6 2" xfId="1258"/>
    <cellStyle name="Normal 5 5 2 6 2 2" xfId="2498"/>
    <cellStyle name="Normal 5 5 2 6 3" xfId="1879"/>
    <cellStyle name="Normal 5 5 2 7" xfId="949"/>
    <cellStyle name="Normal 5 5 2 7 2" xfId="2189"/>
    <cellStyle name="Normal 5 5 2 8" xfId="1570"/>
    <cellStyle name="Normal 5 5 3" xfId="347"/>
    <cellStyle name="Normal 5 5 3 2" xfId="471"/>
    <cellStyle name="Normal 5 5 3 2 2" xfId="813"/>
    <cellStyle name="Normal 5 5 3 2 2 2" xfId="1432"/>
    <cellStyle name="Normal 5 5 3 2 2 2 2" xfId="2672"/>
    <cellStyle name="Normal 5 5 3 2 2 3" xfId="2053"/>
    <cellStyle name="Normal 5 5 3 2 3" xfId="1123"/>
    <cellStyle name="Normal 5 5 3 2 3 2" xfId="2363"/>
    <cellStyle name="Normal 5 5 3 2 4" xfId="1744"/>
    <cellStyle name="Normal 5 5 3 3" xfId="690"/>
    <cellStyle name="Normal 5 5 3 3 2" xfId="1327"/>
    <cellStyle name="Normal 5 5 3 3 2 2" xfId="2567"/>
    <cellStyle name="Normal 5 5 3 3 3" xfId="1948"/>
    <cellStyle name="Normal 5 5 3 4" xfId="1018"/>
    <cellStyle name="Normal 5 5 3 4 2" xfId="2258"/>
    <cellStyle name="Normal 5 5 3 5" xfId="1639"/>
    <cellStyle name="Normal 5 5 4" xfId="406"/>
    <cellStyle name="Normal 5 5 4 2" xfId="394"/>
    <cellStyle name="Normal 5 5 4 2 2" xfId="472"/>
    <cellStyle name="Normal 5 5 4 2 2 2" xfId="814"/>
    <cellStyle name="Normal 5 5 4 2 2 2 2" xfId="1433"/>
    <cellStyle name="Normal 5 5 4 2 2 2 2 2" xfId="2673"/>
    <cellStyle name="Normal 5 5 4 2 2 2 3" xfId="2054"/>
    <cellStyle name="Normal 5 5 4 2 2 3" xfId="1124"/>
    <cellStyle name="Normal 5 5 4 2 2 3 2" xfId="2364"/>
    <cellStyle name="Normal 5 5 4 2 2 4" xfId="1745"/>
    <cellStyle name="Normal 5 5 4 2 3" xfId="739"/>
    <cellStyle name="Normal 5 5 4 2 3 2" xfId="1372"/>
    <cellStyle name="Normal 5 5 4 2 3 2 2" xfId="2612"/>
    <cellStyle name="Normal 5 5 4 2 3 3" xfId="1993"/>
    <cellStyle name="Normal 5 5 4 2 4" xfId="1063"/>
    <cellStyle name="Normal 5 5 4 2 4 2" xfId="2303"/>
    <cellStyle name="Normal 5 5 4 2 5" xfId="1684"/>
    <cellStyle name="Normal 5 5 5" xfId="278"/>
    <cellStyle name="Normal 5 5 5 2" xfId="473"/>
    <cellStyle name="Normal 5 5 5 2 2" xfId="815"/>
    <cellStyle name="Normal 5 5 5 2 2 2" xfId="1434"/>
    <cellStyle name="Normal 5 5 5 2 2 2 2" xfId="2674"/>
    <cellStyle name="Normal 5 5 5 2 2 3" xfId="2055"/>
    <cellStyle name="Normal 5 5 5 2 3" xfId="1125"/>
    <cellStyle name="Normal 5 5 5 2 3 2" xfId="2365"/>
    <cellStyle name="Normal 5 5 5 2 4" xfId="1746"/>
    <cellStyle name="Normal 5 5 5 3" xfId="637"/>
    <cellStyle name="Normal 5 5 5 3 2" xfId="1274"/>
    <cellStyle name="Normal 5 5 5 3 2 2" xfId="2514"/>
    <cellStyle name="Normal 5 5 5 3 3" xfId="1895"/>
    <cellStyle name="Normal 5 5 5 4" xfId="965"/>
    <cellStyle name="Normal 5 5 5 4 2" xfId="2205"/>
    <cellStyle name="Normal 5 5 5 5" xfId="1586"/>
    <cellStyle name="Normal 5 5 6" xfId="466"/>
    <cellStyle name="Normal 5 5 6 2" xfId="808"/>
    <cellStyle name="Normal 5 5 6 2 2" xfId="1427"/>
    <cellStyle name="Normal 5 5 6 2 2 2" xfId="2667"/>
    <cellStyle name="Normal 5 5 6 2 3" xfId="2048"/>
    <cellStyle name="Normal 5 5 6 3" xfId="1118"/>
    <cellStyle name="Normal 5 5 6 3 2" xfId="2358"/>
    <cellStyle name="Normal 5 5 6 4" xfId="1739"/>
    <cellStyle name="Normal 5 5 7" xfId="607"/>
    <cellStyle name="Normal 5 5 7 2" xfId="1244"/>
    <cellStyle name="Normal 5 5 7 2 2" xfId="2484"/>
    <cellStyle name="Normal 5 5 7 3" xfId="1865"/>
    <cellStyle name="Normal 5 5 8" xfId="935"/>
    <cellStyle name="Normal 5 5 8 2" xfId="2175"/>
    <cellStyle name="Normal 5 5 9" xfId="1556"/>
    <cellStyle name="Normal 5 6" xfId="299"/>
    <cellStyle name="Normal 5 6 2" xfId="342"/>
    <cellStyle name="Normal 5 6 2 2" xfId="364"/>
    <cellStyle name="Normal 5 6 2 2 2" xfId="476"/>
    <cellStyle name="Normal 5 6 2 2 2 2" xfId="818"/>
    <cellStyle name="Normal 5 6 2 2 2 2 2" xfId="1437"/>
    <cellStyle name="Normal 5 6 2 2 2 2 2 2" xfId="2677"/>
    <cellStyle name="Normal 5 6 2 2 2 2 3" xfId="2058"/>
    <cellStyle name="Normal 5 6 2 2 2 3" xfId="1128"/>
    <cellStyle name="Normal 5 6 2 2 2 3 2" xfId="2368"/>
    <cellStyle name="Normal 5 6 2 2 2 4" xfId="1749"/>
    <cellStyle name="Normal 5 6 2 2 3" xfId="707"/>
    <cellStyle name="Normal 5 6 2 2 3 2" xfId="1344"/>
    <cellStyle name="Normal 5 6 2 2 3 2 2" xfId="2584"/>
    <cellStyle name="Normal 5 6 2 2 3 3" xfId="1965"/>
    <cellStyle name="Normal 5 6 2 2 4" xfId="1035"/>
    <cellStyle name="Normal 5 6 2 2 4 2" xfId="2275"/>
    <cellStyle name="Normal 5 6 2 2 5" xfId="1656"/>
    <cellStyle name="Normal 5 6 2 3" xfId="383"/>
    <cellStyle name="Normal 5 6 2 3 2" xfId="477"/>
    <cellStyle name="Normal 5 6 2 3 2 2" xfId="819"/>
    <cellStyle name="Normal 5 6 2 3 2 2 2" xfId="1438"/>
    <cellStyle name="Normal 5 6 2 3 2 2 2 2" xfId="2678"/>
    <cellStyle name="Normal 5 6 2 3 2 2 3" xfId="2059"/>
    <cellStyle name="Normal 5 6 2 3 2 3" xfId="1129"/>
    <cellStyle name="Normal 5 6 2 3 2 3 2" xfId="2369"/>
    <cellStyle name="Normal 5 6 2 3 2 4" xfId="1750"/>
    <cellStyle name="Normal 5 6 2 3 3" xfId="727"/>
    <cellStyle name="Normal 5 6 2 3 3 2" xfId="1363"/>
    <cellStyle name="Normal 5 6 2 3 3 2 2" xfId="2603"/>
    <cellStyle name="Normal 5 6 2 3 3 3" xfId="1984"/>
    <cellStyle name="Normal 5 6 2 3 4" xfId="1054"/>
    <cellStyle name="Normal 5 6 2 3 4 2" xfId="2294"/>
    <cellStyle name="Normal 5 6 2 3 5" xfId="1675"/>
    <cellStyle name="Normal 5 6 2 4" xfId="249"/>
    <cellStyle name="Normal 5 6 2 4 2" xfId="478"/>
    <cellStyle name="Normal 5 6 2 4 2 2" xfId="820"/>
    <cellStyle name="Normal 5 6 2 4 2 2 2" xfId="1439"/>
    <cellStyle name="Normal 5 6 2 4 2 2 2 2" xfId="2679"/>
    <cellStyle name="Normal 5 6 2 4 2 2 3" xfId="2060"/>
    <cellStyle name="Normal 5 6 2 4 2 3" xfId="1130"/>
    <cellStyle name="Normal 5 6 2 4 2 3 2" xfId="2370"/>
    <cellStyle name="Normal 5 6 2 4 2 4" xfId="1751"/>
    <cellStyle name="Normal 5 6 2 4 3" xfId="665"/>
    <cellStyle name="Normal 5 6 2 4 3 2" xfId="1302"/>
    <cellStyle name="Normal 5 6 2 4 3 2 2" xfId="2542"/>
    <cellStyle name="Normal 5 6 2 4 3 3" xfId="1923"/>
    <cellStyle name="Normal 5 6 2 4 4" xfId="993"/>
    <cellStyle name="Normal 5 6 2 4 4 2" xfId="2233"/>
    <cellStyle name="Normal 5 6 2 4 5" xfId="1614"/>
    <cellStyle name="Normal 5 6 2 5" xfId="475"/>
    <cellStyle name="Normal 5 6 2 5 2" xfId="817"/>
    <cellStyle name="Normal 5 6 2 5 2 2" xfId="1436"/>
    <cellStyle name="Normal 5 6 2 5 2 2 2" xfId="2676"/>
    <cellStyle name="Normal 5 6 2 5 2 3" xfId="2057"/>
    <cellStyle name="Normal 5 6 2 5 3" xfId="1127"/>
    <cellStyle name="Normal 5 6 2 5 3 2" xfId="2367"/>
    <cellStyle name="Normal 5 6 2 5 4" xfId="1748"/>
    <cellStyle name="Normal 5 6 2 6" xfId="622"/>
    <cellStyle name="Normal 5 6 2 6 2" xfId="1259"/>
    <cellStyle name="Normal 5 6 2 6 2 2" xfId="2499"/>
    <cellStyle name="Normal 5 6 2 6 3" xfId="1880"/>
    <cellStyle name="Normal 5 6 2 7" xfId="950"/>
    <cellStyle name="Normal 5 6 2 7 2" xfId="2190"/>
    <cellStyle name="Normal 5 6 2 8" xfId="1571"/>
    <cellStyle name="Normal 5 6 3" xfId="348"/>
    <cellStyle name="Normal 5 6 3 2" xfId="479"/>
    <cellStyle name="Normal 5 6 3 2 2" xfId="821"/>
    <cellStyle name="Normal 5 6 3 2 2 2" xfId="1440"/>
    <cellStyle name="Normal 5 6 3 2 2 2 2" xfId="2680"/>
    <cellStyle name="Normal 5 6 3 2 2 3" xfId="2061"/>
    <cellStyle name="Normal 5 6 3 2 3" xfId="1131"/>
    <cellStyle name="Normal 5 6 3 2 3 2" xfId="2371"/>
    <cellStyle name="Normal 5 6 3 2 4" xfId="1752"/>
    <cellStyle name="Normal 5 6 3 3" xfId="691"/>
    <cellStyle name="Normal 5 6 3 3 2" xfId="1328"/>
    <cellStyle name="Normal 5 6 3 3 2 2" xfId="2568"/>
    <cellStyle name="Normal 5 6 3 3 3" xfId="1949"/>
    <cellStyle name="Normal 5 6 3 4" xfId="1019"/>
    <cellStyle name="Normal 5 6 3 4 2" xfId="2259"/>
    <cellStyle name="Normal 5 6 3 5" xfId="1640"/>
    <cellStyle name="Normal 5 6 4" xfId="395"/>
    <cellStyle name="Normal 5 6 4 2" xfId="480"/>
    <cellStyle name="Normal 5 6 4 2 2" xfId="822"/>
    <cellStyle name="Normal 5 6 4 2 2 2" xfId="1441"/>
    <cellStyle name="Normal 5 6 4 2 2 2 2" xfId="2681"/>
    <cellStyle name="Normal 5 6 4 2 2 3" xfId="2062"/>
    <cellStyle name="Normal 5 6 4 2 3" xfId="1132"/>
    <cellStyle name="Normal 5 6 4 2 3 2" xfId="2372"/>
    <cellStyle name="Normal 5 6 4 2 4" xfId="1753"/>
    <cellStyle name="Normal 5 6 4 3" xfId="740"/>
    <cellStyle name="Normal 5 6 4 3 2" xfId="1373"/>
    <cellStyle name="Normal 5 6 4 3 2 2" xfId="2613"/>
    <cellStyle name="Normal 5 6 4 3 3" xfId="1994"/>
    <cellStyle name="Normal 5 6 4 4" xfId="1064"/>
    <cellStyle name="Normal 5 6 4 4 2" xfId="2304"/>
    <cellStyle name="Normal 5 6 4 5" xfId="1685"/>
    <cellStyle name="Normal 5 6 5" xfId="277"/>
    <cellStyle name="Normal 5 6 5 2" xfId="481"/>
    <cellStyle name="Normal 5 6 5 2 2" xfId="823"/>
    <cellStyle name="Normal 5 6 5 2 2 2" xfId="1442"/>
    <cellStyle name="Normal 5 6 5 2 2 2 2" xfId="2682"/>
    <cellStyle name="Normal 5 6 5 2 2 3" xfId="2063"/>
    <cellStyle name="Normal 5 6 5 2 3" xfId="1133"/>
    <cellStyle name="Normal 5 6 5 2 3 2" xfId="2373"/>
    <cellStyle name="Normal 5 6 5 2 4" xfId="1754"/>
    <cellStyle name="Normal 5 6 5 3" xfId="638"/>
    <cellStyle name="Normal 5 6 5 3 2" xfId="1275"/>
    <cellStyle name="Normal 5 6 5 3 2 2" xfId="2515"/>
    <cellStyle name="Normal 5 6 5 3 3" xfId="1896"/>
    <cellStyle name="Normal 5 6 5 4" xfId="966"/>
    <cellStyle name="Normal 5 6 5 4 2" xfId="2206"/>
    <cellStyle name="Normal 5 6 5 5" xfId="1587"/>
    <cellStyle name="Normal 5 6 6" xfId="474"/>
    <cellStyle name="Normal 5 6 6 2" xfId="816"/>
    <cellStyle name="Normal 5 6 6 2 2" xfId="1435"/>
    <cellStyle name="Normal 5 6 6 2 2 2" xfId="2675"/>
    <cellStyle name="Normal 5 6 6 2 3" xfId="2056"/>
    <cellStyle name="Normal 5 6 6 3" xfId="1126"/>
    <cellStyle name="Normal 5 6 6 3 2" xfId="2366"/>
    <cellStyle name="Normal 5 6 6 4" xfId="1747"/>
    <cellStyle name="Normal 5 6 7" xfId="608"/>
    <cellStyle name="Normal 5 6 7 2" xfId="1245"/>
    <cellStyle name="Normal 5 6 7 2 2" xfId="2485"/>
    <cellStyle name="Normal 5 6 7 3" xfId="1866"/>
    <cellStyle name="Normal 5 6 8" xfId="936"/>
    <cellStyle name="Normal 5 6 8 2" xfId="2176"/>
    <cellStyle name="Normal 5 6 9" xfId="1557"/>
    <cellStyle name="Normal 5 7" xfId="298"/>
    <cellStyle name="Normal 5 7 2" xfId="343"/>
    <cellStyle name="Normal 5 7 2 2" xfId="365"/>
    <cellStyle name="Normal 5 7 2 2 2" xfId="484"/>
    <cellStyle name="Normal 5 7 2 2 2 2" xfId="826"/>
    <cellStyle name="Normal 5 7 2 2 2 2 2" xfId="1445"/>
    <cellStyle name="Normal 5 7 2 2 2 2 2 2" xfId="2685"/>
    <cellStyle name="Normal 5 7 2 2 2 2 3" xfId="2066"/>
    <cellStyle name="Normal 5 7 2 2 2 3" xfId="1136"/>
    <cellStyle name="Normal 5 7 2 2 2 3 2" xfId="2376"/>
    <cellStyle name="Normal 5 7 2 2 2 4" xfId="1757"/>
    <cellStyle name="Normal 5 7 2 2 3" xfId="708"/>
    <cellStyle name="Normal 5 7 2 2 3 2" xfId="1345"/>
    <cellStyle name="Normal 5 7 2 2 3 2 2" xfId="2585"/>
    <cellStyle name="Normal 5 7 2 2 3 3" xfId="1966"/>
    <cellStyle name="Normal 5 7 2 2 4" xfId="1036"/>
    <cellStyle name="Normal 5 7 2 2 4 2" xfId="2276"/>
    <cellStyle name="Normal 5 7 2 2 5" xfId="1657"/>
    <cellStyle name="Normal 5 7 2 3" xfId="380"/>
    <cellStyle name="Normal 5 7 2 3 2" xfId="485"/>
    <cellStyle name="Normal 5 7 2 3 2 2" xfId="827"/>
    <cellStyle name="Normal 5 7 2 3 2 2 2" xfId="1446"/>
    <cellStyle name="Normal 5 7 2 3 2 2 2 2" xfId="2686"/>
    <cellStyle name="Normal 5 7 2 3 2 2 3" xfId="2067"/>
    <cellStyle name="Normal 5 7 2 3 2 3" xfId="1137"/>
    <cellStyle name="Normal 5 7 2 3 2 3 2" xfId="2377"/>
    <cellStyle name="Normal 5 7 2 3 2 4" xfId="1758"/>
    <cellStyle name="Normal 5 7 2 3 3" xfId="724"/>
    <cellStyle name="Normal 5 7 2 3 3 2" xfId="1360"/>
    <cellStyle name="Normal 5 7 2 3 3 2 2" xfId="2600"/>
    <cellStyle name="Normal 5 7 2 3 3 3" xfId="1981"/>
    <cellStyle name="Normal 5 7 2 3 4" xfId="1051"/>
    <cellStyle name="Normal 5 7 2 3 4 2" xfId="2291"/>
    <cellStyle name="Normal 5 7 2 3 5" xfId="1672"/>
    <cellStyle name="Normal 5 7 2 4" xfId="248"/>
    <cellStyle name="Normal 5 7 2 4 2" xfId="486"/>
    <cellStyle name="Normal 5 7 2 4 2 2" xfId="828"/>
    <cellStyle name="Normal 5 7 2 4 2 2 2" xfId="1447"/>
    <cellStyle name="Normal 5 7 2 4 2 2 2 2" xfId="2687"/>
    <cellStyle name="Normal 5 7 2 4 2 2 3" xfId="2068"/>
    <cellStyle name="Normal 5 7 2 4 2 3" xfId="1138"/>
    <cellStyle name="Normal 5 7 2 4 2 3 2" xfId="2378"/>
    <cellStyle name="Normal 5 7 2 4 2 4" xfId="1759"/>
    <cellStyle name="Normal 5 7 2 4 3" xfId="666"/>
    <cellStyle name="Normal 5 7 2 4 3 2" xfId="1303"/>
    <cellStyle name="Normal 5 7 2 4 3 2 2" xfId="2543"/>
    <cellStyle name="Normal 5 7 2 4 3 3" xfId="1924"/>
    <cellStyle name="Normal 5 7 2 4 4" xfId="994"/>
    <cellStyle name="Normal 5 7 2 4 4 2" xfId="2234"/>
    <cellStyle name="Normal 5 7 2 4 5" xfId="1615"/>
    <cellStyle name="Normal 5 7 2 5" xfId="483"/>
    <cellStyle name="Normal 5 7 2 5 2" xfId="825"/>
    <cellStyle name="Normal 5 7 2 5 2 2" xfId="1444"/>
    <cellStyle name="Normal 5 7 2 5 2 2 2" xfId="2684"/>
    <cellStyle name="Normal 5 7 2 5 2 3" xfId="2065"/>
    <cellStyle name="Normal 5 7 2 5 3" xfId="1135"/>
    <cellStyle name="Normal 5 7 2 5 3 2" xfId="2375"/>
    <cellStyle name="Normal 5 7 2 5 4" xfId="1756"/>
    <cellStyle name="Normal 5 7 2 6" xfId="623"/>
    <cellStyle name="Normal 5 7 2 6 2" xfId="1260"/>
    <cellStyle name="Normal 5 7 2 6 2 2" xfId="2500"/>
    <cellStyle name="Normal 5 7 2 6 3" xfId="1881"/>
    <cellStyle name="Normal 5 7 2 7" xfId="951"/>
    <cellStyle name="Normal 5 7 2 7 2" xfId="2191"/>
    <cellStyle name="Normal 5 7 2 8" xfId="1572"/>
    <cellStyle name="Normal 5 7 3" xfId="349"/>
    <cellStyle name="Normal 5 7 3 2" xfId="487"/>
    <cellStyle name="Normal 5 7 3 2 2" xfId="829"/>
    <cellStyle name="Normal 5 7 3 2 2 2" xfId="1448"/>
    <cellStyle name="Normal 5 7 3 2 2 2 2" xfId="2688"/>
    <cellStyle name="Normal 5 7 3 2 2 3" xfId="2069"/>
    <cellStyle name="Normal 5 7 3 2 3" xfId="1139"/>
    <cellStyle name="Normal 5 7 3 2 3 2" xfId="2379"/>
    <cellStyle name="Normal 5 7 3 2 4" xfId="1760"/>
    <cellStyle name="Normal 5 7 3 3" xfId="692"/>
    <cellStyle name="Normal 5 7 3 3 2" xfId="1329"/>
    <cellStyle name="Normal 5 7 3 3 2 2" xfId="2569"/>
    <cellStyle name="Normal 5 7 3 3 3" xfId="1950"/>
    <cellStyle name="Normal 5 7 3 4" xfId="1020"/>
    <cellStyle name="Normal 5 7 3 4 2" xfId="2260"/>
    <cellStyle name="Normal 5 7 3 5" xfId="1641"/>
    <cellStyle name="Normal 5 7 4" xfId="261"/>
    <cellStyle name="Normal 5 7 4 2" xfId="488"/>
    <cellStyle name="Normal 5 7 4 2 2" xfId="830"/>
    <cellStyle name="Normal 5 7 4 2 2 2" xfId="1449"/>
    <cellStyle name="Normal 5 7 4 2 2 2 2" xfId="2689"/>
    <cellStyle name="Normal 5 7 4 2 2 3" xfId="2070"/>
    <cellStyle name="Normal 5 7 4 2 3" xfId="1140"/>
    <cellStyle name="Normal 5 7 4 2 3 2" xfId="2380"/>
    <cellStyle name="Normal 5 7 4 2 4" xfId="1761"/>
    <cellStyle name="Normal 5 7 4 3" xfId="653"/>
    <cellStyle name="Normal 5 7 4 3 2" xfId="1290"/>
    <cellStyle name="Normal 5 7 4 3 2 2" xfId="2530"/>
    <cellStyle name="Normal 5 7 4 3 3" xfId="1911"/>
    <cellStyle name="Normal 5 7 4 4" xfId="981"/>
    <cellStyle name="Normal 5 7 4 4 2" xfId="2221"/>
    <cellStyle name="Normal 5 7 4 5" xfId="1602"/>
    <cellStyle name="Normal 5 7 5" xfId="276"/>
    <cellStyle name="Normal 5 7 5 2" xfId="489"/>
    <cellStyle name="Normal 5 7 5 2 2" xfId="831"/>
    <cellStyle name="Normal 5 7 5 2 2 2" xfId="1450"/>
    <cellStyle name="Normal 5 7 5 2 2 2 2" xfId="2690"/>
    <cellStyle name="Normal 5 7 5 2 2 3" xfId="2071"/>
    <cellStyle name="Normal 5 7 5 2 3" xfId="1141"/>
    <cellStyle name="Normal 5 7 5 2 3 2" xfId="2381"/>
    <cellStyle name="Normal 5 7 5 2 4" xfId="1762"/>
    <cellStyle name="Normal 5 7 5 3" xfId="639"/>
    <cellStyle name="Normal 5 7 5 3 2" xfId="1276"/>
    <cellStyle name="Normal 5 7 5 3 2 2" xfId="2516"/>
    <cellStyle name="Normal 5 7 5 3 3" xfId="1897"/>
    <cellStyle name="Normal 5 7 5 4" xfId="967"/>
    <cellStyle name="Normal 5 7 5 4 2" xfId="2207"/>
    <cellStyle name="Normal 5 7 5 5" xfId="1588"/>
    <cellStyle name="Normal 5 7 6" xfId="482"/>
    <cellStyle name="Normal 5 7 6 2" xfId="824"/>
    <cellStyle name="Normal 5 7 6 2 2" xfId="1443"/>
    <cellStyle name="Normal 5 7 6 2 2 2" xfId="2683"/>
    <cellStyle name="Normal 5 7 6 2 3" xfId="2064"/>
    <cellStyle name="Normal 5 7 6 3" xfId="1134"/>
    <cellStyle name="Normal 5 7 6 3 2" xfId="2374"/>
    <cellStyle name="Normal 5 7 6 4" xfId="1755"/>
    <cellStyle name="Normal 5 7 7" xfId="609"/>
    <cellStyle name="Normal 5 7 7 2" xfId="1246"/>
    <cellStyle name="Normal 5 7 7 2 2" xfId="2486"/>
    <cellStyle name="Normal 5 7 7 3" xfId="1867"/>
    <cellStyle name="Normal 5 7 8" xfId="937"/>
    <cellStyle name="Normal 5 7 8 2" xfId="2177"/>
    <cellStyle name="Normal 5 7 9" xfId="1558"/>
    <cellStyle name="Normal 5 8" xfId="225"/>
    <cellStyle name="Normal 5 8 2" xfId="284"/>
    <cellStyle name="Normal 5 8 2 2" xfId="373"/>
    <cellStyle name="Normal 5 8 2 2 2" xfId="492"/>
    <cellStyle name="Normal 5 8 2 2 2 2" xfId="834"/>
    <cellStyle name="Normal 5 8 2 2 2 2 2" xfId="1453"/>
    <cellStyle name="Normal 5 8 2 2 2 2 2 2" xfId="2693"/>
    <cellStyle name="Normal 5 8 2 2 2 2 3" xfId="2074"/>
    <cellStyle name="Normal 5 8 2 2 2 3" xfId="1144"/>
    <cellStyle name="Normal 5 8 2 2 2 3 2" xfId="2384"/>
    <cellStyle name="Normal 5 8 2 2 2 4" xfId="1765"/>
    <cellStyle name="Normal 5 8 2 2 3" xfId="716"/>
    <cellStyle name="Normal 5 8 2 2 3 2" xfId="1353"/>
    <cellStyle name="Normal 5 8 2 2 3 2 2" xfId="2593"/>
    <cellStyle name="Normal 5 8 2 2 3 3" xfId="1974"/>
    <cellStyle name="Normal 5 8 2 2 4" xfId="1044"/>
    <cellStyle name="Normal 5 8 2 2 4 2" xfId="2284"/>
    <cellStyle name="Normal 5 8 2 2 5" xfId="1665"/>
    <cellStyle name="Normal 5 8 2 3" xfId="235"/>
    <cellStyle name="Normal 5 8 2 3 2" xfId="493"/>
    <cellStyle name="Normal 5 8 2 3 2 2" xfId="835"/>
    <cellStyle name="Normal 5 8 2 3 2 2 2" xfId="1454"/>
    <cellStyle name="Normal 5 8 2 3 2 2 2 2" xfId="2694"/>
    <cellStyle name="Normal 5 8 2 3 2 2 3" xfId="2075"/>
    <cellStyle name="Normal 5 8 2 3 2 3" xfId="1145"/>
    <cellStyle name="Normal 5 8 2 3 2 3 2" xfId="2385"/>
    <cellStyle name="Normal 5 8 2 3 2 4" xfId="1766"/>
    <cellStyle name="Normal 5 8 2 3 3" xfId="679"/>
    <cellStyle name="Normal 5 8 2 3 3 2" xfId="1316"/>
    <cellStyle name="Normal 5 8 2 3 3 2 2" xfId="2556"/>
    <cellStyle name="Normal 5 8 2 3 3 3" xfId="1937"/>
    <cellStyle name="Normal 5 8 2 3 4" xfId="1007"/>
    <cellStyle name="Normal 5 8 2 3 4 2" xfId="2247"/>
    <cellStyle name="Normal 5 8 2 3 5" xfId="1628"/>
    <cellStyle name="Normal 5 8 2 4" xfId="240"/>
    <cellStyle name="Normal 5 8 2 4 2" xfId="494"/>
    <cellStyle name="Normal 5 8 2 4 2 2" xfId="836"/>
    <cellStyle name="Normal 5 8 2 4 2 2 2" xfId="1455"/>
    <cellStyle name="Normal 5 8 2 4 2 2 2 2" xfId="2695"/>
    <cellStyle name="Normal 5 8 2 4 2 2 3" xfId="2076"/>
    <cellStyle name="Normal 5 8 2 4 2 3" xfId="1146"/>
    <cellStyle name="Normal 5 8 2 4 2 3 2" xfId="2386"/>
    <cellStyle name="Normal 5 8 2 4 2 4" xfId="1767"/>
    <cellStyle name="Normal 5 8 2 4 3" xfId="674"/>
    <cellStyle name="Normal 5 8 2 4 3 2" xfId="1311"/>
    <cellStyle name="Normal 5 8 2 4 3 2 2" xfId="2551"/>
    <cellStyle name="Normal 5 8 2 4 3 3" xfId="1932"/>
    <cellStyle name="Normal 5 8 2 4 4" xfId="1002"/>
    <cellStyle name="Normal 5 8 2 4 4 2" xfId="2242"/>
    <cellStyle name="Normal 5 8 2 4 5" xfId="1623"/>
    <cellStyle name="Normal 5 8 2 5" xfId="491"/>
    <cellStyle name="Normal 5 8 2 5 2" xfId="833"/>
    <cellStyle name="Normal 5 8 2 5 2 2" xfId="1452"/>
    <cellStyle name="Normal 5 8 2 5 2 2 2" xfId="2692"/>
    <cellStyle name="Normal 5 8 2 5 2 3" xfId="2073"/>
    <cellStyle name="Normal 5 8 2 5 3" xfId="1143"/>
    <cellStyle name="Normal 5 8 2 5 3 2" xfId="2383"/>
    <cellStyle name="Normal 5 8 2 5 4" xfId="1764"/>
    <cellStyle name="Normal 5 8 2 6" xfId="631"/>
    <cellStyle name="Normal 5 8 2 6 2" xfId="1268"/>
    <cellStyle name="Normal 5 8 2 6 2 2" xfId="2508"/>
    <cellStyle name="Normal 5 8 2 6 3" xfId="1889"/>
    <cellStyle name="Normal 5 8 2 7" xfId="959"/>
    <cellStyle name="Normal 5 8 2 7 2" xfId="2199"/>
    <cellStyle name="Normal 5 8 2 8" xfId="1580"/>
    <cellStyle name="Normal 5 8 3" xfId="357"/>
    <cellStyle name="Normal 5 8 3 2" xfId="495"/>
    <cellStyle name="Normal 5 8 3 2 2" xfId="837"/>
    <cellStyle name="Normal 5 8 3 2 2 2" xfId="1456"/>
    <cellStyle name="Normal 5 8 3 2 2 2 2" xfId="2696"/>
    <cellStyle name="Normal 5 8 3 2 2 3" xfId="2077"/>
    <cellStyle name="Normal 5 8 3 2 3" xfId="1147"/>
    <cellStyle name="Normal 5 8 3 2 3 2" xfId="2387"/>
    <cellStyle name="Normal 5 8 3 2 4" xfId="1768"/>
    <cellStyle name="Normal 5 8 3 3" xfId="700"/>
    <cellStyle name="Normal 5 8 3 3 2" xfId="1337"/>
    <cellStyle name="Normal 5 8 3 3 2 2" xfId="2577"/>
    <cellStyle name="Normal 5 8 3 3 3" xfId="1958"/>
    <cellStyle name="Normal 5 8 3 4" xfId="1028"/>
    <cellStyle name="Normal 5 8 3 4 2" xfId="2268"/>
    <cellStyle name="Normal 5 8 3 5" xfId="1649"/>
    <cellStyle name="Normal 5 8 4" xfId="229"/>
    <cellStyle name="Normal 5 8 4 2" xfId="496"/>
    <cellStyle name="Normal 5 8 4 2 2" xfId="838"/>
    <cellStyle name="Normal 5 8 4 2 2 2" xfId="1457"/>
    <cellStyle name="Normal 5 8 4 2 2 2 2" xfId="2697"/>
    <cellStyle name="Normal 5 8 4 2 2 3" xfId="2078"/>
    <cellStyle name="Normal 5 8 4 2 3" xfId="1148"/>
    <cellStyle name="Normal 5 8 4 2 3 2" xfId="2388"/>
    <cellStyle name="Normal 5 8 4 2 4" xfId="1769"/>
    <cellStyle name="Normal 5 8 4 3" xfId="685"/>
    <cellStyle name="Normal 5 8 4 3 2" xfId="1322"/>
    <cellStyle name="Normal 5 8 4 3 2 2" xfId="2562"/>
    <cellStyle name="Normal 5 8 4 3 3" xfId="1943"/>
    <cellStyle name="Normal 5 8 4 4" xfId="1013"/>
    <cellStyle name="Normal 5 8 4 4 2" xfId="2253"/>
    <cellStyle name="Normal 5 8 4 5" xfId="1634"/>
    <cellStyle name="Normal 5 8 5" xfId="262"/>
    <cellStyle name="Normal 5 8 5 2" xfId="497"/>
    <cellStyle name="Normal 5 8 5 2 2" xfId="839"/>
    <cellStyle name="Normal 5 8 5 2 2 2" xfId="1458"/>
    <cellStyle name="Normal 5 8 5 2 2 2 2" xfId="2698"/>
    <cellStyle name="Normal 5 8 5 2 2 3" xfId="2079"/>
    <cellStyle name="Normal 5 8 5 2 3" xfId="1149"/>
    <cellStyle name="Normal 5 8 5 2 3 2" xfId="2389"/>
    <cellStyle name="Normal 5 8 5 2 4" xfId="1770"/>
    <cellStyle name="Normal 5 8 5 3" xfId="652"/>
    <cellStyle name="Normal 5 8 5 3 2" xfId="1289"/>
    <cellStyle name="Normal 5 8 5 3 2 2" xfId="2529"/>
    <cellStyle name="Normal 5 8 5 3 3" xfId="1910"/>
    <cellStyle name="Normal 5 8 5 4" xfId="980"/>
    <cellStyle name="Normal 5 8 5 4 2" xfId="2220"/>
    <cellStyle name="Normal 5 8 5 5" xfId="1601"/>
    <cellStyle name="Normal 5 8 6" xfId="490"/>
    <cellStyle name="Normal 5 8 6 2" xfId="832"/>
    <cellStyle name="Normal 5 8 6 2 2" xfId="1451"/>
    <cellStyle name="Normal 5 8 6 2 2 2" xfId="2691"/>
    <cellStyle name="Normal 5 8 6 2 3" xfId="2072"/>
    <cellStyle name="Normal 5 8 6 3" xfId="1142"/>
    <cellStyle name="Normal 5 8 6 3 2" xfId="2382"/>
    <cellStyle name="Normal 5 8 6 4" xfId="1763"/>
    <cellStyle name="Normal 5 8 7" xfId="603"/>
    <cellStyle name="Normal 5 8 7 2" xfId="1240"/>
    <cellStyle name="Normal 5 8 7 2 2" xfId="2480"/>
    <cellStyle name="Normal 5 8 7 3" xfId="1861"/>
    <cellStyle name="Normal 5 8 8" xfId="931"/>
    <cellStyle name="Normal 5 8 8 2" xfId="2171"/>
    <cellStyle name="Normal 5 8 9" xfId="1552"/>
    <cellStyle name="Normal 5 9" xfId="337"/>
    <cellStyle name="Normal 5 9 2" xfId="359"/>
    <cellStyle name="Normal 5 9 2 2" xfId="499"/>
    <cellStyle name="Normal 5 9 2 2 2" xfId="841"/>
    <cellStyle name="Normal 5 9 2 2 2 2" xfId="1460"/>
    <cellStyle name="Normal 5 9 2 2 2 2 2" xfId="2700"/>
    <cellStyle name="Normal 5 9 2 2 2 3" xfId="2081"/>
    <cellStyle name="Normal 5 9 2 2 3" xfId="1151"/>
    <cellStyle name="Normal 5 9 2 2 3 2" xfId="2391"/>
    <cellStyle name="Normal 5 9 2 2 4" xfId="1772"/>
    <cellStyle name="Normal 5 9 2 3" xfId="702"/>
    <cellStyle name="Normal 5 9 2 3 2" xfId="1339"/>
    <cellStyle name="Normal 5 9 2 3 2 2" xfId="2579"/>
    <cellStyle name="Normal 5 9 2 3 3" xfId="1960"/>
    <cellStyle name="Normal 5 9 2 4" xfId="1030"/>
    <cellStyle name="Normal 5 9 2 4 2" xfId="2270"/>
    <cellStyle name="Normal 5 9 2 5" xfId="1651"/>
    <cellStyle name="Normal 5 9 3" xfId="409"/>
    <cellStyle name="Normal 5 9 3 2" xfId="500"/>
    <cellStyle name="Normal 5 9 3 2 2" xfId="842"/>
    <cellStyle name="Normal 5 9 3 2 2 2" xfId="1461"/>
    <cellStyle name="Normal 5 9 3 2 2 2 2" xfId="2701"/>
    <cellStyle name="Normal 5 9 3 2 2 3" xfId="2082"/>
    <cellStyle name="Normal 5 9 3 2 3" xfId="1152"/>
    <cellStyle name="Normal 5 9 3 2 3 2" xfId="2392"/>
    <cellStyle name="Normal 5 9 3 2 4" xfId="1773"/>
    <cellStyle name="Normal 5 9 3 3" xfId="756"/>
    <cellStyle name="Normal 5 9 3 3 2" xfId="1378"/>
    <cellStyle name="Normal 5 9 3 3 2 2" xfId="2618"/>
    <cellStyle name="Normal 5 9 3 3 3" xfId="1999"/>
    <cellStyle name="Normal 5 9 3 4" xfId="1069"/>
    <cellStyle name="Normal 5 9 3 4 2" xfId="2309"/>
    <cellStyle name="Normal 5 9 3 5" xfId="1690"/>
    <cellStyle name="Normal 5 9 4" xfId="254"/>
    <cellStyle name="Normal 5 9 4 2" xfId="501"/>
    <cellStyle name="Normal 5 9 4 2 2" xfId="843"/>
    <cellStyle name="Normal 5 9 4 2 2 2" xfId="1462"/>
    <cellStyle name="Normal 5 9 4 2 2 2 2" xfId="2702"/>
    <cellStyle name="Normal 5 9 4 2 2 3" xfId="2083"/>
    <cellStyle name="Normal 5 9 4 2 3" xfId="1153"/>
    <cellStyle name="Normal 5 9 4 2 3 2" xfId="2393"/>
    <cellStyle name="Normal 5 9 4 2 4" xfId="1774"/>
    <cellStyle name="Normal 5 9 4 3" xfId="660"/>
    <cellStyle name="Normal 5 9 4 3 2" xfId="1297"/>
    <cellStyle name="Normal 5 9 4 3 2 2" xfId="2537"/>
    <cellStyle name="Normal 5 9 4 3 3" xfId="1918"/>
    <cellStyle name="Normal 5 9 4 4" xfId="988"/>
    <cellStyle name="Normal 5 9 4 4 2" xfId="2228"/>
    <cellStyle name="Normal 5 9 4 5" xfId="1609"/>
    <cellStyle name="Normal 5 9 5" xfId="498"/>
    <cellStyle name="Normal 5 9 5 2" xfId="840"/>
    <cellStyle name="Normal 5 9 5 2 2" xfId="1459"/>
    <cellStyle name="Normal 5 9 5 2 2 2" xfId="2699"/>
    <cellStyle name="Normal 5 9 5 2 3" xfId="2080"/>
    <cellStyle name="Normal 5 9 5 3" xfId="1150"/>
    <cellStyle name="Normal 5 9 5 3 2" xfId="2390"/>
    <cellStyle name="Normal 5 9 5 4" xfId="1771"/>
    <cellStyle name="Normal 5 9 6" xfId="617"/>
    <cellStyle name="Normal 5 9 6 2" xfId="1254"/>
    <cellStyle name="Normal 5 9 6 2 2" xfId="2494"/>
    <cellStyle name="Normal 5 9 6 3" xfId="1875"/>
    <cellStyle name="Normal 5 9 7" xfId="945"/>
    <cellStyle name="Normal 5 9 7 2" xfId="2185"/>
    <cellStyle name="Normal 5 9 8" xfId="1566"/>
    <cellStyle name="Normal 6" xfId="96"/>
    <cellStyle name="Normal 6 10" xfId="350"/>
    <cellStyle name="Normal 6 10 2" xfId="502"/>
    <cellStyle name="Normal 6 10 2 2" xfId="844"/>
    <cellStyle name="Normal 6 10 2 2 2" xfId="1463"/>
    <cellStyle name="Normal 6 10 2 2 2 2" xfId="2703"/>
    <cellStyle name="Normal 6 10 2 2 3" xfId="2084"/>
    <cellStyle name="Normal 6 10 2 3" xfId="1154"/>
    <cellStyle name="Normal 6 10 2 3 2" xfId="2394"/>
    <cellStyle name="Normal 6 10 2 4" xfId="1775"/>
    <cellStyle name="Normal 6 10 3" xfId="693"/>
    <cellStyle name="Normal 6 10 3 2" xfId="1330"/>
    <cellStyle name="Normal 6 10 3 2 2" xfId="2570"/>
    <cellStyle name="Normal 6 10 3 3" xfId="1951"/>
    <cellStyle name="Normal 6 10 4" xfId="1021"/>
    <cellStyle name="Normal 6 10 4 2" xfId="2261"/>
    <cellStyle name="Normal 6 10 5" xfId="1642"/>
    <cellStyle name="Normal 6 11" xfId="377"/>
    <cellStyle name="Normal 6 11 2" xfId="232"/>
    <cellStyle name="Normal 6 11 2 2" xfId="503"/>
    <cellStyle name="Normal 6 11 2 2 2" xfId="845"/>
    <cellStyle name="Normal 6 11 2 2 2 2" xfId="1464"/>
    <cellStyle name="Normal 6 11 2 2 2 2 2" xfId="2704"/>
    <cellStyle name="Normal 6 11 2 2 2 3" xfId="2085"/>
    <cellStyle name="Normal 6 11 2 2 3" xfId="1155"/>
    <cellStyle name="Normal 6 11 2 2 3 2" xfId="2395"/>
    <cellStyle name="Normal 6 11 2 2 4" xfId="1776"/>
    <cellStyle name="Normal 6 11 2 3" xfId="682"/>
    <cellStyle name="Normal 6 11 2 3 2" xfId="1319"/>
    <cellStyle name="Normal 6 11 2 3 2 2" xfId="2559"/>
    <cellStyle name="Normal 6 11 2 3 3" xfId="1940"/>
    <cellStyle name="Normal 6 11 2 4" xfId="1010"/>
    <cellStyle name="Normal 6 11 2 4 2" xfId="2250"/>
    <cellStyle name="Normal 6 11 2 5" xfId="1631"/>
    <cellStyle name="Normal 6 11 3" xfId="720"/>
    <cellStyle name="Normal 6 12" xfId="275"/>
    <cellStyle name="Normal 6 12 2" xfId="504"/>
    <cellStyle name="Normal 6 12 2 2" xfId="846"/>
    <cellStyle name="Normal 6 12 2 2 2" xfId="1465"/>
    <cellStyle name="Normal 6 12 2 2 2 2" xfId="2705"/>
    <cellStyle name="Normal 6 12 2 2 3" xfId="2086"/>
    <cellStyle name="Normal 6 12 2 3" xfId="1156"/>
    <cellStyle name="Normal 6 12 2 3 2" xfId="2396"/>
    <cellStyle name="Normal 6 12 2 4" xfId="1777"/>
    <cellStyle name="Normal 6 12 3" xfId="640"/>
    <cellStyle name="Normal 6 12 3 2" xfId="1277"/>
    <cellStyle name="Normal 6 12 3 2 2" xfId="2517"/>
    <cellStyle name="Normal 6 12 3 3" xfId="1898"/>
    <cellStyle name="Normal 6 12 4" xfId="968"/>
    <cellStyle name="Normal 6 12 4 2" xfId="2208"/>
    <cellStyle name="Normal 6 12 5" xfId="1589"/>
    <cellStyle name="Normal 6 13" xfId="425"/>
    <cellStyle name="Normal 6 13 2" xfId="767"/>
    <cellStyle name="Normal 6 13 2 2" xfId="1386"/>
    <cellStyle name="Normal 6 13 2 2 2" xfId="2626"/>
    <cellStyle name="Normal 6 13 2 3" xfId="2007"/>
    <cellStyle name="Normal 6 13 3" xfId="1077"/>
    <cellStyle name="Normal 6 13 3 2" xfId="2317"/>
    <cellStyle name="Normal 6 13 4" xfId="1698"/>
    <cellStyle name="Normal 6 14" xfId="590"/>
    <cellStyle name="Normal 6 14 2" xfId="1239"/>
    <cellStyle name="Normal 6 14 2 2" xfId="2479"/>
    <cellStyle name="Normal 6 14 3" xfId="1860"/>
    <cellStyle name="Normal 6 15" xfId="930"/>
    <cellStyle name="Normal 6 15 2" xfId="2170"/>
    <cellStyle name="Normal 6 16" xfId="1551"/>
    <cellStyle name="Normal 6 2" xfId="195"/>
    <cellStyle name="Normal 6 2 10" xfId="296"/>
    <cellStyle name="Normal 6 2 2" xfId="290"/>
    <cellStyle name="Normal 6 2 2 2" xfId="367"/>
    <cellStyle name="Normal 6 2 2 2 2" xfId="507"/>
    <cellStyle name="Normal 6 2 2 2 2 2" xfId="849"/>
    <cellStyle name="Normal 6 2 2 2 2 2 2" xfId="1468"/>
    <cellStyle name="Normal 6 2 2 2 2 2 2 2" xfId="2708"/>
    <cellStyle name="Normal 6 2 2 2 2 2 3" xfId="2089"/>
    <cellStyle name="Normal 6 2 2 2 2 3" xfId="1159"/>
    <cellStyle name="Normal 6 2 2 2 2 3 2" xfId="2399"/>
    <cellStyle name="Normal 6 2 2 2 2 4" xfId="1780"/>
    <cellStyle name="Normal 6 2 2 2 3" xfId="710"/>
    <cellStyle name="Normal 6 2 2 2 3 2" xfId="1347"/>
    <cellStyle name="Normal 6 2 2 2 3 2 2" xfId="2587"/>
    <cellStyle name="Normal 6 2 2 2 3 3" xfId="1968"/>
    <cellStyle name="Normal 6 2 2 2 4" xfId="1038"/>
    <cellStyle name="Normal 6 2 2 2 4 2" xfId="2278"/>
    <cellStyle name="Normal 6 2 2 2 5" xfId="1659"/>
    <cellStyle name="Normal 6 2 2 3" xfId="260"/>
    <cellStyle name="Normal 6 2 2 3 2" xfId="508"/>
    <cellStyle name="Normal 6 2 2 3 2 2" xfId="850"/>
    <cellStyle name="Normal 6 2 2 3 2 2 2" xfId="1469"/>
    <cellStyle name="Normal 6 2 2 3 2 2 2 2" xfId="2709"/>
    <cellStyle name="Normal 6 2 2 3 2 2 3" xfId="2090"/>
    <cellStyle name="Normal 6 2 2 3 2 3" xfId="1160"/>
    <cellStyle name="Normal 6 2 2 3 2 3 2" xfId="2400"/>
    <cellStyle name="Normal 6 2 2 3 2 4" xfId="1781"/>
    <cellStyle name="Normal 6 2 2 3 3" xfId="654"/>
    <cellStyle name="Normal 6 2 2 3 3 2" xfId="1291"/>
    <cellStyle name="Normal 6 2 2 3 3 2 2" xfId="2531"/>
    <cellStyle name="Normal 6 2 2 3 3 3" xfId="1912"/>
    <cellStyle name="Normal 6 2 2 3 4" xfId="982"/>
    <cellStyle name="Normal 6 2 2 3 4 2" xfId="2222"/>
    <cellStyle name="Normal 6 2 2 3 5" xfId="1603"/>
    <cellStyle name="Normal 6 2 2 4" xfId="246"/>
    <cellStyle name="Normal 6 2 2 4 2" xfId="509"/>
    <cellStyle name="Normal 6 2 2 4 2 2" xfId="851"/>
    <cellStyle name="Normal 6 2 2 4 2 2 2" xfId="1470"/>
    <cellStyle name="Normal 6 2 2 4 2 2 2 2" xfId="2710"/>
    <cellStyle name="Normal 6 2 2 4 2 2 3" xfId="2091"/>
    <cellStyle name="Normal 6 2 2 4 2 3" xfId="1161"/>
    <cellStyle name="Normal 6 2 2 4 2 3 2" xfId="2401"/>
    <cellStyle name="Normal 6 2 2 4 2 4" xfId="1782"/>
    <cellStyle name="Normal 6 2 2 4 3" xfId="668"/>
    <cellStyle name="Normal 6 2 2 4 3 2" xfId="1305"/>
    <cellStyle name="Normal 6 2 2 4 3 2 2" xfId="2545"/>
    <cellStyle name="Normal 6 2 2 4 3 3" xfId="1926"/>
    <cellStyle name="Normal 6 2 2 4 4" xfId="996"/>
    <cellStyle name="Normal 6 2 2 4 4 2" xfId="2236"/>
    <cellStyle name="Normal 6 2 2 4 5" xfId="1617"/>
    <cellStyle name="Normal 6 2 2 5" xfId="506"/>
    <cellStyle name="Normal 6 2 2 5 2" xfId="848"/>
    <cellStyle name="Normal 6 2 2 5 2 2" xfId="1467"/>
    <cellStyle name="Normal 6 2 2 5 2 2 2" xfId="2707"/>
    <cellStyle name="Normal 6 2 2 5 2 3" xfId="2088"/>
    <cellStyle name="Normal 6 2 2 5 3" xfId="1158"/>
    <cellStyle name="Normal 6 2 2 5 3 2" xfId="2398"/>
    <cellStyle name="Normal 6 2 2 5 4" xfId="1779"/>
    <cellStyle name="Normal 6 2 2 6" xfId="625"/>
    <cellStyle name="Normal 6 2 2 6 2" xfId="1262"/>
    <cellStyle name="Normal 6 2 2 6 2 2" xfId="2502"/>
    <cellStyle name="Normal 6 2 2 6 3" xfId="1883"/>
    <cellStyle name="Normal 6 2 2 7" xfId="953"/>
    <cellStyle name="Normal 6 2 2 7 2" xfId="2193"/>
    <cellStyle name="Normal 6 2 2 8" xfId="1574"/>
    <cellStyle name="Normal 6 2 3" xfId="351"/>
    <cellStyle name="Normal 6 2 3 2" xfId="510"/>
    <cellStyle name="Normal 6 2 3 2 2" xfId="852"/>
    <cellStyle name="Normal 6 2 3 2 2 2" xfId="1471"/>
    <cellStyle name="Normal 6 2 3 2 2 2 2" xfId="2711"/>
    <cellStyle name="Normal 6 2 3 2 2 3" xfId="2092"/>
    <cellStyle name="Normal 6 2 3 2 3" xfId="1162"/>
    <cellStyle name="Normal 6 2 3 2 3 2" xfId="2402"/>
    <cellStyle name="Normal 6 2 3 2 4" xfId="1783"/>
    <cellStyle name="Normal 6 2 3 3" xfId="694"/>
    <cellStyle name="Normal 6 2 3 3 2" xfId="1331"/>
    <cellStyle name="Normal 6 2 3 3 2 2" xfId="2571"/>
    <cellStyle name="Normal 6 2 3 3 3" xfId="1952"/>
    <cellStyle name="Normal 6 2 3 4" xfId="1022"/>
    <cellStyle name="Normal 6 2 3 4 2" xfId="2262"/>
    <cellStyle name="Normal 6 2 3 5" xfId="1643"/>
    <cellStyle name="Normal 6 2 4" xfId="387"/>
    <cellStyle name="Normal 6 2 4 2" xfId="233"/>
    <cellStyle name="Normal 6 2 4 2 2" xfId="511"/>
    <cellStyle name="Normal 6 2 4 2 2 2" xfId="853"/>
    <cellStyle name="Normal 6 2 4 2 2 2 2" xfId="1472"/>
    <cellStyle name="Normal 6 2 4 2 2 2 2 2" xfId="2712"/>
    <cellStyle name="Normal 6 2 4 2 2 2 3" xfId="2093"/>
    <cellStyle name="Normal 6 2 4 2 2 3" xfId="1163"/>
    <cellStyle name="Normal 6 2 4 2 2 3 2" xfId="2403"/>
    <cellStyle name="Normal 6 2 4 2 2 4" xfId="1784"/>
    <cellStyle name="Normal 6 2 4 2 3" xfId="681"/>
    <cellStyle name="Normal 6 2 4 2 3 2" xfId="1318"/>
    <cellStyle name="Normal 6 2 4 2 3 2 2" xfId="2558"/>
    <cellStyle name="Normal 6 2 4 2 3 3" xfId="1939"/>
    <cellStyle name="Normal 6 2 4 2 4" xfId="1009"/>
    <cellStyle name="Normal 6 2 4 2 4 2" xfId="2249"/>
    <cellStyle name="Normal 6 2 4 2 5" xfId="1630"/>
    <cellStyle name="Normal 6 2 4 3" xfId="731"/>
    <cellStyle name="Normal 6 2 5" xfId="274"/>
    <cellStyle name="Normal 6 2 5 2" xfId="512"/>
    <cellStyle name="Normal 6 2 5 2 2" xfId="854"/>
    <cellStyle name="Normal 6 2 5 2 2 2" xfId="1473"/>
    <cellStyle name="Normal 6 2 5 2 2 2 2" xfId="2713"/>
    <cellStyle name="Normal 6 2 5 2 2 3" xfId="2094"/>
    <cellStyle name="Normal 6 2 5 2 3" xfId="1164"/>
    <cellStyle name="Normal 6 2 5 2 3 2" xfId="2404"/>
    <cellStyle name="Normal 6 2 5 2 4" xfId="1785"/>
    <cellStyle name="Normal 6 2 5 3" xfId="641"/>
    <cellStyle name="Normal 6 2 5 3 2" xfId="1278"/>
    <cellStyle name="Normal 6 2 5 3 2 2" xfId="2518"/>
    <cellStyle name="Normal 6 2 5 3 3" xfId="1899"/>
    <cellStyle name="Normal 6 2 5 4" xfId="969"/>
    <cellStyle name="Normal 6 2 5 4 2" xfId="2209"/>
    <cellStyle name="Normal 6 2 5 5" xfId="1590"/>
    <cellStyle name="Normal 6 2 6" xfId="505"/>
    <cellStyle name="Normal 6 2 6 2" xfId="847"/>
    <cellStyle name="Normal 6 2 6 2 2" xfId="1466"/>
    <cellStyle name="Normal 6 2 6 2 2 2" xfId="2706"/>
    <cellStyle name="Normal 6 2 6 2 3" xfId="2087"/>
    <cellStyle name="Normal 6 2 6 3" xfId="1157"/>
    <cellStyle name="Normal 6 2 6 3 2" xfId="2397"/>
    <cellStyle name="Normal 6 2 6 4" xfId="1778"/>
    <cellStyle name="Normal 6 2 7" xfId="611"/>
    <cellStyle name="Normal 6 2 7 2" xfId="1248"/>
    <cellStyle name="Normal 6 2 7 2 2" xfId="2488"/>
    <cellStyle name="Normal 6 2 7 3" xfId="1869"/>
    <cellStyle name="Normal 6 2 8" xfId="939"/>
    <cellStyle name="Normal 6 2 8 2" xfId="2179"/>
    <cellStyle name="Normal 6 2 9" xfId="1560"/>
    <cellStyle name="Normal 6 3" xfId="196"/>
    <cellStyle name="Normal 6 3 2" xfId="289"/>
    <cellStyle name="Normal 6 3 2 2" xfId="368"/>
    <cellStyle name="Normal 6 3 2 2 2" xfId="515"/>
    <cellStyle name="Normal 6 3 2 2 2 2" xfId="857"/>
    <cellStyle name="Normal 6 3 2 2 2 2 2" xfId="1476"/>
    <cellStyle name="Normal 6 3 2 2 2 2 2 2" xfId="2716"/>
    <cellStyle name="Normal 6 3 2 2 2 2 3" xfId="2097"/>
    <cellStyle name="Normal 6 3 2 2 2 3" xfId="1167"/>
    <cellStyle name="Normal 6 3 2 2 2 3 2" xfId="2407"/>
    <cellStyle name="Normal 6 3 2 2 2 4" xfId="1788"/>
    <cellStyle name="Normal 6 3 2 2 3" xfId="711"/>
    <cellStyle name="Normal 6 3 2 2 3 2" xfId="1348"/>
    <cellStyle name="Normal 6 3 2 2 3 2 2" xfId="2588"/>
    <cellStyle name="Normal 6 3 2 2 3 3" xfId="1969"/>
    <cellStyle name="Normal 6 3 2 2 4" xfId="1039"/>
    <cellStyle name="Normal 6 3 2 2 4 2" xfId="2279"/>
    <cellStyle name="Normal 6 3 2 2 5" xfId="1660"/>
    <cellStyle name="Normal 6 3 2 3" xfId="258"/>
    <cellStyle name="Normal 6 3 2 3 2" xfId="516"/>
    <cellStyle name="Normal 6 3 2 3 2 2" xfId="858"/>
    <cellStyle name="Normal 6 3 2 3 2 2 2" xfId="1477"/>
    <cellStyle name="Normal 6 3 2 3 2 2 2 2" xfId="2717"/>
    <cellStyle name="Normal 6 3 2 3 2 2 3" xfId="2098"/>
    <cellStyle name="Normal 6 3 2 3 2 3" xfId="1168"/>
    <cellStyle name="Normal 6 3 2 3 2 3 2" xfId="2408"/>
    <cellStyle name="Normal 6 3 2 3 2 4" xfId="1789"/>
    <cellStyle name="Normal 6 3 2 3 3" xfId="656"/>
    <cellStyle name="Normal 6 3 2 3 3 2" xfId="1293"/>
    <cellStyle name="Normal 6 3 2 3 3 2 2" xfId="2533"/>
    <cellStyle name="Normal 6 3 2 3 3 3" xfId="1914"/>
    <cellStyle name="Normal 6 3 2 3 4" xfId="984"/>
    <cellStyle name="Normal 6 3 2 3 4 2" xfId="2224"/>
    <cellStyle name="Normal 6 3 2 3 5" xfId="1605"/>
    <cellStyle name="Normal 6 3 2 4" xfId="245"/>
    <cellStyle name="Normal 6 3 2 4 2" xfId="517"/>
    <cellStyle name="Normal 6 3 2 4 2 2" xfId="859"/>
    <cellStyle name="Normal 6 3 2 4 2 2 2" xfId="1478"/>
    <cellStyle name="Normal 6 3 2 4 2 2 2 2" xfId="2718"/>
    <cellStyle name="Normal 6 3 2 4 2 2 3" xfId="2099"/>
    <cellStyle name="Normal 6 3 2 4 2 3" xfId="1169"/>
    <cellStyle name="Normal 6 3 2 4 2 3 2" xfId="2409"/>
    <cellStyle name="Normal 6 3 2 4 2 4" xfId="1790"/>
    <cellStyle name="Normal 6 3 2 4 3" xfId="669"/>
    <cellStyle name="Normal 6 3 2 4 3 2" xfId="1306"/>
    <cellStyle name="Normal 6 3 2 4 3 2 2" xfId="2546"/>
    <cellStyle name="Normal 6 3 2 4 3 3" xfId="1927"/>
    <cellStyle name="Normal 6 3 2 4 4" xfId="997"/>
    <cellStyle name="Normal 6 3 2 4 4 2" xfId="2237"/>
    <cellStyle name="Normal 6 3 2 4 5" xfId="1618"/>
    <cellStyle name="Normal 6 3 2 5" xfId="514"/>
    <cellStyle name="Normal 6 3 2 5 2" xfId="856"/>
    <cellStyle name="Normal 6 3 2 5 2 2" xfId="1475"/>
    <cellStyle name="Normal 6 3 2 5 2 2 2" xfId="2715"/>
    <cellStyle name="Normal 6 3 2 5 2 3" xfId="2096"/>
    <cellStyle name="Normal 6 3 2 5 3" xfId="1166"/>
    <cellStyle name="Normal 6 3 2 5 3 2" xfId="2406"/>
    <cellStyle name="Normal 6 3 2 5 4" xfId="1787"/>
    <cellStyle name="Normal 6 3 2 6" xfId="626"/>
    <cellStyle name="Normal 6 3 2 6 2" xfId="1263"/>
    <cellStyle name="Normal 6 3 2 6 2 2" xfId="2503"/>
    <cellStyle name="Normal 6 3 2 6 3" xfId="1884"/>
    <cellStyle name="Normal 6 3 2 7" xfId="954"/>
    <cellStyle name="Normal 6 3 2 7 2" xfId="2194"/>
    <cellStyle name="Normal 6 3 2 8" xfId="1575"/>
    <cellStyle name="Normal 6 3 3" xfId="352"/>
    <cellStyle name="Normal 6 3 3 2" xfId="518"/>
    <cellStyle name="Normal 6 3 3 2 2" xfId="860"/>
    <cellStyle name="Normal 6 3 3 2 2 2" xfId="1479"/>
    <cellStyle name="Normal 6 3 3 2 2 2 2" xfId="2719"/>
    <cellStyle name="Normal 6 3 3 2 2 3" xfId="2100"/>
    <cellStyle name="Normal 6 3 3 2 3" xfId="1170"/>
    <cellStyle name="Normal 6 3 3 2 3 2" xfId="2410"/>
    <cellStyle name="Normal 6 3 3 2 4" xfId="1791"/>
    <cellStyle name="Normal 6 3 3 3" xfId="695"/>
    <cellStyle name="Normal 6 3 3 3 2" xfId="1332"/>
    <cellStyle name="Normal 6 3 3 3 2 2" xfId="2572"/>
    <cellStyle name="Normal 6 3 3 3 3" xfId="1953"/>
    <cellStyle name="Normal 6 3 3 4" xfId="1023"/>
    <cellStyle name="Normal 6 3 3 4 2" xfId="2263"/>
    <cellStyle name="Normal 6 3 3 5" xfId="1644"/>
    <cellStyle name="Normal 6 3 4" xfId="259"/>
    <cellStyle name="Normal 6 3 4 2" xfId="519"/>
    <cellStyle name="Normal 6 3 4 2 2" xfId="861"/>
    <cellStyle name="Normal 6 3 4 2 2 2" xfId="1480"/>
    <cellStyle name="Normal 6 3 4 2 2 2 2" xfId="2720"/>
    <cellStyle name="Normal 6 3 4 2 2 3" xfId="2101"/>
    <cellStyle name="Normal 6 3 4 2 3" xfId="1171"/>
    <cellStyle name="Normal 6 3 4 2 3 2" xfId="2411"/>
    <cellStyle name="Normal 6 3 4 2 4" xfId="1792"/>
    <cellStyle name="Normal 6 3 4 3" xfId="655"/>
    <cellStyle name="Normal 6 3 4 3 2" xfId="1292"/>
    <cellStyle name="Normal 6 3 4 3 2 2" xfId="2532"/>
    <cellStyle name="Normal 6 3 4 3 3" xfId="1913"/>
    <cellStyle name="Normal 6 3 4 4" xfId="983"/>
    <cellStyle name="Normal 6 3 4 4 2" xfId="2223"/>
    <cellStyle name="Normal 6 3 4 5" xfId="1604"/>
    <cellStyle name="Normal 6 3 5" xfId="273"/>
    <cellStyle name="Normal 6 3 5 2" xfId="520"/>
    <cellStyle name="Normal 6 3 5 2 2" xfId="862"/>
    <cellStyle name="Normal 6 3 5 2 2 2" xfId="1481"/>
    <cellStyle name="Normal 6 3 5 2 2 2 2" xfId="2721"/>
    <cellStyle name="Normal 6 3 5 2 2 3" xfId="2102"/>
    <cellStyle name="Normal 6 3 5 2 3" xfId="1172"/>
    <cellStyle name="Normal 6 3 5 2 3 2" xfId="2412"/>
    <cellStyle name="Normal 6 3 5 2 4" xfId="1793"/>
    <cellStyle name="Normal 6 3 5 3" xfId="642"/>
    <cellStyle name="Normal 6 3 5 3 2" xfId="1279"/>
    <cellStyle name="Normal 6 3 5 3 2 2" xfId="2519"/>
    <cellStyle name="Normal 6 3 5 3 3" xfId="1900"/>
    <cellStyle name="Normal 6 3 5 4" xfId="970"/>
    <cellStyle name="Normal 6 3 5 4 2" xfId="2210"/>
    <cellStyle name="Normal 6 3 5 5" xfId="1591"/>
    <cellStyle name="Normal 6 3 6" xfId="513"/>
    <cellStyle name="Normal 6 3 6 2" xfId="855"/>
    <cellStyle name="Normal 6 3 6 2 2" xfId="1474"/>
    <cellStyle name="Normal 6 3 6 2 2 2" xfId="2714"/>
    <cellStyle name="Normal 6 3 6 2 3" xfId="2095"/>
    <cellStyle name="Normal 6 3 6 3" xfId="1165"/>
    <cellStyle name="Normal 6 3 6 3 2" xfId="2405"/>
    <cellStyle name="Normal 6 3 6 4" xfId="1786"/>
    <cellStyle name="Normal 6 3 7" xfId="612"/>
    <cellStyle name="Normal 6 3 7 2" xfId="1249"/>
    <cellStyle name="Normal 6 3 7 2 2" xfId="2489"/>
    <cellStyle name="Normal 6 3 7 3" xfId="1870"/>
    <cellStyle name="Normal 6 3 8" xfId="940"/>
    <cellStyle name="Normal 6 3 8 2" xfId="2180"/>
    <cellStyle name="Normal 6 3 9" xfId="1561"/>
    <cellStyle name="Normal 6 4" xfId="295"/>
    <cellStyle name="Normal 6 4 2" xfId="288"/>
    <cellStyle name="Normal 6 4 2 2" xfId="369"/>
    <cellStyle name="Normal 6 4 2 2 2" xfId="523"/>
    <cellStyle name="Normal 6 4 2 2 2 2" xfId="865"/>
    <cellStyle name="Normal 6 4 2 2 2 2 2" xfId="1484"/>
    <cellStyle name="Normal 6 4 2 2 2 2 2 2" xfId="2724"/>
    <cellStyle name="Normal 6 4 2 2 2 2 3" xfId="2105"/>
    <cellStyle name="Normal 6 4 2 2 2 3" xfId="1175"/>
    <cellStyle name="Normal 6 4 2 2 2 3 2" xfId="2415"/>
    <cellStyle name="Normal 6 4 2 2 2 4" xfId="1796"/>
    <cellStyle name="Normal 6 4 2 2 3" xfId="712"/>
    <cellStyle name="Normal 6 4 2 2 3 2" xfId="1349"/>
    <cellStyle name="Normal 6 4 2 2 3 2 2" xfId="2589"/>
    <cellStyle name="Normal 6 4 2 2 3 3" xfId="1970"/>
    <cellStyle name="Normal 6 4 2 2 4" xfId="1040"/>
    <cellStyle name="Normal 6 4 2 2 4 2" xfId="2280"/>
    <cellStyle name="Normal 6 4 2 2 5" xfId="1661"/>
    <cellStyle name="Normal 6 4 2 3" xfId="255"/>
    <cellStyle name="Normal 6 4 2 3 2" xfId="524"/>
    <cellStyle name="Normal 6 4 2 3 2 2" xfId="866"/>
    <cellStyle name="Normal 6 4 2 3 2 2 2" xfId="1485"/>
    <cellStyle name="Normal 6 4 2 3 2 2 2 2" xfId="2725"/>
    <cellStyle name="Normal 6 4 2 3 2 2 3" xfId="2106"/>
    <cellStyle name="Normal 6 4 2 3 2 3" xfId="1176"/>
    <cellStyle name="Normal 6 4 2 3 2 3 2" xfId="2416"/>
    <cellStyle name="Normal 6 4 2 3 2 4" xfId="1797"/>
    <cellStyle name="Normal 6 4 2 3 3" xfId="659"/>
    <cellStyle name="Normal 6 4 2 3 3 2" xfId="1296"/>
    <cellStyle name="Normal 6 4 2 3 3 2 2" xfId="2536"/>
    <cellStyle name="Normal 6 4 2 3 3 3" xfId="1917"/>
    <cellStyle name="Normal 6 4 2 3 4" xfId="987"/>
    <cellStyle name="Normal 6 4 2 3 4 2" xfId="2227"/>
    <cellStyle name="Normal 6 4 2 3 5" xfId="1608"/>
    <cellStyle name="Normal 6 4 2 4" xfId="244"/>
    <cellStyle name="Normal 6 4 2 4 2" xfId="525"/>
    <cellStyle name="Normal 6 4 2 4 2 2" xfId="867"/>
    <cellStyle name="Normal 6 4 2 4 2 2 2" xfId="1486"/>
    <cellStyle name="Normal 6 4 2 4 2 2 2 2" xfId="2726"/>
    <cellStyle name="Normal 6 4 2 4 2 2 3" xfId="2107"/>
    <cellStyle name="Normal 6 4 2 4 2 3" xfId="1177"/>
    <cellStyle name="Normal 6 4 2 4 2 3 2" xfId="2417"/>
    <cellStyle name="Normal 6 4 2 4 2 4" xfId="1798"/>
    <cellStyle name="Normal 6 4 2 4 3" xfId="670"/>
    <cellStyle name="Normal 6 4 2 4 3 2" xfId="1307"/>
    <cellStyle name="Normal 6 4 2 4 3 2 2" xfId="2547"/>
    <cellStyle name="Normal 6 4 2 4 3 3" xfId="1928"/>
    <cellStyle name="Normal 6 4 2 4 4" xfId="998"/>
    <cellStyle name="Normal 6 4 2 4 4 2" xfId="2238"/>
    <cellStyle name="Normal 6 4 2 4 5" xfId="1619"/>
    <cellStyle name="Normal 6 4 2 5" xfId="522"/>
    <cellStyle name="Normal 6 4 2 5 2" xfId="864"/>
    <cellStyle name="Normal 6 4 2 5 2 2" xfId="1483"/>
    <cellStyle name="Normal 6 4 2 5 2 2 2" xfId="2723"/>
    <cellStyle name="Normal 6 4 2 5 2 3" xfId="2104"/>
    <cellStyle name="Normal 6 4 2 5 3" xfId="1174"/>
    <cellStyle name="Normal 6 4 2 5 3 2" xfId="2414"/>
    <cellStyle name="Normal 6 4 2 5 4" xfId="1795"/>
    <cellStyle name="Normal 6 4 2 6" xfId="627"/>
    <cellStyle name="Normal 6 4 2 6 2" xfId="1264"/>
    <cellStyle name="Normal 6 4 2 6 2 2" xfId="2504"/>
    <cellStyle name="Normal 6 4 2 6 3" xfId="1885"/>
    <cellStyle name="Normal 6 4 2 7" xfId="955"/>
    <cellStyle name="Normal 6 4 2 7 2" xfId="2195"/>
    <cellStyle name="Normal 6 4 2 8" xfId="1576"/>
    <cellStyle name="Normal 6 4 3" xfId="353"/>
    <cellStyle name="Normal 6 4 3 2" xfId="526"/>
    <cellStyle name="Normal 6 4 3 2 2" xfId="868"/>
    <cellStyle name="Normal 6 4 3 2 2 2" xfId="1487"/>
    <cellStyle name="Normal 6 4 3 2 2 2 2" xfId="2727"/>
    <cellStyle name="Normal 6 4 3 2 2 3" xfId="2108"/>
    <cellStyle name="Normal 6 4 3 2 3" xfId="1178"/>
    <cellStyle name="Normal 6 4 3 2 3 2" xfId="2418"/>
    <cellStyle name="Normal 6 4 3 2 4" xfId="1799"/>
    <cellStyle name="Normal 6 4 3 3" xfId="696"/>
    <cellStyle name="Normal 6 4 3 3 2" xfId="1333"/>
    <cellStyle name="Normal 6 4 3 3 2 2" xfId="2573"/>
    <cellStyle name="Normal 6 4 3 3 3" xfId="1954"/>
    <cellStyle name="Normal 6 4 3 4" xfId="1024"/>
    <cellStyle name="Normal 6 4 3 4 2" xfId="2264"/>
    <cellStyle name="Normal 6 4 3 5" xfId="1645"/>
    <cellStyle name="Normal 6 4 4" xfId="266"/>
    <cellStyle name="Normal 6 4 4 2" xfId="527"/>
    <cellStyle name="Normal 6 4 4 2 2" xfId="869"/>
    <cellStyle name="Normal 6 4 4 2 2 2" xfId="1488"/>
    <cellStyle name="Normal 6 4 4 2 2 2 2" xfId="2728"/>
    <cellStyle name="Normal 6 4 4 2 2 3" xfId="2109"/>
    <cellStyle name="Normal 6 4 4 2 3" xfId="1179"/>
    <cellStyle name="Normal 6 4 4 2 3 2" xfId="2419"/>
    <cellStyle name="Normal 6 4 4 2 4" xfId="1800"/>
    <cellStyle name="Normal 6 4 4 3" xfId="649"/>
    <cellStyle name="Normal 6 4 4 3 2" xfId="1286"/>
    <cellStyle name="Normal 6 4 4 3 2 2" xfId="2526"/>
    <cellStyle name="Normal 6 4 4 3 3" xfId="1907"/>
    <cellStyle name="Normal 6 4 4 4" xfId="977"/>
    <cellStyle name="Normal 6 4 4 4 2" xfId="2217"/>
    <cellStyle name="Normal 6 4 4 5" xfId="1598"/>
    <cellStyle name="Normal 6 4 5" xfId="272"/>
    <cellStyle name="Normal 6 4 5 2" xfId="528"/>
    <cellStyle name="Normal 6 4 5 2 2" xfId="870"/>
    <cellStyle name="Normal 6 4 5 2 2 2" xfId="1489"/>
    <cellStyle name="Normal 6 4 5 2 2 2 2" xfId="2729"/>
    <cellStyle name="Normal 6 4 5 2 2 3" xfId="2110"/>
    <cellStyle name="Normal 6 4 5 2 3" xfId="1180"/>
    <cellStyle name="Normal 6 4 5 2 3 2" xfId="2420"/>
    <cellStyle name="Normal 6 4 5 2 4" xfId="1801"/>
    <cellStyle name="Normal 6 4 5 3" xfId="643"/>
    <cellStyle name="Normal 6 4 5 3 2" xfId="1280"/>
    <cellStyle name="Normal 6 4 5 3 2 2" xfId="2520"/>
    <cellStyle name="Normal 6 4 5 3 3" xfId="1901"/>
    <cellStyle name="Normal 6 4 5 4" xfId="971"/>
    <cellStyle name="Normal 6 4 5 4 2" xfId="2211"/>
    <cellStyle name="Normal 6 4 5 5" xfId="1592"/>
    <cellStyle name="Normal 6 4 6" xfId="521"/>
    <cellStyle name="Normal 6 4 6 2" xfId="863"/>
    <cellStyle name="Normal 6 4 6 2 2" xfId="1482"/>
    <cellStyle name="Normal 6 4 6 2 2 2" xfId="2722"/>
    <cellStyle name="Normal 6 4 6 2 3" xfId="2103"/>
    <cellStyle name="Normal 6 4 6 3" xfId="1173"/>
    <cellStyle name="Normal 6 4 6 3 2" xfId="2413"/>
    <cellStyle name="Normal 6 4 6 4" xfId="1794"/>
    <cellStyle name="Normal 6 4 7" xfId="613"/>
    <cellStyle name="Normal 6 4 7 2" xfId="1250"/>
    <cellStyle name="Normal 6 4 7 2 2" xfId="2490"/>
    <cellStyle name="Normal 6 4 7 3" xfId="1871"/>
    <cellStyle name="Normal 6 4 8" xfId="941"/>
    <cellStyle name="Normal 6 4 8 2" xfId="2181"/>
    <cellStyle name="Normal 6 4 9" xfId="1562"/>
    <cellStyle name="Normal 6 5" xfId="294"/>
    <cellStyle name="Normal 6 5 2" xfId="287"/>
    <cellStyle name="Normal 6 5 2 2" xfId="370"/>
    <cellStyle name="Normal 6 5 2 2 2" xfId="531"/>
    <cellStyle name="Normal 6 5 2 2 2 2" xfId="873"/>
    <cellStyle name="Normal 6 5 2 2 2 2 2" xfId="1492"/>
    <cellStyle name="Normal 6 5 2 2 2 2 2 2" xfId="2732"/>
    <cellStyle name="Normal 6 5 2 2 2 2 3" xfId="2113"/>
    <cellStyle name="Normal 6 5 2 2 2 3" xfId="1183"/>
    <cellStyle name="Normal 6 5 2 2 2 3 2" xfId="2423"/>
    <cellStyle name="Normal 6 5 2 2 2 4" xfId="1804"/>
    <cellStyle name="Normal 6 5 2 2 3" xfId="713"/>
    <cellStyle name="Normal 6 5 2 2 3 2" xfId="1350"/>
    <cellStyle name="Normal 6 5 2 2 3 2 2" xfId="2590"/>
    <cellStyle name="Normal 6 5 2 2 3 3" xfId="1971"/>
    <cellStyle name="Normal 6 5 2 2 4" xfId="1041"/>
    <cellStyle name="Normal 6 5 2 2 4 2" xfId="2281"/>
    <cellStyle name="Normal 6 5 2 2 5" xfId="1662"/>
    <cellStyle name="Normal 6 5 2 3" xfId="238"/>
    <cellStyle name="Normal 6 5 2 3 2" xfId="532"/>
    <cellStyle name="Normal 6 5 2 3 2 2" xfId="874"/>
    <cellStyle name="Normal 6 5 2 3 2 2 2" xfId="1493"/>
    <cellStyle name="Normal 6 5 2 3 2 2 2 2" xfId="2733"/>
    <cellStyle name="Normal 6 5 2 3 2 2 3" xfId="2114"/>
    <cellStyle name="Normal 6 5 2 3 2 3" xfId="1184"/>
    <cellStyle name="Normal 6 5 2 3 2 3 2" xfId="2424"/>
    <cellStyle name="Normal 6 5 2 3 2 4" xfId="1805"/>
    <cellStyle name="Normal 6 5 2 3 3" xfId="676"/>
    <cellStyle name="Normal 6 5 2 3 3 2" xfId="1313"/>
    <cellStyle name="Normal 6 5 2 3 3 2 2" xfId="2553"/>
    <cellStyle name="Normal 6 5 2 3 3 3" xfId="1934"/>
    <cellStyle name="Normal 6 5 2 3 4" xfId="1004"/>
    <cellStyle name="Normal 6 5 2 3 4 2" xfId="2244"/>
    <cellStyle name="Normal 6 5 2 3 5" xfId="1625"/>
    <cellStyle name="Normal 6 5 2 4" xfId="243"/>
    <cellStyle name="Normal 6 5 2 4 2" xfId="533"/>
    <cellStyle name="Normal 6 5 2 4 2 2" xfId="875"/>
    <cellStyle name="Normal 6 5 2 4 2 2 2" xfId="1494"/>
    <cellStyle name="Normal 6 5 2 4 2 2 2 2" xfId="2734"/>
    <cellStyle name="Normal 6 5 2 4 2 2 3" xfId="2115"/>
    <cellStyle name="Normal 6 5 2 4 2 3" xfId="1185"/>
    <cellStyle name="Normal 6 5 2 4 2 3 2" xfId="2425"/>
    <cellStyle name="Normal 6 5 2 4 2 4" xfId="1806"/>
    <cellStyle name="Normal 6 5 2 4 3" xfId="671"/>
    <cellStyle name="Normal 6 5 2 4 3 2" xfId="1308"/>
    <cellStyle name="Normal 6 5 2 4 3 2 2" xfId="2548"/>
    <cellStyle name="Normal 6 5 2 4 3 3" xfId="1929"/>
    <cellStyle name="Normal 6 5 2 4 4" xfId="999"/>
    <cellStyle name="Normal 6 5 2 4 4 2" xfId="2239"/>
    <cellStyle name="Normal 6 5 2 4 5" xfId="1620"/>
    <cellStyle name="Normal 6 5 2 5" xfId="530"/>
    <cellStyle name="Normal 6 5 2 5 2" xfId="872"/>
    <cellStyle name="Normal 6 5 2 5 2 2" xfId="1491"/>
    <cellStyle name="Normal 6 5 2 5 2 2 2" xfId="2731"/>
    <cellStyle name="Normal 6 5 2 5 2 3" xfId="2112"/>
    <cellStyle name="Normal 6 5 2 5 3" xfId="1182"/>
    <cellStyle name="Normal 6 5 2 5 3 2" xfId="2422"/>
    <cellStyle name="Normal 6 5 2 5 4" xfId="1803"/>
    <cellStyle name="Normal 6 5 2 6" xfId="628"/>
    <cellStyle name="Normal 6 5 2 6 2" xfId="1265"/>
    <cellStyle name="Normal 6 5 2 6 2 2" xfId="2505"/>
    <cellStyle name="Normal 6 5 2 6 3" xfId="1886"/>
    <cellStyle name="Normal 6 5 2 7" xfId="956"/>
    <cellStyle name="Normal 6 5 2 7 2" xfId="2196"/>
    <cellStyle name="Normal 6 5 2 8" xfId="1577"/>
    <cellStyle name="Normal 6 5 3" xfId="354"/>
    <cellStyle name="Normal 6 5 3 2" xfId="534"/>
    <cellStyle name="Normal 6 5 3 2 2" xfId="876"/>
    <cellStyle name="Normal 6 5 3 2 2 2" xfId="1495"/>
    <cellStyle name="Normal 6 5 3 2 2 2 2" xfId="2735"/>
    <cellStyle name="Normal 6 5 3 2 2 3" xfId="2116"/>
    <cellStyle name="Normal 6 5 3 2 3" xfId="1186"/>
    <cellStyle name="Normal 6 5 3 2 3 2" xfId="2426"/>
    <cellStyle name="Normal 6 5 3 2 4" xfId="1807"/>
    <cellStyle name="Normal 6 5 3 3" xfId="697"/>
    <cellStyle name="Normal 6 5 3 3 2" xfId="1334"/>
    <cellStyle name="Normal 6 5 3 3 2 2" xfId="2574"/>
    <cellStyle name="Normal 6 5 3 3 3" xfId="1955"/>
    <cellStyle name="Normal 6 5 3 4" xfId="1025"/>
    <cellStyle name="Normal 6 5 3 4 2" xfId="2265"/>
    <cellStyle name="Normal 6 5 3 5" xfId="1646"/>
    <cellStyle name="Normal 6 5 4" xfId="407"/>
    <cellStyle name="Normal 6 5 4 2" xfId="237"/>
    <cellStyle name="Normal 6 5 4 2 2" xfId="535"/>
    <cellStyle name="Normal 6 5 4 2 2 2" xfId="877"/>
    <cellStyle name="Normal 6 5 4 2 2 2 2" xfId="1496"/>
    <cellStyle name="Normal 6 5 4 2 2 2 2 2" xfId="2736"/>
    <cellStyle name="Normal 6 5 4 2 2 2 3" xfId="2117"/>
    <cellStyle name="Normal 6 5 4 2 2 3" xfId="1187"/>
    <cellStyle name="Normal 6 5 4 2 2 3 2" xfId="2427"/>
    <cellStyle name="Normal 6 5 4 2 2 4" xfId="1808"/>
    <cellStyle name="Normal 6 5 4 2 3" xfId="677"/>
    <cellStyle name="Normal 6 5 4 2 3 2" xfId="1314"/>
    <cellStyle name="Normal 6 5 4 2 3 2 2" xfId="2554"/>
    <cellStyle name="Normal 6 5 4 2 3 3" xfId="1935"/>
    <cellStyle name="Normal 6 5 4 2 4" xfId="1005"/>
    <cellStyle name="Normal 6 5 4 2 4 2" xfId="2245"/>
    <cellStyle name="Normal 6 5 4 2 5" xfId="1626"/>
    <cellStyle name="Normal 6 5 5" xfId="271"/>
    <cellStyle name="Normal 6 5 5 2" xfId="536"/>
    <cellStyle name="Normal 6 5 5 2 2" xfId="878"/>
    <cellStyle name="Normal 6 5 5 2 2 2" xfId="1497"/>
    <cellStyle name="Normal 6 5 5 2 2 2 2" xfId="2737"/>
    <cellStyle name="Normal 6 5 5 2 2 3" xfId="2118"/>
    <cellStyle name="Normal 6 5 5 2 3" xfId="1188"/>
    <cellStyle name="Normal 6 5 5 2 3 2" xfId="2428"/>
    <cellStyle name="Normal 6 5 5 2 4" xfId="1809"/>
    <cellStyle name="Normal 6 5 5 3" xfId="644"/>
    <cellStyle name="Normal 6 5 5 3 2" xfId="1281"/>
    <cellStyle name="Normal 6 5 5 3 2 2" xfId="2521"/>
    <cellStyle name="Normal 6 5 5 3 3" xfId="1902"/>
    <cellStyle name="Normal 6 5 5 4" xfId="972"/>
    <cellStyle name="Normal 6 5 5 4 2" xfId="2212"/>
    <cellStyle name="Normal 6 5 5 5" xfId="1593"/>
    <cellStyle name="Normal 6 5 6" xfId="529"/>
    <cellStyle name="Normal 6 5 6 2" xfId="871"/>
    <cellStyle name="Normal 6 5 6 2 2" xfId="1490"/>
    <cellStyle name="Normal 6 5 6 2 2 2" xfId="2730"/>
    <cellStyle name="Normal 6 5 6 2 3" xfId="2111"/>
    <cellStyle name="Normal 6 5 6 3" xfId="1181"/>
    <cellStyle name="Normal 6 5 6 3 2" xfId="2421"/>
    <cellStyle name="Normal 6 5 6 4" xfId="1802"/>
    <cellStyle name="Normal 6 5 7" xfId="614"/>
    <cellStyle name="Normal 6 5 7 2" xfId="1251"/>
    <cellStyle name="Normal 6 5 7 2 2" xfId="2491"/>
    <cellStyle name="Normal 6 5 7 3" xfId="1872"/>
    <cellStyle name="Normal 6 5 8" xfId="942"/>
    <cellStyle name="Normal 6 5 8 2" xfId="2182"/>
    <cellStyle name="Normal 6 5 9" xfId="1563"/>
    <cellStyle name="Normal 6 6" xfId="293"/>
    <cellStyle name="Normal 6 6 2" xfId="286"/>
    <cellStyle name="Normal 6 6 2 2" xfId="371"/>
    <cellStyle name="Normal 6 6 2 2 2" xfId="539"/>
    <cellStyle name="Normal 6 6 2 2 2 2" xfId="881"/>
    <cellStyle name="Normal 6 6 2 2 2 2 2" xfId="1500"/>
    <cellStyle name="Normal 6 6 2 2 2 2 2 2" xfId="2740"/>
    <cellStyle name="Normal 6 6 2 2 2 2 3" xfId="2121"/>
    <cellStyle name="Normal 6 6 2 2 2 3" xfId="1191"/>
    <cellStyle name="Normal 6 6 2 2 2 3 2" xfId="2431"/>
    <cellStyle name="Normal 6 6 2 2 2 4" xfId="1812"/>
    <cellStyle name="Normal 6 6 2 2 3" xfId="714"/>
    <cellStyle name="Normal 6 6 2 2 3 2" xfId="1351"/>
    <cellStyle name="Normal 6 6 2 2 3 2 2" xfId="2591"/>
    <cellStyle name="Normal 6 6 2 2 3 3" xfId="1972"/>
    <cellStyle name="Normal 6 6 2 2 4" xfId="1042"/>
    <cellStyle name="Normal 6 6 2 2 4 2" xfId="2282"/>
    <cellStyle name="Normal 6 6 2 2 5" xfId="1663"/>
    <cellStyle name="Normal 6 6 2 3" xfId="265"/>
    <cellStyle name="Normal 6 6 2 3 2" xfId="540"/>
    <cellStyle name="Normal 6 6 2 3 2 2" xfId="882"/>
    <cellStyle name="Normal 6 6 2 3 2 2 2" xfId="1501"/>
    <cellStyle name="Normal 6 6 2 3 2 2 2 2" xfId="2741"/>
    <cellStyle name="Normal 6 6 2 3 2 2 3" xfId="2122"/>
    <cellStyle name="Normal 6 6 2 3 2 3" xfId="1192"/>
    <cellStyle name="Normal 6 6 2 3 2 3 2" xfId="2432"/>
    <cellStyle name="Normal 6 6 2 3 2 4" xfId="1813"/>
    <cellStyle name="Normal 6 6 2 3 3" xfId="650"/>
    <cellStyle name="Normal 6 6 2 3 3 2" xfId="1287"/>
    <cellStyle name="Normal 6 6 2 3 3 2 2" xfId="2527"/>
    <cellStyle name="Normal 6 6 2 3 3 3" xfId="1908"/>
    <cellStyle name="Normal 6 6 2 3 4" xfId="978"/>
    <cellStyle name="Normal 6 6 2 3 4 2" xfId="2218"/>
    <cellStyle name="Normal 6 6 2 3 5" xfId="1599"/>
    <cellStyle name="Normal 6 6 2 4" xfId="242"/>
    <cellStyle name="Normal 6 6 2 4 2" xfId="541"/>
    <cellStyle name="Normal 6 6 2 4 2 2" xfId="883"/>
    <cellStyle name="Normal 6 6 2 4 2 2 2" xfId="1502"/>
    <cellStyle name="Normal 6 6 2 4 2 2 2 2" xfId="2742"/>
    <cellStyle name="Normal 6 6 2 4 2 2 3" xfId="2123"/>
    <cellStyle name="Normal 6 6 2 4 2 3" xfId="1193"/>
    <cellStyle name="Normal 6 6 2 4 2 3 2" xfId="2433"/>
    <cellStyle name="Normal 6 6 2 4 2 4" xfId="1814"/>
    <cellStyle name="Normal 6 6 2 4 3" xfId="672"/>
    <cellStyle name="Normal 6 6 2 4 3 2" xfId="1309"/>
    <cellStyle name="Normal 6 6 2 4 3 2 2" xfId="2549"/>
    <cellStyle name="Normal 6 6 2 4 3 3" xfId="1930"/>
    <cellStyle name="Normal 6 6 2 4 4" xfId="1000"/>
    <cellStyle name="Normal 6 6 2 4 4 2" xfId="2240"/>
    <cellStyle name="Normal 6 6 2 4 5" xfId="1621"/>
    <cellStyle name="Normal 6 6 2 5" xfId="538"/>
    <cellStyle name="Normal 6 6 2 5 2" xfId="880"/>
    <cellStyle name="Normal 6 6 2 5 2 2" xfId="1499"/>
    <cellStyle name="Normal 6 6 2 5 2 2 2" xfId="2739"/>
    <cellStyle name="Normal 6 6 2 5 2 3" xfId="2120"/>
    <cellStyle name="Normal 6 6 2 5 3" xfId="1190"/>
    <cellStyle name="Normal 6 6 2 5 3 2" xfId="2430"/>
    <cellStyle name="Normal 6 6 2 5 4" xfId="1811"/>
    <cellStyle name="Normal 6 6 2 6" xfId="629"/>
    <cellStyle name="Normal 6 6 2 6 2" xfId="1266"/>
    <cellStyle name="Normal 6 6 2 6 2 2" xfId="2506"/>
    <cellStyle name="Normal 6 6 2 6 3" xfId="1887"/>
    <cellStyle name="Normal 6 6 2 7" xfId="957"/>
    <cellStyle name="Normal 6 6 2 7 2" xfId="2197"/>
    <cellStyle name="Normal 6 6 2 8" xfId="1578"/>
    <cellStyle name="Normal 6 6 3" xfId="355"/>
    <cellStyle name="Normal 6 6 3 2" xfId="542"/>
    <cellStyle name="Normal 6 6 3 2 2" xfId="884"/>
    <cellStyle name="Normal 6 6 3 2 2 2" xfId="1503"/>
    <cellStyle name="Normal 6 6 3 2 2 2 2" xfId="2743"/>
    <cellStyle name="Normal 6 6 3 2 2 3" xfId="2124"/>
    <cellStyle name="Normal 6 6 3 2 3" xfId="1194"/>
    <cellStyle name="Normal 6 6 3 2 3 2" xfId="2434"/>
    <cellStyle name="Normal 6 6 3 2 4" xfId="1815"/>
    <cellStyle name="Normal 6 6 3 3" xfId="698"/>
    <cellStyle name="Normal 6 6 3 3 2" xfId="1335"/>
    <cellStyle name="Normal 6 6 3 3 2 2" xfId="2575"/>
    <cellStyle name="Normal 6 6 3 3 3" xfId="1956"/>
    <cellStyle name="Normal 6 6 3 4" xfId="1026"/>
    <cellStyle name="Normal 6 6 3 4 2" xfId="2266"/>
    <cellStyle name="Normal 6 6 3 5" xfId="1647"/>
    <cellStyle name="Normal 6 6 4" xfId="263"/>
    <cellStyle name="Normal 6 6 4 2" xfId="543"/>
    <cellStyle name="Normal 6 6 4 2 2" xfId="885"/>
    <cellStyle name="Normal 6 6 4 2 2 2" xfId="1504"/>
    <cellStyle name="Normal 6 6 4 2 2 2 2" xfId="2744"/>
    <cellStyle name="Normal 6 6 4 2 2 3" xfId="2125"/>
    <cellStyle name="Normal 6 6 4 2 3" xfId="1195"/>
    <cellStyle name="Normal 6 6 4 2 3 2" xfId="2435"/>
    <cellStyle name="Normal 6 6 4 2 4" xfId="1816"/>
    <cellStyle name="Normal 6 6 4 3" xfId="651"/>
    <cellStyle name="Normal 6 6 4 3 2" xfId="1288"/>
    <cellStyle name="Normal 6 6 4 3 2 2" xfId="2528"/>
    <cellStyle name="Normal 6 6 4 3 3" xfId="1909"/>
    <cellStyle name="Normal 6 6 4 4" xfId="979"/>
    <cellStyle name="Normal 6 6 4 4 2" xfId="2219"/>
    <cellStyle name="Normal 6 6 4 5" xfId="1600"/>
    <cellStyle name="Normal 6 6 5" xfId="270"/>
    <cellStyle name="Normal 6 6 5 2" xfId="544"/>
    <cellStyle name="Normal 6 6 5 2 2" xfId="886"/>
    <cellStyle name="Normal 6 6 5 2 2 2" xfId="1505"/>
    <cellStyle name="Normal 6 6 5 2 2 2 2" xfId="2745"/>
    <cellStyle name="Normal 6 6 5 2 2 3" xfId="2126"/>
    <cellStyle name="Normal 6 6 5 2 3" xfId="1196"/>
    <cellStyle name="Normal 6 6 5 2 3 2" xfId="2436"/>
    <cellStyle name="Normal 6 6 5 2 4" xfId="1817"/>
    <cellStyle name="Normal 6 6 5 3" xfId="645"/>
    <cellStyle name="Normal 6 6 5 3 2" xfId="1282"/>
    <cellStyle name="Normal 6 6 5 3 2 2" xfId="2522"/>
    <cellStyle name="Normal 6 6 5 3 3" xfId="1903"/>
    <cellStyle name="Normal 6 6 5 4" xfId="973"/>
    <cellStyle name="Normal 6 6 5 4 2" xfId="2213"/>
    <cellStyle name="Normal 6 6 5 5" xfId="1594"/>
    <cellStyle name="Normal 6 6 6" xfId="537"/>
    <cellStyle name="Normal 6 6 6 2" xfId="879"/>
    <cellStyle name="Normal 6 6 6 2 2" xfId="1498"/>
    <cellStyle name="Normal 6 6 6 2 2 2" xfId="2738"/>
    <cellStyle name="Normal 6 6 6 2 3" xfId="2119"/>
    <cellStyle name="Normal 6 6 6 3" xfId="1189"/>
    <cellStyle name="Normal 6 6 6 3 2" xfId="2429"/>
    <cellStyle name="Normal 6 6 6 4" xfId="1810"/>
    <cellStyle name="Normal 6 6 7" xfId="615"/>
    <cellStyle name="Normal 6 6 7 2" xfId="1252"/>
    <cellStyle name="Normal 6 6 7 2 2" xfId="2492"/>
    <cellStyle name="Normal 6 6 7 3" xfId="1873"/>
    <cellStyle name="Normal 6 6 8" xfId="943"/>
    <cellStyle name="Normal 6 6 8 2" xfId="2183"/>
    <cellStyle name="Normal 6 6 9" xfId="1564"/>
    <cellStyle name="Normal 6 7" xfId="292"/>
    <cellStyle name="Normal 6 7 2" xfId="285"/>
    <cellStyle name="Normal 6 7 2 2" xfId="372"/>
    <cellStyle name="Normal 6 7 2 2 2" xfId="547"/>
    <cellStyle name="Normal 6 7 2 2 2 2" xfId="889"/>
    <cellStyle name="Normal 6 7 2 2 2 2 2" xfId="1508"/>
    <cellStyle name="Normal 6 7 2 2 2 2 2 2" xfId="2748"/>
    <cellStyle name="Normal 6 7 2 2 2 2 3" xfId="2129"/>
    <cellStyle name="Normal 6 7 2 2 2 3" xfId="1199"/>
    <cellStyle name="Normal 6 7 2 2 2 3 2" xfId="2439"/>
    <cellStyle name="Normal 6 7 2 2 2 4" xfId="1820"/>
    <cellStyle name="Normal 6 7 2 2 3" xfId="715"/>
    <cellStyle name="Normal 6 7 2 2 3 2" xfId="1352"/>
    <cellStyle name="Normal 6 7 2 2 3 2 2" xfId="2592"/>
    <cellStyle name="Normal 6 7 2 2 3 3" xfId="1973"/>
    <cellStyle name="Normal 6 7 2 2 4" xfId="1043"/>
    <cellStyle name="Normal 6 7 2 2 4 2" xfId="2283"/>
    <cellStyle name="Normal 6 7 2 2 5" xfId="1664"/>
    <cellStyle name="Normal 6 7 2 3" xfId="268"/>
    <cellStyle name="Normal 6 7 2 3 2" xfId="548"/>
    <cellStyle name="Normal 6 7 2 3 2 2" xfId="890"/>
    <cellStyle name="Normal 6 7 2 3 2 2 2" xfId="1509"/>
    <cellStyle name="Normal 6 7 2 3 2 2 2 2" xfId="2749"/>
    <cellStyle name="Normal 6 7 2 3 2 2 3" xfId="2130"/>
    <cellStyle name="Normal 6 7 2 3 2 3" xfId="1200"/>
    <cellStyle name="Normal 6 7 2 3 2 3 2" xfId="2440"/>
    <cellStyle name="Normal 6 7 2 3 2 4" xfId="1821"/>
    <cellStyle name="Normal 6 7 2 3 3" xfId="647"/>
    <cellStyle name="Normal 6 7 2 3 3 2" xfId="1284"/>
    <cellStyle name="Normal 6 7 2 3 3 2 2" xfId="2524"/>
    <cellStyle name="Normal 6 7 2 3 3 3" xfId="1905"/>
    <cellStyle name="Normal 6 7 2 3 4" xfId="975"/>
    <cellStyle name="Normal 6 7 2 3 4 2" xfId="2215"/>
    <cellStyle name="Normal 6 7 2 3 5" xfId="1596"/>
    <cellStyle name="Normal 6 7 2 4" xfId="241"/>
    <cellStyle name="Normal 6 7 2 4 2" xfId="549"/>
    <cellStyle name="Normal 6 7 2 4 2 2" xfId="891"/>
    <cellStyle name="Normal 6 7 2 4 2 2 2" xfId="1510"/>
    <cellStyle name="Normal 6 7 2 4 2 2 2 2" xfId="2750"/>
    <cellStyle name="Normal 6 7 2 4 2 2 3" xfId="2131"/>
    <cellStyle name="Normal 6 7 2 4 2 3" xfId="1201"/>
    <cellStyle name="Normal 6 7 2 4 2 3 2" xfId="2441"/>
    <cellStyle name="Normal 6 7 2 4 2 4" xfId="1822"/>
    <cellStyle name="Normal 6 7 2 4 3" xfId="673"/>
    <cellStyle name="Normal 6 7 2 4 3 2" xfId="1310"/>
    <cellStyle name="Normal 6 7 2 4 3 2 2" xfId="2550"/>
    <cellStyle name="Normal 6 7 2 4 3 3" xfId="1931"/>
    <cellStyle name="Normal 6 7 2 4 4" xfId="1001"/>
    <cellStyle name="Normal 6 7 2 4 4 2" xfId="2241"/>
    <cellStyle name="Normal 6 7 2 4 5" xfId="1622"/>
    <cellStyle name="Normal 6 7 2 5" xfId="546"/>
    <cellStyle name="Normal 6 7 2 5 2" xfId="888"/>
    <cellStyle name="Normal 6 7 2 5 2 2" xfId="1507"/>
    <cellStyle name="Normal 6 7 2 5 2 2 2" xfId="2747"/>
    <cellStyle name="Normal 6 7 2 5 2 3" xfId="2128"/>
    <cellStyle name="Normal 6 7 2 5 3" xfId="1198"/>
    <cellStyle name="Normal 6 7 2 5 3 2" xfId="2438"/>
    <cellStyle name="Normal 6 7 2 5 4" xfId="1819"/>
    <cellStyle name="Normal 6 7 2 6" xfId="630"/>
    <cellStyle name="Normal 6 7 2 6 2" xfId="1267"/>
    <cellStyle name="Normal 6 7 2 6 2 2" xfId="2507"/>
    <cellStyle name="Normal 6 7 2 6 3" xfId="1888"/>
    <cellStyle name="Normal 6 7 2 7" xfId="958"/>
    <cellStyle name="Normal 6 7 2 7 2" xfId="2198"/>
    <cellStyle name="Normal 6 7 2 8" xfId="1579"/>
    <cellStyle name="Normal 6 7 3" xfId="356"/>
    <cellStyle name="Normal 6 7 3 2" xfId="550"/>
    <cellStyle name="Normal 6 7 3 2 2" xfId="892"/>
    <cellStyle name="Normal 6 7 3 2 2 2" xfId="1511"/>
    <cellStyle name="Normal 6 7 3 2 2 2 2" xfId="2751"/>
    <cellStyle name="Normal 6 7 3 2 2 3" xfId="2132"/>
    <cellStyle name="Normal 6 7 3 2 3" xfId="1202"/>
    <cellStyle name="Normal 6 7 3 2 3 2" xfId="2442"/>
    <cellStyle name="Normal 6 7 3 2 4" xfId="1823"/>
    <cellStyle name="Normal 6 7 3 3" xfId="699"/>
    <cellStyle name="Normal 6 7 3 3 2" xfId="1336"/>
    <cellStyle name="Normal 6 7 3 3 2 2" xfId="2576"/>
    <cellStyle name="Normal 6 7 3 3 3" xfId="1957"/>
    <cellStyle name="Normal 6 7 3 4" xfId="1027"/>
    <cellStyle name="Normal 6 7 3 4 2" xfId="2267"/>
    <cellStyle name="Normal 6 7 3 5" xfId="1648"/>
    <cellStyle name="Normal 6 7 4" xfId="231"/>
    <cellStyle name="Normal 6 7 4 2" xfId="551"/>
    <cellStyle name="Normal 6 7 4 2 2" xfId="893"/>
    <cellStyle name="Normal 6 7 4 2 2 2" xfId="1512"/>
    <cellStyle name="Normal 6 7 4 2 2 2 2" xfId="2752"/>
    <cellStyle name="Normal 6 7 4 2 2 3" xfId="2133"/>
    <cellStyle name="Normal 6 7 4 2 3" xfId="1203"/>
    <cellStyle name="Normal 6 7 4 2 3 2" xfId="2443"/>
    <cellStyle name="Normal 6 7 4 2 4" xfId="1824"/>
    <cellStyle name="Normal 6 7 4 3" xfId="683"/>
    <cellStyle name="Normal 6 7 4 3 2" xfId="1320"/>
    <cellStyle name="Normal 6 7 4 3 2 2" xfId="2560"/>
    <cellStyle name="Normal 6 7 4 3 3" xfId="1941"/>
    <cellStyle name="Normal 6 7 4 4" xfId="1011"/>
    <cellStyle name="Normal 6 7 4 4 2" xfId="2251"/>
    <cellStyle name="Normal 6 7 4 5" xfId="1632"/>
    <cellStyle name="Normal 6 7 5" xfId="269"/>
    <cellStyle name="Normal 6 7 5 2" xfId="552"/>
    <cellStyle name="Normal 6 7 5 2 2" xfId="894"/>
    <cellStyle name="Normal 6 7 5 2 2 2" xfId="1513"/>
    <cellStyle name="Normal 6 7 5 2 2 2 2" xfId="2753"/>
    <cellStyle name="Normal 6 7 5 2 2 3" xfId="2134"/>
    <cellStyle name="Normal 6 7 5 2 3" xfId="1204"/>
    <cellStyle name="Normal 6 7 5 2 3 2" xfId="2444"/>
    <cellStyle name="Normal 6 7 5 2 4" xfId="1825"/>
    <cellStyle name="Normal 6 7 5 3" xfId="646"/>
    <cellStyle name="Normal 6 7 5 3 2" xfId="1283"/>
    <cellStyle name="Normal 6 7 5 3 2 2" xfId="2523"/>
    <cellStyle name="Normal 6 7 5 3 3" xfId="1904"/>
    <cellStyle name="Normal 6 7 5 4" xfId="974"/>
    <cellStyle name="Normal 6 7 5 4 2" xfId="2214"/>
    <cellStyle name="Normal 6 7 5 5" xfId="1595"/>
    <cellStyle name="Normal 6 7 6" xfId="545"/>
    <cellStyle name="Normal 6 7 6 2" xfId="887"/>
    <cellStyle name="Normal 6 7 6 2 2" xfId="1506"/>
    <cellStyle name="Normal 6 7 6 2 2 2" xfId="2746"/>
    <cellStyle name="Normal 6 7 6 2 3" xfId="2127"/>
    <cellStyle name="Normal 6 7 6 3" xfId="1197"/>
    <cellStyle name="Normal 6 7 6 3 2" xfId="2437"/>
    <cellStyle name="Normal 6 7 6 4" xfId="1818"/>
    <cellStyle name="Normal 6 7 7" xfId="616"/>
    <cellStyle name="Normal 6 7 7 2" xfId="1253"/>
    <cellStyle name="Normal 6 7 7 2 2" xfId="2493"/>
    <cellStyle name="Normal 6 7 7 3" xfId="1874"/>
    <cellStyle name="Normal 6 7 8" xfId="944"/>
    <cellStyle name="Normal 6 7 8 2" xfId="2184"/>
    <cellStyle name="Normal 6 7 9" xfId="1565"/>
    <cellStyle name="Normal 6 8" xfId="297"/>
    <cellStyle name="Normal 6 8 2" xfId="283"/>
    <cellStyle name="Normal 6 8 2 2" xfId="374"/>
    <cellStyle name="Normal 6 8 2 2 2" xfId="555"/>
    <cellStyle name="Normal 6 8 2 2 2 2" xfId="897"/>
    <cellStyle name="Normal 6 8 2 2 2 2 2" xfId="1516"/>
    <cellStyle name="Normal 6 8 2 2 2 2 2 2" xfId="2756"/>
    <cellStyle name="Normal 6 8 2 2 2 2 3" xfId="2137"/>
    <cellStyle name="Normal 6 8 2 2 2 3" xfId="1207"/>
    <cellStyle name="Normal 6 8 2 2 2 3 2" xfId="2447"/>
    <cellStyle name="Normal 6 8 2 2 2 4" xfId="1828"/>
    <cellStyle name="Normal 6 8 2 2 3" xfId="717"/>
    <cellStyle name="Normal 6 8 2 2 3 2" xfId="1354"/>
    <cellStyle name="Normal 6 8 2 2 3 2 2" xfId="2594"/>
    <cellStyle name="Normal 6 8 2 2 3 3" xfId="1975"/>
    <cellStyle name="Normal 6 8 2 2 4" xfId="1045"/>
    <cellStyle name="Normal 6 8 2 2 4 2" xfId="2285"/>
    <cellStyle name="Normal 6 8 2 2 5" xfId="1666"/>
    <cellStyle name="Normal 6 8 2 3" xfId="236"/>
    <cellStyle name="Normal 6 8 2 3 2" xfId="556"/>
    <cellStyle name="Normal 6 8 2 3 2 2" xfId="898"/>
    <cellStyle name="Normal 6 8 2 3 2 2 2" xfId="1517"/>
    <cellStyle name="Normal 6 8 2 3 2 2 2 2" xfId="2757"/>
    <cellStyle name="Normal 6 8 2 3 2 2 3" xfId="2138"/>
    <cellStyle name="Normal 6 8 2 3 2 3" xfId="1208"/>
    <cellStyle name="Normal 6 8 2 3 2 3 2" xfId="2448"/>
    <cellStyle name="Normal 6 8 2 3 2 4" xfId="1829"/>
    <cellStyle name="Normal 6 8 2 3 3" xfId="678"/>
    <cellStyle name="Normal 6 8 2 3 3 2" xfId="1315"/>
    <cellStyle name="Normal 6 8 2 3 3 2 2" xfId="2555"/>
    <cellStyle name="Normal 6 8 2 3 3 3" xfId="1936"/>
    <cellStyle name="Normal 6 8 2 3 4" xfId="1006"/>
    <cellStyle name="Normal 6 8 2 3 4 2" xfId="2246"/>
    <cellStyle name="Normal 6 8 2 3 5" xfId="1627"/>
    <cellStyle name="Normal 6 8 2 4" xfId="239"/>
    <cellStyle name="Normal 6 8 2 4 2" xfId="557"/>
    <cellStyle name="Normal 6 8 2 4 2 2" xfId="899"/>
    <cellStyle name="Normal 6 8 2 4 2 2 2" xfId="1518"/>
    <cellStyle name="Normal 6 8 2 4 2 2 2 2" xfId="2758"/>
    <cellStyle name="Normal 6 8 2 4 2 2 3" xfId="2139"/>
    <cellStyle name="Normal 6 8 2 4 2 3" xfId="1209"/>
    <cellStyle name="Normal 6 8 2 4 2 3 2" xfId="2449"/>
    <cellStyle name="Normal 6 8 2 4 2 4" xfId="1830"/>
    <cellStyle name="Normal 6 8 2 4 3" xfId="675"/>
    <cellStyle name="Normal 6 8 2 4 3 2" xfId="1312"/>
    <cellStyle name="Normal 6 8 2 4 3 2 2" xfId="2552"/>
    <cellStyle name="Normal 6 8 2 4 3 3" xfId="1933"/>
    <cellStyle name="Normal 6 8 2 4 4" xfId="1003"/>
    <cellStyle name="Normal 6 8 2 4 4 2" xfId="2243"/>
    <cellStyle name="Normal 6 8 2 4 5" xfId="1624"/>
    <cellStyle name="Normal 6 8 2 5" xfId="554"/>
    <cellStyle name="Normal 6 8 2 5 2" xfId="896"/>
    <cellStyle name="Normal 6 8 2 5 2 2" xfId="1515"/>
    <cellStyle name="Normal 6 8 2 5 2 2 2" xfId="2755"/>
    <cellStyle name="Normal 6 8 2 5 2 3" xfId="2136"/>
    <cellStyle name="Normal 6 8 2 5 3" xfId="1206"/>
    <cellStyle name="Normal 6 8 2 5 3 2" xfId="2446"/>
    <cellStyle name="Normal 6 8 2 5 4" xfId="1827"/>
    <cellStyle name="Normal 6 8 2 6" xfId="632"/>
    <cellStyle name="Normal 6 8 2 6 2" xfId="1269"/>
    <cellStyle name="Normal 6 8 2 6 2 2" xfId="2509"/>
    <cellStyle name="Normal 6 8 2 6 3" xfId="1890"/>
    <cellStyle name="Normal 6 8 2 7" xfId="960"/>
    <cellStyle name="Normal 6 8 2 7 2" xfId="2200"/>
    <cellStyle name="Normal 6 8 2 8" xfId="1581"/>
    <cellStyle name="Normal 6 8 3" xfId="358"/>
    <cellStyle name="Normal 6 8 3 2" xfId="558"/>
    <cellStyle name="Normal 6 8 3 2 2" xfId="900"/>
    <cellStyle name="Normal 6 8 3 2 2 2" xfId="1519"/>
    <cellStyle name="Normal 6 8 3 2 2 2 2" xfId="2759"/>
    <cellStyle name="Normal 6 8 3 2 2 3" xfId="2140"/>
    <cellStyle name="Normal 6 8 3 2 3" xfId="1210"/>
    <cellStyle name="Normal 6 8 3 2 3 2" xfId="2450"/>
    <cellStyle name="Normal 6 8 3 2 4" xfId="1831"/>
    <cellStyle name="Normal 6 8 3 3" xfId="701"/>
    <cellStyle name="Normal 6 8 3 3 2" xfId="1338"/>
    <cellStyle name="Normal 6 8 3 3 2 2" xfId="2578"/>
    <cellStyle name="Normal 6 8 3 3 3" xfId="1959"/>
    <cellStyle name="Normal 6 8 3 4" xfId="1029"/>
    <cellStyle name="Normal 6 8 3 4 2" xfId="2269"/>
    <cellStyle name="Normal 6 8 3 5" xfId="1650"/>
    <cellStyle name="Normal 6 8 4" xfId="267"/>
    <cellStyle name="Normal 6 8 4 2" xfId="559"/>
    <cellStyle name="Normal 6 8 4 2 2" xfId="901"/>
    <cellStyle name="Normal 6 8 4 2 2 2" xfId="1520"/>
    <cellStyle name="Normal 6 8 4 2 2 2 2" xfId="2760"/>
    <cellStyle name="Normal 6 8 4 2 2 3" xfId="2141"/>
    <cellStyle name="Normal 6 8 4 2 3" xfId="1211"/>
    <cellStyle name="Normal 6 8 4 2 3 2" xfId="2451"/>
    <cellStyle name="Normal 6 8 4 2 4" xfId="1832"/>
    <cellStyle name="Normal 6 8 4 3" xfId="648"/>
    <cellStyle name="Normal 6 8 4 3 2" xfId="1285"/>
    <cellStyle name="Normal 6 8 4 3 2 2" xfId="2525"/>
    <cellStyle name="Normal 6 8 4 3 3" xfId="1906"/>
    <cellStyle name="Normal 6 8 4 4" xfId="976"/>
    <cellStyle name="Normal 6 8 4 4 2" xfId="2216"/>
    <cellStyle name="Normal 6 8 4 5" xfId="1597"/>
    <cellStyle name="Normal 6 8 5" xfId="257"/>
    <cellStyle name="Normal 6 8 5 2" xfId="560"/>
    <cellStyle name="Normal 6 8 5 2 2" xfId="902"/>
    <cellStyle name="Normal 6 8 5 2 2 2" xfId="1521"/>
    <cellStyle name="Normal 6 8 5 2 2 2 2" xfId="2761"/>
    <cellStyle name="Normal 6 8 5 2 2 3" xfId="2142"/>
    <cellStyle name="Normal 6 8 5 2 3" xfId="1212"/>
    <cellStyle name="Normal 6 8 5 2 3 2" xfId="2452"/>
    <cellStyle name="Normal 6 8 5 2 4" xfId="1833"/>
    <cellStyle name="Normal 6 8 5 3" xfId="657"/>
    <cellStyle name="Normal 6 8 5 3 2" xfId="1294"/>
    <cellStyle name="Normal 6 8 5 3 2 2" xfId="2534"/>
    <cellStyle name="Normal 6 8 5 3 3" xfId="1915"/>
    <cellStyle name="Normal 6 8 5 4" xfId="985"/>
    <cellStyle name="Normal 6 8 5 4 2" xfId="2225"/>
    <cellStyle name="Normal 6 8 5 5" xfId="1606"/>
    <cellStyle name="Normal 6 8 6" xfId="553"/>
    <cellStyle name="Normal 6 8 6 2" xfId="895"/>
    <cellStyle name="Normal 6 8 6 2 2" xfId="1514"/>
    <cellStyle name="Normal 6 8 6 2 2 2" xfId="2754"/>
    <cellStyle name="Normal 6 8 6 2 3" xfId="2135"/>
    <cellStyle name="Normal 6 8 6 3" xfId="1205"/>
    <cellStyle name="Normal 6 8 6 3 2" xfId="2445"/>
    <cellStyle name="Normal 6 8 6 4" xfId="1826"/>
    <cellStyle name="Normal 6 8 7" xfId="610"/>
    <cellStyle name="Normal 6 8 7 2" xfId="1247"/>
    <cellStyle name="Normal 6 8 7 2 2" xfId="2487"/>
    <cellStyle name="Normal 6 8 7 3" xfId="1868"/>
    <cellStyle name="Normal 6 8 8" xfId="938"/>
    <cellStyle name="Normal 6 8 8 2" xfId="2178"/>
    <cellStyle name="Normal 6 8 9" xfId="1559"/>
    <cellStyle name="Normal 6 9" xfId="291"/>
    <cellStyle name="Normal 6 9 2" xfId="366"/>
    <cellStyle name="Normal 6 9 2 2" xfId="562"/>
    <cellStyle name="Normal 6 9 2 2 2" xfId="904"/>
    <cellStyle name="Normal 6 9 2 2 2 2" xfId="1523"/>
    <cellStyle name="Normal 6 9 2 2 2 2 2" xfId="2763"/>
    <cellStyle name="Normal 6 9 2 2 2 3" xfId="2144"/>
    <cellStyle name="Normal 6 9 2 2 3" xfId="1214"/>
    <cellStyle name="Normal 6 9 2 2 3 2" xfId="2454"/>
    <cellStyle name="Normal 6 9 2 2 4" xfId="1835"/>
    <cellStyle name="Normal 6 9 2 3" xfId="709"/>
    <cellStyle name="Normal 6 9 2 3 2" xfId="1346"/>
    <cellStyle name="Normal 6 9 2 3 2 2" xfId="2586"/>
    <cellStyle name="Normal 6 9 2 3 3" xfId="1967"/>
    <cellStyle name="Normal 6 9 2 4" xfId="1037"/>
    <cellStyle name="Normal 6 9 2 4 2" xfId="2277"/>
    <cellStyle name="Normal 6 9 2 5" xfId="1658"/>
    <cellStyle name="Normal 6 9 3" xfId="393"/>
    <cellStyle name="Normal 6 9 3 2" xfId="563"/>
    <cellStyle name="Normal 6 9 3 2 2" xfId="905"/>
    <cellStyle name="Normal 6 9 3 2 2 2" xfId="1524"/>
    <cellStyle name="Normal 6 9 3 2 2 2 2" xfId="2764"/>
    <cellStyle name="Normal 6 9 3 2 2 3" xfId="2145"/>
    <cellStyle name="Normal 6 9 3 2 3" xfId="1215"/>
    <cellStyle name="Normal 6 9 3 2 3 2" xfId="2455"/>
    <cellStyle name="Normal 6 9 3 2 4" xfId="1836"/>
    <cellStyle name="Normal 6 9 3 3" xfId="738"/>
    <cellStyle name="Normal 6 9 3 3 2" xfId="1371"/>
    <cellStyle name="Normal 6 9 3 3 2 2" xfId="2611"/>
    <cellStyle name="Normal 6 9 3 3 3" xfId="1992"/>
    <cellStyle name="Normal 6 9 3 4" xfId="1062"/>
    <cellStyle name="Normal 6 9 3 4 2" xfId="2302"/>
    <cellStyle name="Normal 6 9 3 5" xfId="1683"/>
    <cellStyle name="Normal 6 9 4" xfId="247"/>
    <cellStyle name="Normal 6 9 4 2" xfId="564"/>
    <cellStyle name="Normal 6 9 4 2 2" xfId="906"/>
    <cellStyle name="Normal 6 9 4 2 2 2" xfId="1525"/>
    <cellStyle name="Normal 6 9 4 2 2 2 2" xfId="2765"/>
    <cellStyle name="Normal 6 9 4 2 2 3" xfId="2146"/>
    <cellStyle name="Normal 6 9 4 2 3" xfId="1216"/>
    <cellStyle name="Normal 6 9 4 2 3 2" xfId="2456"/>
    <cellStyle name="Normal 6 9 4 2 4" xfId="1837"/>
    <cellStyle name="Normal 6 9 4 3" xfId="667"/>
    <cellStyle name="Normal 6 9 4 3 2" xfId="1304"/>
    <cellStyle name="Normal 6 9 4 3 2 2" xfId="2544"/>
    <cellStyle name="Normal 6 9 4 3 3" xfId="1925"/>
    <cellStyle name="Normal 6 9 4 4" xfId="995"/>
    <cellStyle name="Normal 6 9 4 4 2" xfId="2235"/>
    <cellStyle name="Normal 6 9 4 5" xfId="1616"/>
    <cellStyle name="Normal 6 9 5" xfId="561"/>
    <cellStyle name="Normal 6 9 5 2" xfId="903"/>
    <cellStyle name="Normal 6 9 5 2 2" xfId="1522"/>
    <cellStyle name="Normal 6 9 5 2 2 2" xfId="2762"/>
    <cellStyle name="Normal 6 9 5 2 3" xfId="2143"/>
    <cellStyle name="Normal 6 9 5 3" xfId="1213"/>
    <cellStyle name="Normal 6 9 5 3 2" xfId="2453"/>
    <cellStyle name="Normal 6 9 5 4" xfId="1834"/>
    <cellStyle name="Normal 6 9 6" xfId="624"/>
    <cellStyle name="Normal 6 9 6 2" xfId="1261"/>
    <cellStyle name="Normal 6 9 6 2 2" xfId="2501"/>
    <cellStyle name="Normal 6 9 6 3" xfId="1882"/>
    <cellStyle name="Normal 6 9 7" xfId="952"/>
    <cellStyle name="Normal 6 9 7 2" xfId="2192"/>
    <cellStyle name="Normal 6 9 8" xfId="1573"/>
    <cellStyle name="Normal 7" xfId="97"/>
    <cellStyle name="Normal 7 2" xfId="197"/>
    <cellStyle name="Normal 7 2 2" xfId="744"/>
    <cellStyle name="Normal 7 2 3" xfId="398"/>
    <cellStyle name="Normal 7 3" xfId="198"/>
    <cellStyle name="Normal 7 3 2" xfId="565"/>
    <cellStyle name="Normal 7 3 2 2" xfId="907"/>
    <cellStyle name="Normal 7 3 2 2 2" xfId="1526"/>
    <cellStyle name="Normal 7 3 2 2 2 2" xfId="2766"/>
    <cellStyle name="Normal 7 3 2 2 3" xfId="2147"/>
    <cellStyle name="Normal 7 3 2 3" xfId="1217"/>
    <cellStyle name="Normal 7 3 2 3 2" xfId="2457"/>
    <cellStyle name="Normal 7 3 2 4" xfId="1838"/>
    <cellStyle name="Normal 7 3 3" xfId="725"/>
    <cellStyle name="Normal 7 3 3 2" xfId="1361"/>
    <cellStyle name="Normal 7 3 3 2 2" xfId="2601"/>
    <cellStyle name="Normal 7 3 3 3" xfId="1982"/>
    <cellStyle name="Normal 7 3 4" xfId="1052"/>
    <cellStyle name="Normal 7 3 4 2" xfId="2292"/>
    <cellStyle name="Normal 7 3 5" xfId="1673"/>
    <cellStyle name="Normal 7 3 6" xfId="381"/>
    <cellStyle name="Normal 7 4" xfId="591"/>
    <cellStyle name="Normal 8" xfId="98"/>
    <cellStyle name="Normal 8 2" xfId="199"/>
    <cellStyle name="Normal 8 2 2" xfId="749"/>
    <cellStyle name="Normal 8 3" xfId="200"/>
    <cellStyle name="Normal 8 3 2" xfId="908"/>
    <cellStyle name="Normal 8 3 2 2" xfId="1527"/>
    <cellStyle name="Normal 8 3 2 2 2" xfId="2767"/>
    <cellStyle name="Normal 8 3 2 3" xfId="2148"/>
    <cellStyle name="Normal 8 3 3" xfId="1218"/>
    <cellStyle name="Normal 8 3 3 2" xfId="2458"/>
    <cellStyle name="Normal 8 3 4" xfId="1839"/>
    <cellStyle name="Normal 8 3 5" xfId="566"/>
    <cellStyle name="Normal 8 4" xfId="732"/>
    <cellStyle name="Normal 8 4 2" xfId="1366"/>
    <cellStyle name="Normal 8 4 2 2" xfId="2606"/>
    <cellStyle name="Normal 8 4 3" xfId="1987"/>
    <cellStyle name="Normal 8 5" xfId="1057"/>
    <cellStyle name="Normal 8 5 2" xfId="2297"/>
    <cellStyle name="Normal 8 6" xfId="1678"/>
    <cellStyle name="Normal 8 7" xfId="388"/>
    <cellStyle name="Normal 9" xfId="104"/>
    <cellStyle name="Normal 9 2" xfId="567"/>
    <cellStyle name="Normal 9 2 2" xfId="909"/>
    <cellStyle name="Normal 9 2 2 2" xfId="1528"/>
    <cellStyle name="Normal 9 2 2 2 2" xfId="2768"/>
    <cellStyle name="Normal 9 2 2 3" xfId="2149"/>
    <cellStyle name="Normal 9 2 3" xfId="1219"/>
    <cellStyle name="Normal 9 2 3 2" xfId="2459"/>
    <cellStyle name="Normal 9 2 4" xfId="1840"/>
    <cellStyle name="Normal 9 3" xfId="733"/>
    <cellStyle name="Normal 9 3 2" xfId="1367"/>
    <cellStyle name="Normal 9 3 2 2" xfId="2607"/>
    <cellStyle name="Normal 9 3 3" xfId="1988"/>
    <cellStyle name="Normal 9 4" xfId="1058"/>
    <cellStyle name="Normal 9 4 2" xfId="2298"/>
    <cellStyle name="Normal 9 5" xfId="1679"/>
    <cellStyle name="Normal_Disbursements" xfId="1"/>
    <cellStyle name="Note" xfId="19" builtinId="10" customBuiltin="1"/>
    <cellStyle name="Note 2" xfId="99"/>
    <cellStyle name="Note 2 2" xfId="201"/>
    <cellStyle name="Note 2 3" xfId="202"/>
    <cellStyle name="Note 3" xfId="417"/>
    <cellStyle name="Note 3 2" xfId="760"/>
    <cellStyle name="Note 4" xfId="413"/>
    <cellStyle name="Note 4 2" xfId="759"/>
    <cellStyle name="Note 5" xfId="418"/>
    <cellStyle name="Note 5 2" xfId="761"/>
    <cellStyle name="Note 6" xfId="256"/>
    <cellStyle name="Note 6 2" xfId="568"/>
    <cellStyle name="Note 6 2 2" xfId="910"/>
    <cellStyle name="Note 6 2 2 2" xfId="1529"/>
    <cellStyle name="Note 6 2 2 2 2" xfId="2769"/>
    <cellStyle name="Note 6 2 2 3" xfId="2150"/>
    <cellStyle name="Note 6 2 3" xfId="1220"/>
    <cellStyle name="Note 6 2 3 2" xfId="2460"/>
    <cellStyle name="Note 6 2 4" xfId="1841"/>
    <cellStyle name="Note 6 3" xfId="658"/>
    <cellStyle name="Note 6 3 2" xfId="1295"/>
    <cellStyle name="Note 6 3 2 2" xfId="2535"/>
    <cellStyle name="Note 6 3 3" xfId="1916"/>
    <cellStyle name="Note 6 4" xfId="986"/>
    <cellStyle name="Note 6 4 2" xfId="2226"/>
    <cellStyle name="Note 6 5" xfId="1607"/>
    <cellStyle name="Number" xfId="127"/>
    <cellStyle name="Output" xfId="14" builtinId="21" customBuiltin="1"/>
    <cellStyle name="Output 2" xfId="100"/>
    <cellStyle name="Output 3" xfId="419"/>
    <cellStyle name="Output 4" xfId="332"/>
    <cellStyle name="Percent" xfId="4" builtinId="5"/>
    <cellStyle name="Percent 2" xfId="128"/>
    <cellStyle name="Percent 2 2" xfId="129"/>
    <cellStyle name="Percent 2 2 2" xfId="203"/>
    <cellStyle name="Percent 2 2 3" xfId="204"/>
    <cellStyle name="Percent 2 3" xfId="205"/>
    <cellStyle name="Percent 2 3 2" xfId="753"/>
    <cellStyle name="Percent 2 4" xfId="206"/>
    <cellStyle name="Percent 2 4 2" xfId="911"/>
    <cellStyle name="Percent 2 4 2 2" xfId="1530"/>
    <cellStyle name="Percent 2 4 2 2 2" xfId="2770"/>
    <cellStyle name="Percent 2 4 2 3" xfId="2151"/>
    <cellStyle name="Percent 2 4 3" xfId="1221"/>
    <cellStyle name="Percent 2 4 3 2" xfId="2461"/>
    <cellStyle name="Percent 2 4 4" xfId="1842"/>
    <cellStyle name="Percent 2 4 5" xfId="569"/>
    <cellStyle name="Percent 2 5" xfId="734"/>
    <cellStyle name="Percent 2 5 2" xfId="1368"/>
    <cellStyle name="Percent 2 5 2 2" xfId="2608"/>
    <cellStyle name="Percent 2 5 3" xfId="1989"/>
    <cellStyle name="Percent 2 6" xfId="1059"/>
    <cellStyle name="Percent 2 6 2" xfId="2299"/>
    <cellStyle name="Percent 2 7" xfId="1680"/>
    <cellStyle name="Percent 2 8" xfId="389"/>
    <cellStyle name="Percent 3" xfId="130"/>
    <cellStyle name="Percent 3 2" xfId="207"/>
    <cellStyle name="Percent 3 2 2" xfId="754"/>
    <cellStyle name="Percent 3 3" xfId="208"/>
    <cellStyle name="Percent 4" xfId="131"/>
    <cellStyle name="Percent 4 2" xfId="132"/>
    <cellStyle name="Percent 4 2 2" xfId="209"/>
    <cellStyle name="Percent 4 2 3" xfId="210"/>
    <cellStyle name="Percent 4 3" xfId="211"/>
    <cellStyle name="Percent 4 4" xfId="212"/>
    <cellStyle name="Percent 5" xfId="133"/>
    <cellStyle name="Percent 5 2" xfId="134"/>
    <cellStyle name="Percent 5 2 2" xfId="213"/>
    <cellStyle name="Percent 5 2 3" xfId="214"/>
    <cellStyle name="Percent 5 3" xfId="215"/>
    <cellStyle name="Percent 5 4" xfId="216"/>
    <cellStyle name="Percent 6" xfId="135"/>
    <cellStyle name="Percent 6 2" xfId="136"/>
    <cellStyle name="Percent 6 2 2" xfId="217"/>
    <cellStyle name="Percent 6 2 3" xfId="218"/>
    <cellStyle name="Percent 6 3" xfId="219"/>
    <cellStyle name="Percent 6 4" xfId="220"/>
    <cellStyle name="Reset range style to defaults" xfId="137"/>
    <cellStyle name="STYLE1" xfId="138"/>
    <cellStyle name="STYLE2" xfId="139"/>
    <cellStyle name="STYLE3" xfId="140"/>
    <cellStyle name="Title" xfId="6" builtinId="15" customBuiltin="1"/>
    <cellStyle name="Title 2" xfId="101"/>
    <cellStyle name="Title 3" xfId="146"/>
    <cellStyle name="Total" xfId="21" builtinId="25" customBuiltin="1"/>
    <cellStyle name="Total 2" xfId="102"/>
    <cellStyle name="Total 3" xfId="420"/>
    <cellStyle name="Warning Text" xfId="18" builtinId="11" customBuiltin="1"/>
    <cellStyle name="Warning Text 2" xfId="103"/>
  </cellStyles>
  <dxfs count="1"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# of Contracts/POs by Type of Contract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'Type of Contract and Industry S'!$B$1</c:f>
              <c:strCache>
                <c:ptCount val="1"/>
                <c:pt idx="0">
                  <c:v># of Contracts/POs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9BB-4C99-A602-4068013D253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9BB-4C99-A602-4068013D253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9BB-4C99-A602-4068013D253F}"/>
              </c:ext>
            </c:extLst>
          </c:dPt>
          <c:cat>
            <c:strRef>
              <c:f>'Type of Contract and Industry S'!$A$2:$A$4</c:f>
              <c:strCache>
                <c:ptCount val="3"/>
                <c:pt idx="0">
                  <c:v>Discretionary</c:v>
                </c:pt>
                <c:pt idx="1">
                  <c:v>General</c:v>
                </c:pt>
                <c:pt idx="2">
                  <c:v>Set-Aside</c:v>
                </c:pt>
              </c:strCache>
            </c:strRef>
          </c:cat>
          <c:val>
            <c:numRef>
              <c:f>'Type of Contract and Industry S'!$B$2:$B$4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BB-4C99-A602-4068013D2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$ Value of Contracts/POs by Type of Contract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'Type of Contract and Industry S'!$D$1</c:f>
              <c:strCache>
                <c:ptCount val="1"/>
                <c:pt idx="0">
                  <c:v>$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C0B-485B-A9CC-94B59C1552D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C0B-485B-A9CC-94B59C1552D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C0B-485B-A9CC-94B59C1552D0}"/>
              </c:ext>
            </c:extLst>
          </c:dPt>
          <c:cat>
            <c:strRef>
              <c:f>'Type of Contract and Industry S'!$A$2:$A$4</c:f>
              <c:strCache>
                <c:ptCount val="3"/>
                <c:pt idx="0">
                  <c:v>Discretionary</c:v>
                </c:pt>
                <c:pt idx="1">
                  <c:v>General</c:v>
                </c:pt>
                <c:pt idx="2">
                  <c:v>Set-Aside</c:v>
                </c:pt>
              </c:strCache>
            </c:strRef>
          </c:cat>
          <c:val>
            <c:numRef>
              <c:f>'Type of Contract and Industry S'!$D$2:$D$4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0B-485B-A9CC-94B59C155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# of Contracts/POs by Industry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'Type of Contract and Industry S'!$H$1</c:f>
              <c:strCache>
                <c:ptCount val="1"/>
                <c:pt idx="0">
                  <c:v># of Contracts/POs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EBC-4974-94B9-629E28C98ED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EBC-4974-94B9-629E28C98ED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EBC-4974-94B9-629E28C98ED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EBC-4974-94B9-629E28C98ED3}"/>
              </c:ext>
            </c:extLst>
          </c:dPt>
          <c:cat>
            <c:strRef>
              <c:f>'Type of Contract and Industry S'!$G$2:$G$5</c:f>
              <c:strCache>
                <c:ptCount val="4"/>
                <c:pt idx="0">
                  <c:v>Commodities</c:v>
                </c:pt>
                <c:pt idx="1">
                  <c:v>Construction</c:v>
                </c:pt>
                <c:pt idx="2">
                  <c:v>Construction Consultants</c:v>
                </c:pt>
                <c:pt idx="3">
                  <c:v>Services/Consultants</c:v>
                </c:pt>
              </c:strCache>
            </c:strRef>
          </c:cat>
          <c:val>
            <c:numRef>
              <c:f>'Type of Contract and Industry S'!$H$2:$H$5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EBC-4974-94B9-629E28C98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$ Value of Contracts/POs by Industry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'Type of Contract and Industry S'!$J$1</c:f>
              <c:strCache>
                <c:ptCount val="1"/>
                <c:pt idx="0">
                  <c:v>$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30B-4222-8625-F242E808A3E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30B-4222-8625-F242E808A3E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30B-4222-8625-F242E808A3E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30B-4222-8625-F242E808A3EC}"/>
              </c:ext>
            </c:extLst>
          </c:dPt>
          <c:cat>
            <c:strRef>
              <c:f>'Type of Contract and Industry S'!$G$2:$G$5</c:f>
              <c:strCache>
                <c:ptCount val="4"/>
                <c:pt idx="0">
                  <c:v>Commodities</c:v>
                </c:pt>
                <c:pt idx="1">
                  <c:v>Construction</c:v>
                </c:pt>
                <c:pt idx="2">
                  <c:v>Construction Consultants</c:v>
                </c:pt>
                <c:pt idx="3">
                  <c:v>Services/Consultants</c:v>
                </c:pt>
              </c:strCache>
            </c:strRef>
          </c:cat>
          <c:val>
            <c:numRef>
              <c:f>'Type of Contract and Industry S'!$J$2:$J$5</c:f>
              <c:numCache>
                <c:formatCode>"$"#,##0.00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30B-4222-8625-F242E808A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671</xdr:row>
      <xdr:rowOff>0</xdr:rowOff>
    </xdr:from>
    <xdr:to>
      <xdr:col>0</xdr:col>
      <xdr:colOff>66675</xdr:colOff>
      <xdr:row>671</xdr:row>
      <xdr:rowOff>38100</xdr:rowOff>
    </xdr:to>
    <xdr:pic>
      <xdr:nvPicPr>
        <xdr:cNvPr id="2" name="Picture 1" descr="decorative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58150"/>
          <a:ext cx="6667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691</xdr:row>
      <xdr:rowOff>0</xdr:rowOff>
    </xdr:from>
    <xdr:to>
      <xdr:col>0</xdr:col>
      <xdr:colOff>66675</xdr:colOff>
      <xdr:row>691</xdr:row>
      <xdr:rowOff>38100</xdr:rowOff>
    </xdr:to>
    <xdr:pic>
      <xdr:nvPicPr>
        <xdr:cNvPr id="3" name="Picture 2" descr="decorative imag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20650"/>
          <a:ext cx="6667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6</xdr:row>
      <xdr:rowOff>9525</xdr:rowOff>
    </xdr:from>
    <xdr:to>
      <xdr:col>4</xdr:col>
      <xdr:colOff>681037</xdr:colOff>
      <xdr:row>20</xdr:row>
      <xdr:rowOff>85725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95250</xdr:rowOff>
    </xdr:from>
    <xdr:to>
      <xdr:col>5</xdr:col>
      <xdr:colOff>4762</xdr:colOff>
      <xdr:row>34</xdr:row>
      <xdr:rowOff>171450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</xdr:colOff>
      <xdr:row>6</xdr:row>
      <xdr:rowOff>9525</xdr:rowOff>
    </xdr:from>
    <xdr:to>
      <xdr:col>10</xdr:col>
      <xdr:colOff>252412</xdr:colOff>
      <xdr:row>20</xdr:row>
      <xdr:rowOff>85725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14287</xdr:colOff>
      <xdr:row>20</xdr:row>
      <xdr:rowOff>95250</xdr:rowOff>
    </xdr:from>
    <xdr:to>
      <xdr:col>10</xdr:col>
      <xdr:colOff>247650</xdr:colOff>
      <xdr:row>34</xdr:row>
      <xdr:rowOff>171450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03"/>
  <sheetViews>
    <sheetView tabSelected="1" workbookViewId="0">
      <pane ySplit="1" topLeftCell="A2" activePane="bottomLeft" state="frozen"/>
      <selection pane="bottomLeft" activeCell="G60" sqref="G60"/>
    </sheetView>
  </sheetViews>
  <sheetFormatPr defaultRowHeight="15"/>
  <cols>
    <col min="1" max="1" width="9.140625" style="302" customWidth="1"/>
    <col min="2" max="2" width="53.28515625" style="318" customWidth="1"/>
    <col min="3" max="3" width="16" style="296" customWidth="1"/>
    <col min="4" max="4" width="15.28515625" style="296" bestFit="1" customWidth="1"/>
    <col min="5" max="5" width="7.5703125" style="292" bestFit="1" customWidth="1"/>
    <col min="6" max="6" width="15.28515625" style="313" bestFit="1" customWidth="1"/>
    <col min="7" max="7" width="14.7109375" style="314" bestFit="1" customWidth="1"/>
    <col min="8" max="8" width="22.140625" style="314" bestFit="1" customWidth="1"/>
    <col min="9" max="9" width="10.28515625" style="286" customWidth="1"/>
    <col min="10" max="10" width="9.140625" style="286"/>
    <col min="11" max="11" width="12.7109375" style="286" bestFit="1" customWidth="1"/>
    <col min="12" max="16384" width="9.140625" style="286"/>
  </cols>
  <sheetData>
    <row r="1" spans="1:11" ht="75" customHeight="1">
      <c r="A1" s="176" t="s">
        <v>484</v>
      </c>
      <c r="B1" s="176" t="s">
        <v>0</v>
      </c>
      <c r="C1" s="283" t="s">
        <v>208</v>
      </c>
      <c r="D1" s="283" t="s">
        <v>209</v>
      </c>
      <c r="E1" s="284" t="s">
        <v>64</v>
      </c>
      <c r="F1" s="285" t="s">
        <v>65</v>
      </c>
      <c r="G1" s="175" t="s">
        <v>473</v>
      </c>
      <c r="H1" s="159" t="s">
        <v>53</v>
      </c>
      <c r="I1" s="176" t="s">
        <v>54</v>
      </c>
    </row>
    <row r="2" spans="1:11" ht="31.5" customHeight="1">
      <c r="A2" s="287" t="str">
        <f>IF(H2="","Needs to submit!","")</f>
        <v>Needs to submit!</v>
      </c>
      <c r="B2" s="315" t="s">
        <v>210</v>
      </c>
      <c r="C2" s="288"/>
      <c r="D2" s="288">
        <f>C2/4</f>
        <v>0</v>
      </c>
      <c r="E2" s="289">
        <f>COUNTIF('Awards Summary'!J:J, "APA")</f>
        <v>0</v>
      </c>
      <c r="F2" s="288">
        <f>SUMIFS('Awards Summary'!H:H,'Awards Summary'!J:J,"APA")</f>
        <v>0</v>
      </c>
      <c r="G2" s="290">
        <f>SUMIFS('Disbursements Summary'!E:E,'Disbursements Summary'!A:A,"APA")</f>
        <v>0</v>
      </c>
      <c r="H2" s="190"/>
      <c r="I2" s="291" t="e">
        <f t="shared" ref="I2:I60" si="0">(G2/H2)</f>
        <v>#DIV/0!</v>
      </c>
      <c r="K2" s="292"/>
    </row>
    <row r="3" spans="1:11" ht="31.5" customHeight="1">
      <c r="A3" s="287" t="str">
        <f t="shared" ref="A3:A66" si="1">IF(H3="","Needs to submit!","")</f>
        <v>Needs to submit!</v>
      </c>
      <c r="B3" s="315" t="s">
        <v>130</v>
      </c>
      <c r="C3" s="288"/>
      <c r="D3" s="288">
        <f t="shared" ref="D3:D66" si="2">C3/4</f>
        <v>0</v>
      </c>
      <c r="E3" s="289">
        <f>COUNTIF('Awards Summary'!J:J, "AG&amp;HORSE")</f>
        <v>0</v>
      </c>
      <c r="F3" s="288">
        <f>SUMIFS('Awards Summary'!H:H,'Awards Summary'!J:J,"Ag&amp;Horse")</f>
        <v>0</v>
      </c>
      <c r="G3" s="157">
        <f>SUMIFS('Disbursements Summary'!E:E,'Disbursements Summary'!A:A,"Ag&amp;Horse")</f>
        <v>0</v>
      </c>
      <c r="H3" s="293"/>
      <c r="I3" s="291" t="e">
        <f t="shared" si="0"/>
        <v>#DIV/0!</v>
      </c>
      <c r="K3" s="286" t="s">
        <v>472</v>
      </c>
    </row>
    <row r="4" spans="1:11" ht="31.5" customHeight="1">
      <c r="A4" s="287" t="str">
        <f t="shared" si="1"/>
        <v>Needs to submit!</v>
      </c>
      <c r="B4" s="315" t="s">
        <v>142</v>
      </c>
      <c r="C4" s="288"/>
      <c r="D4" s="288">
        <f t="shared" si="2"/>
        <v>0</v>
      </c>
      <c r="E4" s="289">
        <f>COUNTIF('Awards Summary'!J:J, "ACAA")</f>
        <v>0</v>
      </c>
      <c r="F4" s="288">
        <f>SUMIFS('Awards Summary'!H:H,'Awards Summary'!J:J,"ACAA")</f>
        <v>0</v>
      </c>
      <c r="G4" s="157">
        <f>SUMIFS('Disbursements Summary'!E:E,'Disbursements Summary'!A:A,"ACAA")</f>
        <v>0</v>
      </c>
      <c r="H4" s="190"/>
      <c r="I4" s="291" t="e">
        <f t="shared" si="0"/>
        <v>#DIV/0!</v>
      </c>
    </row>
    <row r="5" spans="1:11" ht="31.5" customHeight="1">
      <c r="A5" s="287" t="str">
        <f t="shared" si="1"/>
        <v>Needs to submit!</v>
      </c>
      <c r="B5" s="315" t="s">
        <v>139</v>
      </c>
      <c r="C5" s="288"/>
      <c r="D5" s="288">
        <f t="shared" si="2"/>
        <v>0</v>
      </c>
      <c r="E5" s="289">
        <f>COUNTIF('Awards Summary'!J:J, "PortAlbany")</f>
        <v>0</v>
      </c>
      <c r="F5" s="288">
        <f>SUMIFS('Awards Summary'!H:H,'Awards Summary'!J:J,"PortAlbany")</f>
        <v>0</v>
      </c>
      <c r="G5" s="157">
        <f>SUMIFS('Disbursements Summary'!E:E,'Disbursements Summary'!A:A,"PortAlbany")</f>
        <v>0</v>
      </c>
      <c r="H5" s="157"/>
      <c r="I5" s="291" t="e">
        <f t="shared" si="0"/>
        <v>#DIV/0!</v>
      </c>
    </row>
    <row r="6" spans="1:11" ht="31.5" customHeight="1">
      <c r="A6" s="287" t="str">
        <f t="shared" si="1"/>
        <v>Needs to submit!</v>
      </c>
      <c r="B6" s="315" t="s">
        <v>143</v>
      </c>
      <c r="C6" s="288"/>
      <c r="D6" s="288">
        <f t="shared" si="2"/>
        <v>0</v>
      </c>
      <c r="E6" s="289">
        <f>COUNTIF('Awards Summary'!J:J, "SLA")</f>
        <v>0</v>
      </c>
      <c r="F6" s="288">
        <f>SUMIFS('Awards Summary'!H:H,'Awards Summary'!J:J,"SLA")</f>
        <v>0</v>
      </c>
      <c r="G6" s="290">
        <f>SUMIFS('Disbursements Summary'!E:E,'Disbursements Summary'!A:A,"SLA")</f>
        <v>0</v>
      </c>
      <c r="H6" s="190"/>
      <c r="I6" s="291" t="e">
        <f t="shared" si="0"/>
        <v>#DIV/0!</v>
      </c>
    </row>
    <row r="7" spans="1:11" ht="31.5" customHeight="1">
      <c r="A7" s="287" t="str">
        <f t="shared" si="1"/>
        <v>Needs to submit!</v>
      </c>
      <c r="B7" s="315" t="s">
        <v>144</v>
      </c>
      <c r="C7" s="288"/>
      <c r="D7" s="288">
        <f t="shared" si="2"/>
        <v>0</v>
      </c>
      <c r="E7" s="289">
        <f>COUNTIF('Awards Summary'!J:J, "BPCA")</f>
        <v>0</v>
      </c>
      <c r="F7" s="288">
        <f>SUMIFS('Awards Summary'!H:H,'Awards Summary'!J:J,"BPCA")</f>
        <v>0</v>
      </c>
      <c r="G7" s="157">
        <f>SUMIFS('Disbursements Summary'!E:E,'Disbursements Summary'!A:A,"BPCA")</f>
        <v>0</v>
      </c>
      <c r="H7" s="294"/>
      <c r="I7" s="291" t="e">
        <f t="shared" si="0"/>
        <v>#DIV/0!</v>
      </c>
    </row>
    <row r="8" spans="1:11" ht="31.5" customHeight="1">
      <c r="A8" s="287" t="str">
        <f t="shared" si="1"/>
        <v>Needs to submit!</v>
      </c>
      <c r="B8" s="315" t="s">
        <v>134</v>
      </c>
      <c r="C8" s="288"/>
      <c r="D8" s="288">
        <f t="shared" si="2"/>
        <v>0</v>
      </c>
      <c r="E8" s="289">
        <f>COUNTIF('Awards Summary'!J:J, "ELECTIONS")</f>
        <v>0</v>
      </c>
      <c r="F8" s="288">
        <f>SUMIFS('Awards Summary'!H:H,'Awards Summary'!J:J,"ELECTIONS")</f>
        <v>0</v>
      </c>
      <c r="G8" s="157">
        <f>SUMIFS('Disbursements Summary'!E:E,'Disbursements Summary'!A:A,"ELECTIONS")</f>
        <v>0</v>
      </c>
      <c r="H8" s="157"/>
      <c r="I8" s="295" t="e">
        <f t="shared" si="0"/>
        <v>#DIV/0!</v>
      </c>
    </row>
    <row r="9" spans="1:11" ht="31.5" customHeight="1">
      <c r="A9" s="287" t="str">
        <f t="shared" si="1"/>
        <v>Needs to submit!</v>
      </c>
      <c r="B9" s="315" t="s">
        <v>135</v>
      </c>
      <c r="C9" s="288"/>
      <c r="D9" s="288">
        <f t="shared" si="2"/>
        <v>0</v>
      </c>
      <c r="E9" s="289">
        <f>COUNTIF('Awards Summary'!J:J, "BFSA")</f>
        <v>0</v>
      </c>
      <c r="F9" s="288">
        <f>SUMIFS('Awards Summary'!H:H,'Awards Summary'!J:J,"BFSA")</f>
        <v>0</v>
      </c>
      <c r="G9" s="157">
        <f>SUMIFS('Disbursements Summary'!E:E,'Disbursements Summary'!A:A,"BFSA")</f>
        <v>0</v>
      </c>
      <c r="H9" s="157"/>
      <c r="I9" s="291" t="e">
        <f t="shared" si="0"/>
        <v>#DIV/0!</v>
      </c>
    </row>
    <row r="10" spans="1:11" ht="31.5" customHeight="1">
      <c r="A10" s="287" t="str">
        <f t="shared" si="1"/>
        <v>Needs to submit!</v>
      </c>
      <c r="B10" s="315" t="s">
        <v>146</v>
      </c>
      <c r="C10" s="288"/>
      <c r="D10" s="288">
        <f t="shared" si="2"/>
        <v>0</v>
      </c>
      <c r="E10" s="289">
        <f>COUNTIF('Awards Summary'!J:J, "CDTA")</f>
        <v>0</v>
      </c>
      <c r="F10" s="288">
        <f>SUMIFS('Awards Summary'!H:H,'Awards Summary'!J:J,"CDTA")</f>
        <v>0</v>
      </c>
      <c r="G10" s="157">
        <f>SUMIFS('Disbursements Summary'!E:E,'Disbursements Summary'!A:A,"CDTA")</f>
        <v>0</v>
      </c>
      <c r="H10" s="190"/>
      <c r="I10" s="295" t="e">
        <f t="shared" si="0"/>
        <v>#DIV/0!</v>
      </c>
    </row>
    <row r="11" spans="1:11" ht="31.5" customHeight="1">
      <c r="A11" s="287" t="str">
        <f t="shared" si="1"/>
        <v>Needs to submit!</v>
      </c>
      <c r="B11" s="315" t="s">
        <v>147</v>
      </c>
      <c r="C11" s="288"/>
      <c r="D11" s="288">
        <f t="shared" si="2"/>
        <v>0</v>
      </c>
      <c r="E11" s="289">
        <f>COUNTIF('Awards Summary'!J:J, "CCWSA")</f>
        <v>0</v>
      </c>
      <c r="F11" s="288">
        <f>SUMIFS('Awards Summary'!H:H,'Awards Summary'!J:J,"CCWSA")</f>
        <v>0</v>
      </c>
      <c r="G11" s="157">
        <f>SUMIFS('Disbursements Summary'!E:E,'Disbursements Summary'!A:A,"CCWSA")</f>
        <v>0</v>
      </c>
      <c r="H11" s="157"/>
      <c r="I11" s="291" t="e">
        <f t="shared" si="0"/>
        <v>#DIV/0!</v>
      </c>
      <c r="K11" s="296"/>
    </row>
    <row r="12" spans="1:11" ht="31.5" customHeight="1">
      <c r="A12" s="287" t="str">
        <f t="shared" si="1"/>
        <v>Needs to submit!</v>
      </c>
      <c r="B12" s="315" t="s">
        <v>99</v>
      </c>
      <c r="C12" s="288"/>
      <c r="D12" s="288">
        <f t="shared" si="2"/>
        <v>0</v>
      </c>
      <c r="E12" s="289">
        <f>COUNTIF('Awards Summary'!J:J, "CNYRTA")</f>
        <v>0</v>
      </c>
      <c r="F12" s="288">
        <f>SUMIFS('Awards Summary'!H:H,'Awards Summary'!J:J,"CNYRTA")</f>
        <v>0</v>
      </c>
      <c r="G12" s="290">
        <f>SUMIFS('Disbursements Summary'!E:E,'Disbursements Summary'!A:A,"CNYRTA")</f>
        <v>0</v>
      </c>
      <c r="H12" s="157"/>
      <c r="I12" s="291" t="e">
        <f t="shared" si="0"/>
        <v>#DIV/0!</v>
      </c>
    </row>
    <row r="13" spans="1:11" ht="31.5" customHeight="1">
      <c r="A13" s="287" t="str">
        <f t="shared" si="1"/>
        <v>Needs to submit!</v>
      </c>
      <c r="B13" s="315" t="s">
        <v>148</v>
      </c>
      <c r="C13" s="288"/>
      <c r="D13" s="288">
        <f t="shared" si="2"/>
        <v>0</v>
      </c>
      <c r="E13" s="289">
        <f>COUNTIF('Awards Summary'!J:J, "CUCF")</f>
        <v>0</v>
      </c>
      <c r="F13" s="288">
        <f>SUMIFS('Awards Summary'!H:H,'Awards Summary'!J:J,"CUCF")</f>
        <v>0</v>
      </c>
      <c r="G13" s="157">
        <f>SUMIFS('Disbursements Summary'!E:E,'Disbursements Summary'!A:A,"CUCF")</f>
        <v>0</v>
      </c>
      <c r="H13" s="297"/>
      <c r="I13" s="291" t="e">
        <f t="shared" si="0"/>
        <v>#DIV/0!</v>
      </c>
    </row>
    <row r="14" spans="1:11" s="302" customFormat="1" ht="31.5" customHeight="1">
      <c r="A14" s="287" t="str">
        <f t="shared" si="1"/>
        <v>Needs to submit!</v>
      </c>
      <c r="B14" s="316" t="s">
        <v>10</v>
      </c>
      <c r="C14" s="298"/>
      <c r="D14" s="298">
        <f t="shared" si="2"/>
        <v>0</v>
      </c>
      <c r="E14" s="299">
        <f>COUNTIF('Awards Summary'!J:J, "CUNY")</f>
        <v>0</v>
      </c>
      <c r="F14" s="298">
        <f>SUMIFS('Awards Summary'!H:H,'Awards Summary'!J:J,"CUNY")</f>
        <v>0</v>
      </c>
      <c r="G14" s="157">
        <f>SUMIFS('Disbursements Summary'!E:E,'Disbursements Summary'!A:A,"CUNY")</f>
        <v>0</v>
      </c>
      <c r="H14" s="300"/>
      <c r="I14" s="301" t="e">
        <f t="shared" si="0"/>
        <v>#DIV/0!</v>
      </c>
    </row>
    <row r="15" spans="1:11" ht="31.5" customHeight="1">
      <c r="A15" s="287" t="str">
        <f t="shared" si="1"/>
        <v>Needs to submit!</v>
      </c>
      <c r="B15" s="315" t="s">
        <v>126</v>
      </c>
      <c r="C15" s="288"/>
      <c r="D15" s="288">
        <f t="shared" si="2"/>
        <v>0</v>
      </c>
      <c r="E15" s="289">
        <f>COUNTIF('Awards Summary'!J:J, "ARTS")</f>
        <v>0</v>
      </c>
      <c r="F15" s="288">
        <f>SUMIFS('Awards Summary'!H:H,'Awards Summary'!J:J,"ARTS")</f>
        <v>0</v>
      </c>
      <c r="G15" s="157">
        <f>SUMIFS('Disbursements Summary'!E:E,'Disbursements Summary'!A:A,"ARTS")</f>
        <v>0</v>
      </c>
      <c r="H15" s="190"/>
      <c r="I15" s="291" t="e">
        <f t="shared" si="0"/>
        <v>#DIV/0!</v>
      </c>
    </row>
    <row r="16" spans="1:11" ht="31.5" customHeight="1">
      <c r="A16" s="287" t="str">
        <f t="shared" si="1"/>
        <v>Needs to submit!</v>
      </c>
      <c r="B16" s="315" t="s">
        <v>192</v>
      </c>
      <c r="C16" s="288"/>
      <c r="D16" s="288">
        <f t="shared" si="2"/>
        <v>0</v>
      </c>
      <c r="E16" s="289">
        <f>COUNTIF('Awards Summary'!J:J, "AG&amp;MKTS")</f>
        <v>0</v>
      </c>
      <c r="F16" s="288">
        <f>SUMIFS('Awards Summary'!H:H,'Awards Summary'!J:J,"AG&amp;MKTS")</f>
        <v>0</v>
      </c>
      <c r="G16" s="157">
        <f>SUMIFS('Disbursements Summary'!E:E,'Disbursements Summary'!A:A,"AG&amp;MKTS")</f>
        <v>0</v>
      </c>
      <c r="H16" s="300"/>
      <c r="I16" s="291" t="e">
        <f t="shared" si="0"/>
        <v>#DIV/0!</v>
      </c>
    </row>
    <row r="17" spans="1:9" ht="31.5" customHeight="1">
      <c r="A17" s="287" t="str">
        <f t="shared" si="1"/>
        <v>Needs to submit!</v>
      </c>
      <c r="B17" s="315" t="s">
        <v>136</v>
      </c>
      <c r="C17" s="288"/>
      <c r="D17" s="288">
        <f t="shared" si="2"/>
        <v>0</v>
      </c>
      <c r="E17" s="289">
        <f>COUNTIF('Awards Summary'!J:J, "CS")</f>
        <v>0</v>
      </c>
      <c r="F17" s="288">
        <f>SUMIFS('Awards Summary'!H:H,'Awards Summary'!J:J,"CS")</f>
        <v>0</v>
      </c>
      <c r="G17" s="157">
        <f>SUMIFS('Disbursements Summary'!E:E,'Disbursements Summary'!A:A,"CS")</f>
        <v>0</v>
      </c>
      <c r="H17" s="190"/>
      <c r="I17" s="291" t="e">
        <f t="shared" si="0"/>
        <v>#DIV/0!</v>
      </c>
    </row>
    <row r="18" spans="1:9" ht="31.5" customHeight="1">
      <c r="A18" s="287" t="str">
        <f t="shared" si="1"/>
        <v>Needs to submit!</v>
      </c>
      <c r="B18" s="315" t="s">
        <v>173</v>
      </c>
      <c r="C18" s="288"/>
      <c r="D18" s="288">
        <f t="shared" si="2"/>
        <v>0</v>
      </c>
      <c r="E18" s="289">
        <f>COUNTIF('Awards Summary'!J:J, "DOCCS")</f>
        <v>0</v>
      </c>
      <c r="F18" s="288">
        <f>SUMIFS('Awards Summary'!H:H,'Awards Summary'!J:J,"DOCCS")</f>
        <v>0</v>
      </c>
      <c r="G18" s="290">
        <f>SUMIFS('Disbursements Summary'!E:E,'Disbursements Summary'!A:A,"DOCCS")</f>
        <v>0</v>
      </c>
      <c r="H18" s="300"/>
      <c r="I18" s="291" t="e">
        <f t="shared" si="0"/>
        <v>#DIV/0!</v>
      </c>
    </row>
    <row r="19" spans="1:9" ht="31.5" customHeight="1">
      <c r="A19" s="287" t="str">
        <f t="shared" si="1"/>
        <v>Needs to submit!</v>
      </c>
      <c r="B19" s="315" t="s">
        <v>213</v>
      </c>
      <c r="C19" s="288"/>
      <c r="D19" s="288">
        <f t="shared" si="2"/>
        <v>0</v>
      </c>
      <c r="E19" s="289">
        <f>COUNTIF('Awards Summary'!J:J, "DED")</f>
        <v>0</v>
      </c>
      <c r="F19" s="288">
        <v>0</v>
      </c>
      <c r="G19" s="157">
        <v>0</v>
      </c>
      <c r="H19" s="297"/>
      <c r="I19" s="291" t="e">
        <f t="shared" si="0"/>
        <v>#DIV/0!</v>
      </c>
    </row>
    <row r="20" spans="1:9" ht="31.5" customHeight="1">
      <c r="A20" s="287" t="str">
        <f t="shared" si="1"/>
        <v>Needs to submit!</v>
      </c>
      <c r="B20" s="315" t="s">
        <v>110</v>
      </c>
      <c r="C20" s="288"/>
      <c r="D20" s="288">
        <f t="shared" si="2"/>
        <v>0</v>
      </c>
      <c r="E20" s="289">
        <f>COUNTIF('Awards Summary'!J:J, "DEC")</f>
        <v>0</v>
      </c>
      <c r="F20" s="288">
        <f>SUMIFS('Awards Summary'!H:H,'Awards Summary'!J:J,"DEC")</f>
        <v>0</v>
      </c>
      <c r="G20" s="290">
        <f>SUMIFS('Disbursements Summary'!E:E,'Disbursements Summary'!A:A,"DEC")</f>
        <v>0</v>
      </c>
      <c r="H20" s="300"/>
      <c r="I20" s="291" t="e">
        <f t="shared" si="0"/>
        <v>#DIV/0!</v>
      </c>
    </row>
    <row r="21" spans="1:9" ht="31.5" customHeight="1">
      <c r="A21" s="287" t="str">
        <f t="shared" si="1"/>
        <v>Needs to submit!</v>
      </c>
      <c r="B21" s="315" t="s">
        <v>149</v>
      </c>
      <c r="C21" s="288"/>
      <c r="D21" s="288">
        <f t="shared" si="2"/>
        <v>0</v>
      </c>
      <c r="E21" s="289">
        <f>COUNTIF('Awards Summary'!J:J, "DFS")</f>
        <v>0</v>
      </c>
      <c r="F21" s="288">
        <f>SUMIFS('Awards Summary'!H:H,'Awards Summary'!J:J,"DFS")</f>
        <v>0</v>
      </c>
      <c r="G21" s="290">
        <f>SUMIFS('Disbursements Summary'!E:E,'Disbursements Summary'!A:A,"DFS")</f>
        <v>0</v>
      </c>
      <c r="H21" s="190"/>
      <c r="I21" s="291" t="e">
        <f t="shared" si="0"/>
        <v>#DIV/0!</v>
      </c>
    </row>
    <row r="22" spans="1:9" ht="31.5" customHeight="1">
      <c r="A22" s="287" t="str">
        <f t="shared" si="1"/>
        <v>Needs to submit!</v>
      </c>
      <c r="B22" s="315" t="s">
        <v>4</v>
      </c>
      <c r="C22" s="288"/>
      <c r="D22" s="288">
        <f t="shared" si="2"/>
        <v>0</v>
      </c>
      <c r="E22" s="289">
        <f>COUNTIF('Awards Summary'!J:J, "DOH")</f>
        <v>0</v>
      </c>
      <c r="F22" s="288">
        <f>SUMIFS('Awards Summary'!H:H,'Awards Summary'!J:J,"DOH")</f>
        <v>0</v>
      </c>
      <c r="G22" s="290">
        <f>SUMIFS('Disbursements Summary'!E:E,'Disbursements Summary'!A:A,"DOH")</f>
        <v>0</v>
      </c>
      <c r="H22" s="303"/>
      <c r="I22" s="291" t="e">
        <f t="shared" si="0"/>
        <v>#DIV/0!</v>
      </c>
    </row>
    <row r="23" spans="1:9" ht="31.5" customHeight="1">
      <c r="A23" s="287" t="str">
        <f t="shared" si="1"/>
        <v>Needs to submit!</v>
      </c>
      <c r="B23" s="315" t="s">
        <v>11</v>
      </c>
      <c r="C23" s="288"/>
      <c r="D23" s="288">
        <f t="shared" si="2"/>
        <v>0</v>
      </c>
      <c r="E23" s="289">
        <f>COUNTIF('Awards Summary'!J:J, "DOL")</f>
        <v>0</v>
      </c>
      <c r="F23" s="288">
        <f>SUMIFS('Awards Summary'!H:H,'Awards Summary'!J:J,"DOL")</f>
        <v>0</v>
      </c>
      <c r="G23" s="157">
        <f>SUMIFS('Disbursements Summary'!E:E,'Disbursements Summary'!A:A,"DOL")</f>
        <v>0</v>
      </c>
      <c r="H23" s="294"/>
      <c r="I23" s="291" t="e">
        <f t="shared" si="0"/>
        <v>#DIV/0!</v>
      </c>
    </row>
    <row r="24" spans="1:9" ht="31.5" customHeight="1">
      <c r="A24" s="287" t="str">
        <f t="shared" si="1"/>
        <v>Needs to submit!</v>
      </c>
      <c r="B24" s="315" t="s">
        <v>106</v>
      </c>
      <c r="C24" s="288"/>
      <c r="D24" s="288">
        <f t="shared" si="2"/>
        <v>0</v>
      </c>
      <c r="E24" s="289">
        <f>COUNTIF('Awards Summary'!J:J, "DMV")</f>
        <v>0</v>
      </c>
      <c r="F24" s="288">
        <f>SUMIFS('Awards Summary'!H:H,'Awards Summary'!J:J,"DMV")</f>
        <v>0</v>
      </c>
      <c r="G24" s="157">
        <f>SUMIFS('Disbursements Summary'!E:E,'Disbursements Summary'!A:A,"DMV")</f>
        <v>0</v>
      </c>
      <c r="H24" s="190"/>
      <c r="I24" s="291" t="e">
        <f t="shared" si="0"/>
        <v>#DIV/0!</v>
      </c>
    </row>
    <row r="25" spans="1:9" ht="31.5" customHeight="1">
      <c r="A25" s="287" t="str">
        <f t="shared" si="1"/>
        <v>Needs to submit!</v>
      </c>
      <c r="B25" s="315" t="s">
        <v>150</v>
      </c>
      <c r="C25" s="288"/>
      <c r="D25" s="288">
        <f t="shared" si="2"/>
        <v>0</v>
      </c>
      <c r="E25" s="289">
        <f>COUNTIF('Awards Summary'!J:J, "DPS")</f>
        <v>0</v>
      </c>
      <c r="F25" s="288">
        <f>SUMIFS('Awards Summary'!H:H,'Awards Summary'!J:J,"DPS")</f>
        <v>0</v>
      </c>
      <c r="G25" s="157">
        <f>SUMIFS('Disbursements Summary'!E:E,'Disbursements Summary'!A:A,"DPS")</f>
        <v>0</v>
      </c>
      <c r="H25" s="190"/>
      <c r="I25" s="291" t="e">
        <f t="shared" si="0"/>
        <v>#DIV/0!</v>
      </c>
    </row>
    <row r="26" spans="1:9" ht="31.5" customHeight="1">
      <c r="A26" s="287" t="str">
        <f t="shared" si="1"/>
        <v>Needs to submit!</v>
      </c>
      <c r="B26" s="315" t="s">
        <v>183</v>
      </c>
      <c r="C26" s="288"/>
      <c r="D26" s="288">
        <f t="shared" si="2"/>
        <v>0</v>
      </c>
      <c r="E26" s="289">
        <f>COUNTIF('Awards Summary'!J:J, "DOS")</f>
        <v>0</v>
      </c>
      <c r="F26" s="288">
        <f>SUMIFS('Awards Summary'!H:H,'Awards Summary'!J:J,"DOS")</f>
        <v>0</v>
      </c>
      <c r="G26" s="290">
        <f>SUMIFS('Disbursements Summary'!E:E,'Disbursements Summary'!A:A,"DOS")</f>
        <v>0</v>
      </c>
      <c r="H26" s="304"/>
      <c r="I26" s="291" t="e">
        <f t="shared" si="0"/>
        <v>#DIV/0!</v>
      </c>
    </row>
    <row r="27" spans="1:9" ht="31.5" customHeight="1">
      <c r="A27" s="287" t="str">
        <f t="shared" si="1"/>
        <v>Needs to submit!</v>
      </c>
      <c r="B27" s="315" t="s">
        <v>172</v>
      </c>
      <c r="C27" s="288"/>
      <c r="D27" s="288">
        <f t="shared" si="2"/>
        <v>0</v>
      </c>
      <c r="E27" s="289">
        <f>COUNTIF('Awards Summary'!J:J, "TAX")</f>
        <v>0</v>
      </c>
      <c r="F27" s="288">
        <f>SUMIFS('Awards Summary'!H:H,'Awards Summary'!J:J,"TAX")</f>
        <v>0</v>
      </c>
      <c r="G27" s="290">
        <f>SUMIFS('Disbursements Summary'!E:E,'Disbursements Summary'!A:A,"TAX")</f>
        <v>0</v>
      </c>
      <c r="H27" s="300"/>
      <c r="I27" s="291" t="e">
        <f t="shared" si="0"/>
        <v>#DIV/0!</v>
      </c>
    </row>
    <row r="28" spans="1:9" ht="31.5" customHeight="1">
      <c r="A28" s="287" t="str">
        <f t="shared" si="1"/>
        <v>Needs to submit!</v>
      </c>
      <c r="B28" s="315" t="s">
        <v>9</v>
      </c>
      <c r="C28" s="288"/>
      <c r="D28" s="288">
        <f t="shared" si="2"/>
        <v>0</v>
      </c>
      <c r="E28" s="289">
        <f>COUNTIF('Awards Summary'!J:J, "DOT")</f>
        <v>0</v>
      </c>
      <c r="F28" s="288">
        <f>SUMIFS('Awards Summary'!H:H,'Awards Summary'!J:J,"DOT")</f>
        <v>0</v>
      </c>
      <c r="G28" s="290">
        <f>SUMIFS('Disbursements Summary'!E:E,'Disbursements Summary'!A:A,"DOT")</f>
        <v>0</v>
      </c>
      <c r="H28" s="306"/>
      <c r="I28" s="291" t="e">
        <f t="shared" si="0"/>
        <v>#DIV/0!</v>
      </c>
    </row>
    <row r="29" spans="1:9" ht="31.5" customHeight="1">
      <c r="A29" s="287" t="str">
        <f t="shared" si="1"/>
        <v>Needs to submit!</v>
      </c>
      <c r="B29" s="315" t="s">
        <v>131</v>
      </c>
      <c r="C29" s="288"/>
      <c r="D29" s="288">
        <f t="shared" si="2"/>
        <v>0</v>
      </c>
      <c r="E29" s="289">
        <f>COUNTIF('Awards Summary'!J:J, "DANC")</f>
        <v>0</v>
      </c>
      <c r="F29" s="288">
        <f>SUMIFS('Awards Summary'!H:H,'Awards Summary'!J:J,"DANC")</f>
        <v>0</v>
      </c>
      <c r="G29" s="157">
        <f>SUMIFS('Disbursements Summary'!E:E,'Disbursements Summary'!A:A,"DANC")</f>
        <v>0</v>
      </c>
      <c r="H29" s="293"/>
      <c r="I29" s="291" t="e">
        <f t="shared" si="0"/>
        <v>#DIV/0!</v>
      </c>
    </row>
    <row r="30" spans="1:9" ht="31.5" customHeight="1">
      <c r="A30" s="287" t="str">
        <f t="shared" si="1"/>
        <v>Needs to submit!</v>
      </c>
      <c r="B30" s="315" t="s">
        <v>151</v>
      </c>
      <c r="C30" s="288"/>
      <c r="D30" s="288">
        <f t="shared" si="2"/>
        <v>0</v>
      </c>
      <c r="E30" s="289">
        <f>COUNTIF('Awards Summary'!J:J, "DOB")</f>
        <v>0</v>
      </c>
      <c r="F30" s="288">
        <f>SUMIFS('Awards Summary'!H:H,'Awards Summary'!J:J,"DOB")</f>
        <v>0</v>
      </c>
      <c r="G30" s="157">
        <f>SUMIFS('Disbursements Summary'!E:E,'Disbursements Summary'!A:A,"DOB")</f>
        <v>0</v>
      </c>
      <c r="H30" s="190"/>
      <c r="I30" s="291" t="e">
        <f t="shared" si="0"/>
        <v>#DIV/0!</v>
      </c>
    </row>
    <row r="31" spans="1:9" ht="31.5" customHeight="1">
      <c r="A31" s="287" t="str">
        <f t="shared" si="1"/>
        <v>Needs to submit!</v>
      </c>
      <c r="B31" s="315" t="s">
        <v>132</v>
      </c>
      <c r="C31" s="288"/>
      <c r="D31" s="288">
        <f t="shared" si="2"/>
        <v>0</v>
      </c>
      <c r="E31" s="289">
        <f>COUNTIF('Awards Summary'!J:J, "DCJS")</f>
        <v>0</v>
      </c>
      <c r="F31" s="288">
        <f>SUMIFS('Awards Summary'!H:H,'Awards Summary'!J:J,"DCJS")</f>
        <v>0</v>
      </c>
      <c r="G31" s="290">
        <f>SUMIFS('Disbursements Summary'!E:E,'Disbursements Summary'!A:A,"DCJS")</f>
        <v>0</v>
      </c>
      <c r="H31" s="388"/>
      <c r="I31" s="291" t="e">
        <f t="shared" si="0"/>
        <v>#DIV/0!</v>
      </c>
    </row>
    <row r="32" spans="1:9" ht="31.5" customHeight="1">
      <c r="A32" s="287" t="str">
        <f t="shared" si="1"/>
        <v>Needs to submit!</v>
      </c>
      <c r="B32" s="316" t="s">
        <v>156</v>
      </c>
      <c r="C32" s="298"/>
      <c r="D32" s="298">
        <f t="shared" si="2"/>
        <v>0</v>
      </c>
      <c r="E32" s="299">
        <f>COUNTIF('Awards Summary'!J:J, "DHSES")</f>
        <v>0</v>
      </c>
      <c r="F32" s="298">
        <f>SUMIFS('Awards Summary'!H:H,'Awards Summary'!J:J,"DHSES")</f>
        <v>0</v>
      </c>
      <c r="G32" s="290">
        <f>SUMIFS('Disbursements Summary'!E:E,'Disbursements Summary'!A:A,"DHSES")</f>
        <v>0</v>
      </c>
      <c r="H32" s="389"/>
      <c r="I32" s="301" t="e">
        <f t="shared" si="0"/>
        <v>#DIV/0!</v>
      </c>
    </row>
    <row r="33" spans="1:9" s="302" customFormat="1" ht="31.5" customHeight="1">
      <c r="A33" s="287" t="str">
        <f t="shared" si="1"/>
        <v>Needs to submit!</v>
      </c>
      <c r="B33" s="315" t="s">
        <v>152</v>
      </c>
      <c r="C33" s="288"/>
      <c r="D33" s="288">
        <f t="shared" si="2"/>
        <v>0</v>
      </c>
      <c r="E33" s="289">
        <f>COUNTIF('Awards Summary'!J:J, "DHR")</f>
        <v>0</v>
      </c>
      <c r="F33" s="288">
        <f>SUMIFS('Awards Summary'!H:H,'Awards Summary'!J:J,"DHR")</f>
        <v>0</v>
      </c>
      <c r="G33" s="157">
        <f>SUMIFS('Disbursements Summary'!E:E,'Disbursements Summary'!A:A,"DHR")</f>
        <v>0</v>
      </c>
      <c r="H33" s="297"/>
      <c r="I33" s="291" t="e">
        <f t="shared" si="0"/>
        <v>#DIV/0!</v>
      </c>
    </row>
    <row r="34" spans="1:9" ht="31.5" customHeight="1">
      <c r="A34" s="287" t="str">
        <f t="shared" si="1"/>
        <v>Needs to submit!</v>
      </c>
      <c r="B34" s="315" t="s">
        <v>162</v>
      </c>
      <c r="C34" s="287"/>
      <c r="D34" s="157">
        <f t="shared" si="2"/>
        <v>0</v>
      </c>
      <c r="E34" s="289">
        <f>COUNTIF('Awards Summary'!J:J, "DMNA")</f>
        <v>0</v>
      </c>
      <c r="F34" s="288">
        <f>SUMIFS('Awards Summary'!H:H,'Awards Summary'!J:J,"DMNA")</f>
        <v>0</v>
      </c>
      <c r="G34" s="290">
        <f>SUMIFS('Disbursements Summary'!E:E,'Disbursements Summary'!A:A,"DMNA")</f>
        <v>0</v>
      </c>
      <c r="H34" s="190"/>
      <c r="I34" s="295" t="e">
        <f t="shared" si="0"/>
        <v>#DIV/0!</v>
      </c>
    </row>
    <row r="35" spans="1:9" ht="31.5" customHeight="1">
      <c r="A35" s="287" t="str">
        <f t="shared" si="1"/>
        <v>Needs to submit!</v>
      </c>
      <c r="B35" s="315" t="s">
        <v>153</v>
      </c>
      <c r="C35" s="288"/>
      <c r="D35" s="288">
        <f t="shared" si="2"/>
        <v>0</v>
      </c>
      <c r="E35" s="289">
        <f>COUNTIF('Awards Summary'!J:J, "TROOPERS")</f>
        <v>0</v>
      </c>
      <c r="F35" s="288">
        <f>SUMIFS('Awards Summary'!H:H,'Awards Summary'!J:J,"TROOPERS")</f>
        <v>0</v>
      </c>
      <c r="G35" s="290">
        <f>SUMIFS('Disbursements Summary'!E:E,'Disbursements Summary'!A:A,"TROOPERS")</f>
        <v>0</v>
      </c>
      <c r="H35" s="190"/>
      <c r="I35" s="291" t="e">
        <f t="shared" si="0"/>
        <v>#DIV/0!</v>
      </c>
    </row>
    <row r="36" spans="1:9" ht="31.5" customHeight="1">
      <c r="A36" s="287" t="str">
        <f t="shared" si="1"/>
        <v>Needs to submit!</v>
      </c>
      <c r="B36" s="315" t="s">
        <v>185</v>
      </c>
      <c r="C36" s="288"/>
      <c r="D36" s="288">
        <f t="shared" si="2"/>
        <v>0</v>
      </c>
      <c r="E36" s="289">
        <f>COUNTIF('Awards Summary'!J:J, "DVA")</f>
        <v>0</v>
      </c>
      <c r="F36" s="288">
        <f>SUMIFS('Awards Summary'!H:H,'Awards Summary'!J:J,"DVA")</f>
        <v>0</v>
      </c>
      <c r="G36" s="157">
        <f>SUMIFS('Disbursements Summary'!E:E,'Disbursements Summary'!A:A,"DVA")</f>
        <v>0</v>
      </c>
      <c r="H36" s="297"/>
      <c r="I36" s="291" t="e">
        <f t="shared" si="0"/>
        <v>#DIV/0!</v>
      </c>
    </row>
    <row r="37" spans="1:9" ht="31.5" customHeight="1">
      <c r="A37" s="287" t="str">
        <f t="shared" si="1"/>
        <v>Needs to submit!</v>
      </c>
      <c r="B37" s="315" t="s">
        <v>2</v>
      </c>
      <c r="C37" s="288"/>
      <c r="D37" s="288">
        <f t="shared" si="2"/>
        <v>0</v>
      </c>
      <c r="E37" s="289">
        <f>COUNTIF('Awards Summary'!J:J, "DASNY")</f>
        <v>0</v>
      </c>
      <c r="F37" s="288">
        <f>SUMIFS('Awards Summary'!H:H,'Awards Summary'!J:J,"DASNY")</f>
        <v>0</v>
      </c>
      <c r="G37" s="290">
        <f>SUMIFS('Disbursements Summary'!E:E,'Disbursements Summary'!A:A,"DASNY")</f>
        <v>0</v>
      </c>
      <c r="H37" s="307"/>
      <c r="I37" s="291" t="e">
        <f t="shared" si="0"/>
        <v>#DIV/0!</v>
      </c>
    </row>
    <row r="38" spans="1:9" ht="31.5" customHeight="1">
      <c r="A38" s="287" t="str">
        <f t="shared" si="1"/>
        <v>Needs to submit!</v>
      </c>
      <c r="B38" s="315" t="s">
        <v>154</v>
      </c>
      <c r="C38" s="288"/>
      <c r="D38" s="288">
        <f t="shared" si="2"/>
        <v>0</v>
      </c>
      <c r="E38" s="289">
        <f>COUNTIF('Awards Summary'!J:J, "EGG")</f>
        <v>0</v>
      </c>
      <c r="F38" s="288">
        <f>SUMIFS('Awards Summary'!H:H,'Awards Summary'!J:J,"EGG")</f>
        <v>0</v>
      </c>
      <c r="G38" s="157">
        <f>SUMIFS('Disbursements Summary'!E:E,'Disbursements Summary'!A:A,"EGG")</f>
        <v>0</v>
      </c>
      <c r="H38" s="293"/>
      <c r="I38" s="291" t="e">
        <f t="shared" si="0"/>
        <v>#DIV/0!</v>
      </c>
    </row>
    <row r="39" spans="1:9" ht="31.5" customHeight="1">
      <c r="A39" s="287" t="str">
        <f t="shared" si="1"/>
        <v>Needs to submit!</v>
      </c>
      <c r="B39" s="315" t="s">
        <v>212</v>
      </c>
      <c r="C39" s="288"/>
      <c r="D39" s="288">
        <f t="shared" si="2"/>
        <v>0</v>
      </c>
      <c r="E39" s="289">
        <f>COUNTIF('Awards Summary'!J:J, "ESD")</f>
        <v>0</v>
      </c>
      <c r="F39" s="288">
        <f>SUMIFS('Awards Summary'!H:H,'Awards Summary'!J:J,"ESD")</f>
        <v>0</v>
      </c>
      <c r="G39" s="157">
        <f>SUMIFS('Disbursements Summary'!E:E,'Disbursements Summary'!A:A,"ESD")</f>
        <v>0</v>
      </c>
      <c r="H39" s="300"/>
      <c r="I39" s="291" t="e">
        <f t="shared" si="0"/>
        <v>#DIV/0!</v>
      </c>
    </row>
    <row r="40" spans="1:9" ht="31.5" customHeight="1">
      <c r="A40" s="287" t="str">
        <f t="shared" si="1"/>
        <v>Needs to submit!</v>
      </c>
      <c r="B40" s="315" t="s">
        <v>12</v>
      </c>
      <c r="C40" s="288"/>
      <c r="D40" s="288">
        <f t="shared" si="2"/>
        <v>0</v>
      </c>
      <c r="E40" s="289">
        <f>COUNTIF('Awards Summary'!J:J, "EFC")</f>
        <v>0</v>
      </c>
      <c r="F40" s="288">
        <f>SUMIFS('Awards Summary'!H:H,'Awards Summary'!J:J,"EFC")</f>
        <v>0</v>
      </c>
      <c r="G40" s="157">
        <f>SUMIFS('Disbursements Summary'!E:E,'Disbursements Summary'!A:A,"EFC")</f>
        <v>0</v>
      </c>
      <c r="H40" s="294"/>
      <c r="I40" s="291" t="e">
        <f t="shared" si="0"/>
        <v>#DIV/0!</v>
      </c>
    </row>
    <row r="41" spans="1:9" ht="31.5" customHeight="1">
      <c r="A41" s="287" t="str">
        <f t="shared" si="1"/>
        <v>Needs to submit!</v>
      </c>
      <c r="B41" s="315" t="s">
        <v>127</v>
      </c>
      <c r="C41" s="288"/>
      <c r="D41" s="288">
        <f t="shared" si="2"/>
        <v>0</v>
      </c>
      <c r="E41" s="289">
        <f>COUNTIF('Awards Summary'!J:J, "ECFSA")</f>
        <v>0</v>
      </c>
      <c r="F41" s="288">
        <f>SUMIFS('Awards Summary'!H:H,'Awards Summary'!J:J,"ECFSA")</f>
        <v>0</v>
      </c>
      <c r="G41" s="157">
        <f>SUMIFS('Disbursements Summary'!E:E,'Disbursements Summary'!A:A,"ECFSA")</f>
        <v>0</v>
      </c>
      <c r="H41" s="157"/>
      <c r="I41" s="291" t="e">
        <f t="shared" si="0"/>
        <v>#DIV/0!</v>
      </c>
    </row>
    <row r="42" spans="1:9" ht="31.5" customHeight="1">
      <c r="A42" s="287" t="str">
        <f t="shared" si="1"/>
        <v>Needs to submit!</v>
      </c>
      <c r="B42" s="315" t="s">
        <v>140</v>
      </c>
      <c r="C42" s="288"/>
      <c r="D42" s="288">
        <f t="shared" si="2"/>
        <v>0</v>
      </c>
      <c r="E42" s="289">
        <f>COUNTIF('Awards Summary'!J:J, "ECMC")</f>
        <v>0</v>
      </c>
      <c r="F42" s="288">
        <f>SUMIFS('Awards Summary'!H:H,'Awards Summary'!J:J,"ECMC")</f>
        <v>0</v>
      </c>
      <c r="G42" s="157">
        <f>SUMIFS('Disbursements Summary'!E:E,'Disbursements Summary'!A:A,"ECMC")</f>
        <v>0</v>
      </c>
      <c r="H42" s="190"/>
      <c r="I42" s="291" t="e">
        <f t="shared" si="0"/>
        <v>#DIV/0!</v>
      </c>
    </row>
    <row r="43" spans="1:9" ht="31.5" customHeight="1">
      <c r="A43" s="287" t="str">
        <f t="shared" si="1"/>
        <v>Needs to submit!</v>
      </c>
      <c r="B43" s="315" t="s">
        <v>191</v>
      </c>
      <c r="C43" s="288"/>
      <c r="D43" s="288">
        <f t="shared" si="2"/>
        <v>0</v>
      </c>
      <c r="E43" s="289">
        <f>COUNTIF('Awards Summary'!J:J, "CHAMBER")</f>
        <v>0</v>
      </c>
      <c r="F43" s="288">
        <f>SUMIFS('Awards Summary'!H:H,'Awards Summary'!J:J,"CHAMBER")</f>
        <v>0</v>
      </c>
      <c r="G43" s="157">
        <f>SUMIFS('Disbursements Summary'!E:E,'Disbursements Summary'!A:A,"CHAMBER")</f>
        <v>0</v>
      </c>
      <c r="H43" s="300"/>
      <c r="I43" s="291" t="e">
        <f t="shared" si="0"/>
        <v>#DIV/0!</v>
      </c>
    </row>
    <row r="44" spans="1:9" ht="31.5" customHeight="1">
      <c r="A44" s="287" t="str">
        <f t="shared" si="1"/>
        <v>Needs to submit!</v>
      </c>
      <c r="B44" s="315" t="s">
        <v>128</v>
      </c>
      <c r="C44" s="288"/>
      <c r="D44" s="288">
        <f t="shared" si="2"/>
        <v>0</v>
      </c>
      <c r="E44" s="289">
        <f>COUNTIF('Awards Summary'!J:J, "GAMING")</f>
        <v>0</v>
      </c>
      <c r="F44" s="157">
        <f>SUMIFS('Awards Summary'!H:H,'Awards Summary'!J:J,"GAMING")</f>
        <v>0</v>
      </c>
      <c r="G44" s="290">
        <f>SUMIFS('Disbursements Summary'!E:E,'Disbursements Summary'!A:A,"GAMING")</f>
        <v>0</v>
      </c>
      <c r="H44" s="190"/>
      <c r="I44" s="291" t="e">
        <f t="shared" si="0"/>
        <v>#DIV/0!</v>
      </c>
    </row>
    <row r="45" spans="1:9" ht="31.5" customHeight="1">
      <c r="A45" s="287" t="str">
        <f t="shared" si="1"/>
        <v>Needs to submit!</v>
      </c>
      <c r="B45" s="315" t="s">
        <v>129</v>
      </c>
      <c r="C45" s="288"/>
      <c r="D45" s="288">
        <f t="shared" si="2"/>
        <v>0</v>
      </c>
      <c r="E45" s="289">
        <f>COUNTIF('Awards Summary'!J:J, "GOER")</f>
        <v>0</v>
      </c>
      <c r="F45" s="288">
        <f>SUMIFS('Awards Summary'!H:H,'Awards Summary'!J:J,"GOER")</f>
        <v>0</v>
      </c>
      <c r="G45" s="157">
        <f>SUMIFS('Disbursements Summary'!E:E,'Disbursements Summary'!A:A,"GOER")</f>
        <v>0</v>
      </c>
      <c r="H45" s="297"/>
      <c r="I45" s="291" t="e">
        <f t="shared" si="0"/>
        <v>#DIV/0!</v>
      </c>
    </row>
    <row r="46" spans="1:9" ht="31.5" customHeight="1">
      <c r="A46" s="287" t="str">
        <f t="shared" si="1"/>
        <v>Needs to submit!</v>
      </c>
      <c r="B46" s="315" t="s">
        <v>155</v>
      </c>
      <c r="C46" s="288"/>
      <c r="D46" s="288">
        <f t="shared" si="2"/>
        <v>0</v>
      </c>
      <c r="E46" s="289">
        <f>COUNTIF('Awards Summary'!J:J, "HESC")</f>
        <v>0</v>
      </c>
      <c r="F46" s="288">
        <f>SUMIFS('Awards Summary'!H:H,'Awards Summary'!J:J,"HESC")</f>
        <v>0</v>
      </c>
      <c r="G46" s="157">
        <f>SUMIFS('Disbursements Summary'!E:E,'Disbursements Summary'!A:A,"HESC")</f>
        <v>0</v>
      </c>
      <c r="H46" s="157"/>
      <c r="I46" s="291" t="e">
        <f t="shared" si="0"/>
        <v>#DIV/0!</v>
      </c>
    </row>
    <row r="47" spans="1:9" ht="31.5" customHeight="1">
      <c r="A47" s="287" t="str">
        <f t="shared" si="1"/>
        <v>Needs to submit!</v>
      </c>
      <c r="B47" s="315" t="s">
        <v>204</v>
      </c>
      <c r="C47" s="288"/>
      <c r="D47" s="288">
        <f t="shared" si="2"/>
        <v>0</v>
      </c>
      <c r="E47" s="289">
        <f>COUNTIF('Awards Summary'!J:J, "GOSR")</f>
        <v>0</v>
      </c>
      <c r="F47" s="288">
        <f>SUMIFS('Awards Summary'!H:H,'Awards Summary'!J:J,"GOSR")</f>
        <v>0</v>
      </c>
      <c r="G47" s="157">
        <f>SUMIFS('Disbursements Summary'!E:E,'Disbursements Summary'!A:A,"GOSR")</f>
        <v>0</v>
      </c>
      <c r="H47" s="307"/>
      <c r="I47" s="291" t="e">
        <f t="shared" si="0"/>
        <v>#DIV/0!</v>
      </c>
    </row>
    <row r="48" spans="1:9" ht="31.5" customHeight="1">
      <c r="A48" s="287" t="str">
        <f t="shared" si="1"/>
        <v>Needs to submit!</v>
      </c>
      <c r="B48" s="315" t="s">
        <v>157</v>
      </c>
      <c r="C48" s="288"/>
      <c r="D48" s="288">
        <f t="shared" si="2"/>
        <v>0</v>
      </c>
      <c r="E48" s="289">
        <f>COUNTIF('Awards Summary'!J:J, "HRPT")</f>
        <v>0</v>
      </c>
      <c r="F48" s="288">
        <f>SUMIFS('Awards Summary'!H:H,'Awards Summary'!J:J,"HRPT")</f>
        <v>0</v>
      </c>
      <c r="G48" s="157">
        <f>SUMIFS('Disbursements Summary'!E:E,'Disbursements Summary'!A:A,"HRPT")</f>
        <v>0</v>
      </c>
      <c r="H48" s="157"/>
      <c r="I48" s="291" t="e">
        <f t="shared" si="0"/>
        <v>#DIV/0!</v>
      </c>
    </row>
    <row r="49" spans="1:9" ht="31.5" customHeight="1">
      <c r="A49" s="287" t="str">
        <f t="shared" si="1"/>
        <v>Needs to submit!</v>
      </c>
      <c r="B49" s="315" t="s">
        <v>124</v>
      </c>
      <c r="C49" s="288"/>
      <c r="D49" s="288">
        <f t="shared" si="2"/>
        <v>0</v>
      </c>
      <c r="E49" s="289">
        <f>COUNTIF('Awards Summary'!J:J, "HRBRRD")</f>
        <v>0</v>
      </c>
      <c r="F49" s="288">
        <f>SUMIFS('Awards Summary'!H:H,'Awards Summary'!J:J,"HRBRRD")</f>
        <v>0</v>
      </c>
      <c r="G49" s="157">
        <f>SUMIFS('Disbursements Summary'!E:E,'Disbursements Summary'!A:A,"HRBRRD")</f>
        <v>0</v>
      </c>
      <c r="H49" s="157"/>
      <c r="I49" s="291" t="e">
        <f t="shared" si="0"/>
        <v>#DIV/0!</v>
      </c>
    </row>
    <row r="50" spans="1:9" ht="31.5" customHeight="1">
      <c r="A50" s="287" t="str">
        <f t="shared" si="1"/>
        <v>Needs to submit!</v>
      </c>
      <c r="B50" s="315" t="s">
        <v>5</v>
      </c>
      <c r="C50" s="288"/>
      <c r="D50" s="288">
        <f t="shared" si="2"/>
        <v>0</v>
      </c>
      <c r="E50" s="289">
        <f>COUNTIF('Awards Summary'!J:J, "ITS")</f>
        <v>0</v>
      </c>
      <c r="F50" s="288">
        <f>SUMIFS('Awards Summary'!H:H,'Awards Summary'!J:J,"ITS")</f>
        <v>0</v>
      </c>
      <c r="G50" s="157">
        <f>SUMIFS('Disbursements Summary'!E:E,'Disbursements Summary'!A:A,"ITS")</f>
        <v>0</v>
      </c>
      <c r="H50" s="190"/>
      <c r="I50" s="291" t="e">
        <f t="shared" si="0"/>
        <v>#DIV/0!</v>
      </c>
    </row>
    <row r="51" spans="1:9" ht="31.5" customHeight="1">
      <c r="A51" s="287" t="str">
        <f t="shared" si="1"/>
        <v>Needs to submit!</v>
      </c>
      <c r="B51" s="315" t="s">
        <v>195</v>
      </c>
      <c r="C51" s="288"/>
      <c r="D51" s="288">
        <f t="shared" si="2"/>
        <v>0</v>
      </c>
      <c r="E51" s="289">
        <f>COUNTIF('Awards Summary'!J:J, "JAVITS")</f>
        <v>0</v>
      </c>
      <c r="F51" s="288">
        <f>SUMIFS('Awards Summary'!H:H,'Awards Summary'!J:J,"JAVITS")</f>
        <v>0</v>
      </c>
      <c r="G51" s="157">
        <f>SUMIFS('Disbursements Summary'!E:E,'Disbursements Summary'!A:A,"JAVITS")</f>
        <v>0</v>
      </c>
      <c r="H51" s="190"/>
      <c r="I51" s="291" t="e">
        <f t="shared" si="0"/>
        <v>#DIV/0!</v>
      </c>
    </row>
    <row r="52" spans="1:9" ht="31.5" customHeight="1">
      <c r="A52" s="287" t="str">
        <f t="shared" si="1"/>
        <v>Needs to submit!</v>
      </c>
      <c r="B52" s="315" t="s">
        <v>159</v>
      </c>
      <c r="C52" s="288"/>
      <c r="D52" s="288">
        <f t="shared" si="2"/>
        <v>0</v>
      </c>
      <c r="E52" s="289">
        <f>COUNTIF('Awards Summary'!J:J, "JCOPE")</f>
        <v>0</v>
      </c>
      <c r="F52" s="288">
        <f>SUMIFS('Awards Summary'!H:H,'Awards Summary'!J:J,"JCOPE")</f>
        <v>0</v>
      </c>
      <c r="G52" s="157">
        <f>SUMIFS('Disbursements Summary'!E:E,'Disbursements Summary'!A:A,"JCOPE")</f>
        <v>0</v>
      </c>
      <c r="H52" s="190"/>
      <c r="I52" s="295" t="e">
        <f t="shared" si="0"/>
        <v>#DIV/0!</v>
      </c>
    </row>
    <row r="53" spans="1:9" ht="31.5" customHeight="1">
      <c r="A53" s="287" t="str">
        <f t="shared" si="1"/>
        <v>Needs to submit!</v>
      </c>
      <c r="B53" s="315" t="s">
        <v>160</v>
      </c>
      <c r="C53" s="288"/>
      <c r="D53" s="288">
        <f t="shared" si="2"/>
        <v>0</v>
      </c>
      <c r="E53" s="289">
        <f>COUNTIF('Awards Summary'!J:J, "JUSTICE")</f>
        <v>0</v>
      </c>
      <c r="F53" s="288">
        <f>SUMIFS('Awards Summary'!H:H,'Awards Summary'!J:J,"JUSTICE")</f>
        <v>0</v>
      </c>
      <c r="G53" s="157">
        <f>SUMIFS('Disbursements Summary'!E:E,'Disbursements Summary'!A:A,"JUSTICE")</f>
        <v>0</v>
      </c>
      <c r="H53" s="157"/>
      <c r="I53" s="291" t="e">
        <f t="shared" si="0"/>
        <v>#DIV/0!</v>
      </c>
    </row>
    <row r="54" spans="1:9" ht="31.5" customHeight="1">
      <c r="A54" s="287" t="str">
        <f t="shared" si="1"/>
        <v>Needs to submit!</v>
      </c>
      <c r="B54" s="315" t="s">
        <v>161</v>
      </c>
      <c r="C54" s="288"/>
      <c r="D54" s="288">
        <f t="shared" si="2"/>
        <v>0</v>
      </c>
      <c r="E54" s="289">
        <f>COUNTIF('Awards Summary'!J:J, "LCWSA")</f>
        <v>0</v>
      </c>
      <c r="F54" s="288">
        <f>SUMIFS('Awards Summary'!H:H,'Awards Summary'!J:J,"LCWSA")</f>
        <v>0</v>
      </c>
      <c r="G54" s="157">
        <f>SUMIFS('Disbursements Summary'!E:E,'Disbursements Summary'!A:A,"LCWSA")</f>
        <v>0</v>
      </c>
      <c r="H54" s="157"/>
      <c r="I54" s="291" t="e">
        <f t="shared" si="0"/>
        <v>#DIV/0!</v>
      </c>
    </row>
    <row r="55" spans="1:9" ht="31.5" customHeight="1">
      <c r="A55" s="287" t="str">
        <f t="shared" si="1"/>
        <v>Needs to submit!</v>
      </c>
      <c r="B55" s="315" t="s">
        <v>111</v>
      </c>
      <c r="C55" s="288"/>
      <c r="D55" s="288">
        <f t="shared" si="2"/>
        <v>0</v>
      </c>
      <c r="E55" s="289">
        <f>COUNTIF('Awards Summary'!J:J, "LIPA")</f>
        <v>0</v>
      </c>
      <c r="F55" s="288">
        <f>SUMIFS('Awards Summary'!H:H,'Awards Summary'!J:J,"LIPA")</f>
        <v>0</v>
      </c>
      <c r="G55" s="157">
        <f>SUMIFS('Disbursements Summary'!E:E,'Disbursements Summary'!A:A,"LIPA")</f>
        <v>0</v>
      </c>
      <c r="H55" s="157"/>
      <c r="I55" s="291" t="e">
        <f t="shared" si="0"/>
        <v>#DIV/0!</v>
      </c>
    </row>
    <row r="56" spans="1:9" ht="31.5" customHeight="1">
      <c r="A56" s="287" t="str">
        <f t="shared" si="1"/>
        <v>Needs to submit!</v>
      </c>
      <c r="B56" s="315" t="s">
        <v>14</v>
      </c>
      <c r="C56" s="288"/>
      <c r="D56" s="288">
        <f t="shared" si="2"/>
        <v>0</v>
      </c>
      <c r="E56" s="289">
        <f>COUNTIF('Awards Summary'!J:J, "MTA")</f>
        <v>0</v>
      </c>
      <c r="F56" s="288">
        <f>SUMIFS('Awards Summary'!H:H,'Awards Summary'!J:J,"MTA")</f>
        <v>0</v>
      </c>
      <c r="G56" s="157">
        <f>SUMIFS('Disbursements Summary'!E:E,'Disbursements Summary'!A:A,"MTA")</f>
        <v>0</v>
      </c>
      <c r="H56" s="157"/>
      <c r="I56" s="295" t="e">
        <f>(G56/H56)</f>
        <v>#DIV/0!</v>
      </c>
    </row>
    <row r="57" spans="1:9" ht="31.5" customHeight="1">
      <c r="A57" s="287" t="str">
        <f t="shared" si="1"/>
        <v>Needs to submit!</v>
      </c>
      <c r="B57" s="315" t="s">
        <v>163</v>
      </c>
      <c r="C57" s="288"/>
      <c r="D57" s="288">
        <f t="shared" si="2"/>
        <v>0</v>
      </c>
      <c r="E57" s="289">
        <f>COUNTIF('Awards Summary'!J:J, "NIFA")</f>
        <v>0</v>
      </c>
      <c r="F57" s="288">
        <f>SUMIFS('Awards Summary'!H:H,'Awards Summary'!J:J,"NIFA")</f>
        <v>0</v>
      </c>
      <c r="G57" s="157">
        <f>SUMIFS('Disbursements Summary'!E:E,'Disbursements Summary'!A:A,"NIFA")</f>
        <v>0</v>
      </c>
      <c r="H57" s="157"/>
      <c r="I57" s="291" t="e">
        <f t="shared" si="0"/>
        <v>#DIV/0!</v>
      </c>
    </row>
    <row r="58" spans="1:9" ht="31.5" customHeight="1">
      <c r="A58" s="287" t="str">
        <f t="shared" si="1"/>
        <v>Needs to submit!</v>
      </c>
      <c r="B58" s="315" t="s">
        <v>141</v>
      </c>
      <c r="C58" s="288"/>
      <c r="D58" s="288">
        <f t="shared" si="2"/>
        <v>0</v>
      </c>
      <c r="E58" s="289">
        <f>COUNTIF('Awards Summary'!J:J, "NHCC")</f>
        <v>0</v>
      </c>
      <c r="F58" s="288">
        <f>SUMIFS('Awards Summary'!H:H,'Awards Summary'!J:J,"NHCC")</f>
        <v>0</v>
      </c>
      <c r="G58" s="157">
        <f>SUMIFS('Disbursements Summary'!E:E,'Disbursements Summary'!A:A,"NHCC")</f>
        <v>0</v>
      </c>
      <c r="H58" s="157"/>
      <c r="I58" s="291" t="e">
        <f t="shared" si="0"/>
        <v>#DIV/0!</v>
      </c>
    </row>
    <row r="59" spans="1:9" s="344" customFormat="1" ht="31.5" customHeight="1">
      <c r="A59" s="390" t="str">
        <f t="shared" si="1"/>
        <v>Needs to submit!</v>
      </c>
      <c r="B59" s="338" t="s">
        <v>164</v>
      </c>
      <c r="C59" s="339"/>
      <c r="D59" s="339">
        <f t="shared" si="2"/>
        <v>0</v>
      </c>
      <c r="E59" s="340">
        <f>COUNTIF('Awards Summary'!J:J, "NHT")</f>
        <v>0</v>
      </c>
      <c r="F59" s="339">
        <f>SUMIFS('Awards Summary'!H:H,'Awards Summary'!J:J,"NHT")</f>
        <v>0</v>
      </c>
      <c r="G59" s="341">
        <f>SUMIFS('Disbursements Summary'!E:E,'Disbursements Summary'!A:A,"NHT")</f>
        <v>0</v>
      </c>
      <c r="H59" s="342"/>
      <c r="I59" s="343" t="e">
        <f t="shared" si="0"/>
        <v>#DIV/0!</v>
      </c>
    </row>
    <row r="60" spans="1:9" ht="31.5" customHeight="1">
      <c r="A60" s="287" t="str">
        <f t="shared" si="1"/>
        <v>Needs to submit!</v>
      </c>
      <c r="B60" s="315" t="s">
        <v>7</v>
      </c>
      <c r="C60" s="288"/>
      <c r="D60" s="288">
        <f t="shared" si="2"/>
        <v>0</v>
      </c>
      <c r="E60" s="289">
        <f>COUNTIF('Awards Summary'!J:J, "NYPA")</f>
        <v>0</v>
      </c>
      <c r="F60" s="288">
        <f>SUMIFS('Awards Summary'!H:H,'Awards Summary'!J:J,"NYPA")</f>
        <v>0</v>
      </c>
      <c r="G60" s="157">
        <f>SUMIFS('Disbursements Summary'!E:E,'Disbursements Summary'!A:A,"NYPA")</f>
        <v>0</v>
      </c>
      <c r="H60" s="308"/>
      <c r="I60" s="291" t="e">
        <f t="shared" si="0"/>
        <v>#DIV/0!</v>
      </c>
    </row>
    <row r="61" spans="1:9" ht="31.5" customHeight="1">
      <c r="A61" s="287" t="str">
        <f t="shared" si="1"/>
        <v>Needs to submit!</v>
      </c>
      <c r="B61" s="315" t="s">
        <v>145</v>
      </c>
      <c r="C61" s="288"/>
      <c r="D61" s="288">
        <f t="shared" si="2"/>
        <v>0</v>
      </c>
      <c r="E61" s="289">
        <f>COUNTIF('Awards Summary'!J:J, "NYSBA")</f>
        <v>0</v>
      </c>
      <c r="F61" s="288">
        <f>SUMIFS('Awards Summary'!H:H,'Awards Summary'!J:J,"NYSBA")</f>
        <v>0</v>
      </c>
      <c r="G61" s="157">
        <f>SUMIFS('Disbursements Summary'!E:E,'Disbursements Summary'!A:A,"NYSBA")</f>
        <v>0</v>
      </c>
      <c r="H61" s="190"/>
      <c r="I61" s="291" t="e">
        <f t="shared" ref="I61:I98" si="3">(G61/H61)</f>
        <v>#DIV/0!</v>
      </c>
    </row>
    <row r="62" spans="1:9" ht="31.5" customHeight="1">
      <c r="A62" s="287" t="str">
        <f t="shared" si="1"/>
        <v>Needs to submit!</v>
      </c>
      <c r="B62" s="315" t="s">
        <v>171</v>
      </c>
      <c r="C62" s="288"/>
      <c r="D62" s="288">
        <f t="shared" si="2"/>
        <v>0</v>
      </c>
      <c r="E62" s="289">
        <f>COUNTIF('Awards Summary'!J:J, "NYSERDA")</f>
        <v>0</v>
      </c>
      <c r="F62" s="288">
        <f>SUMIFS('Awards Summary'!H:H,'Awards Summary'!J:J,"NYSERDA")</f>
        <v>0</v>
      </c>
      <c r="G62" s="157">
        <f>SUMIFS('Disbursements Summary'!E:E,'Disbursements Summary'!A:A,"NYSERDA")</f>
        <v>0</v>
      </c>
      <c r="H62" s="190"/>
      <c r="I62" s="291" t="e">
        <f t="shared" si="3"/>
        <v>#DIV/0!</v>
      </c>
    </row>
    <row r="63" spans="1:9" ht="31.5" customHeight="1">
      <c r="A63" s="287" t="str">
        <f t="shared" si="1"/>
        <v>Needs to submit!</v>
      </c>
      <c r="B63" s="315" t="s">
        <v>194</v>
      </c>
      <c r="C63" s="288"/>
      <c r="D63" s="288">
        <f t="shared" si="2"/>
        <v>0</v>
      </c>
      <c r="E63" s="289">
        <f>COUNTIF('Awards Summary'!J:J, "DHCR")</f>
        <v>0</v>
      </c>
      <c r="F63" s="288">
        <f>SUMIFS('Awards Summary'!H:H,'Awards Summary'!J:J,"DHCR")</f>
        <v>0</v>
      </c>
      <c r="G63" s="290">
        <f>SUMIFS('Disbursements Summary'!E:E,'Disbursements Summary'!A:A,"DHCR")</f>
        <v>0</v>
      </c>
      <c r="H63" s="190"/>
      <c r="I63" s="291" t="e">
        <f t="shared" si="3"/>
        <v>#DIV/0!</v>
      </c>
    </row>
    <row r="64" spans="1:9" ht="31.5" customHeight="1">
      <c r="A64" s="287" t="str">
        <f t="shared" si="1"/>
        <v>Needs to submit!</v>
      </c>
      <c r="B64" s="315" t="s">
        <v>193</v>
      </c>
      <c r="C64" s="288"/>
      <c r="D64" s="288">
        <f t="shared" si="2"/>
        <v>0</v>
      </c>
      <c r="E64" s="289">
        <f>COUNTIF('Awards Summary'!J:J, "HFA")</f>
        <v>0</v>
      </c>
      <c r="F64" s="288">
        <f>SUMIFS('Awards Summary'!H:H,'Awards Summary'!J:J,"HFA")</f>
        <v>0</v>
      </c>
      <c r="G64" s="290">
        <f>SUMIFS('Disbursements Summary'!E:E,'Disbursements Summary'!A:A,"HFA")</f>
        <v>0</v>
      </c>
      <c r="H64" s="304"/>
      <c r="I64" s="291" t="e">
        <f t="shared" si="3"/>
        <v>#DIV/0!</v>
      </c>
    </row>
    <row r="65" spans="1:9" ht="31.5" customHeight="1">
      <c r="A65" s="287" t="str">
        <f t="shared" si="1"/>
        <v>Needs to submit!</v>
      </c>
      <c r="B65" s="315" t="s">
        <v>13</v>
      </c>
      <c r="C65" s="288"/>
      <c r="D65" s="288">
        <f t="shared" si="2"/>
        <v>0</v>
      </c>
      <c r="E65" s="289">
        <f>COUNTIF('Awards Summary'!J:J, "NYSIF")</f>
        <v>0</v>
      </c>
      <c r="F65" s="288">
        <f>SUMIFS('Awards Summary'!H:H,'Awards Summary'!J:J,"NYSIF")</f>
        <v>0</v>
      </c>
      <c r="G65" s="157">
        <f>SUMIFS('Disbursements Summary'!E:E,'Disbursements Summary'!A:A,"NYSIF")</f>
        <v>0</v>
      </c>
      <c r="H65" s="293"/>
      <c r="I65" s="291" t="e">
        <f t="shared" si="3"/>
        <v>#DIV/0!</v>
      </c>
    </row>
    <row r="66" spans="1:9" ht="31.5" customHeight="1">
      <c r="A66" s="287" t="str">
        <f t="shared" si="1"/>
        <v>Needs to submit!</v>
      </c>
      <c r="B66" s="315" t="s">
        <v>125</v>
      </c>
      <c r="C66" s="288"/>
      <c r="D66" s="288">
        <f t="shared" si="2"/>
        <v>0</v>
      </c>
      <c r="E66" s="289">
        <f>COUNTIF('Awards Summary'!J:J, "NYBREDS")</f>
        <v>0</v>
      </c>
      <c r="F66" s="288">
        <f>SUMIFS('Awards Summary'!H:H,'Awards Summary'!J:J,"NYBREDS")</f>
        <v>0</v>
      </c>
      <c r="G66" s="157">
        <f>SUMIFS('Disbursements Summary'!E:E,'Disbursements Summary'!A:A,"NYBREDS")</f>
        <v>0</v>
      </c>
      <c r="H66" s="300"/>
      <c r="I66" s="291" t="e">
        <f t="shared" si="3"/>
        <v>#DIV/0!</v>
      </c>
    </row>
    <row r="67" spans="1:9" ht="31.5" customHeight="1">
      <c r="A67" s="287" t="str">
        <f t="shared" ref="A67:A100" si="4">IF(H67="","Needs to submit!","")</f>
        <v>Needs to submit!</v>
      </c>
      <c r="B67" s="316" t="s">
        <v>8</v>
      </c>
      <c r="C67" s="298"/>
      <c r="D67" s="298">
        <f t="shared" ref="D67:D99" si="5">C67/4</f>
        <v>0</v>
      </c>
      <c r="E67" s="299">
        <f>COUNTIF('Awards Summary'!J:J, "NYSTA")</f>
        <v>0</v>
      </c>
      <c r="F67" s="298">
        <f>SUMIFS('Awards Summary'!H:H,'Awards Summary'!J:J,"NYSTA")</f>
        <v>0</v>
      </c>
      <c r="G67" s="290">
        <f>SUMIFS('Disbursements Summary'!E:E,'Disbursements Summary'!A:A,"NYSTA")</f>
        <v>0</v>
      </c>
      <c r="H67" s="300"/>
      <c r="I67" s="301" t="e">
        <f t="shared" si="3"/>
        <v>#DIV/0!</v>
      </c>
    </row>
    <row r="68" spans="1:9" ht="31.5" customHeight="1">
      <c r="A68" s="287" t="str">
        <f t="shared" si="4"/>
        <v>Needs to submit!</v>
      </c>
      <c r="B68" s="315" t="s">
        <v>165</v>
      </c>
      <c r="C68" s="288"/>
      <c r="D68" s="288">
        <f t="shared" si="5"/>
        <v>0</v>
      </c>
      <c r="E68" s="289">
        <f>COUNTIF('Awards Summary'!J:J, "NFWB")</f>
        <v>0</v>
      </c>
      <c r="F68" s="288">
        <f>SUMIFS('Awards Summary'!H:H,'Awards Summary'!J:J,"NFWB")</f>
        <v>0</v>
      </c>
      <c r="G68" s="157">
        <f>SUMIFS('Disbursements Summary'!E:E,'Disbursements Summary'!A:A,"NFWB")</f>
        <v>0</v>
      </c>
      <c r="H68" s="293"/>
      <c r="I68" s="291" t="e">
        <f t="shared" si="3"/>
        <v>#DIV/0!</v>
      </c>
    </row>
    <row r="69" spans="1:9" ht="31.5" customHeight="1">
      <c r="A69" s="287" t="str">
        <f t="shared" si="4"/>
        <v>Needs to submit!</v>
      </c>
      <c r="B69" s="315" t="s">
        <v>166</v>
      </c>
      <c r="C69" s="288"/>
      <c r="D69" s="288">
        <f t="shared" si="5"/>
        <v>0</v>
      </c>
      <c r="E69" s="289">
        <f>COUNTIF('Awards Summary'!J:J, "NFTA")</f>
        <v>0</v>
      </c>
      <c r="F69" s="288">
        <f>SUMIFS('Awards Summary'!H:H,'Awards Summary'!J:J,"NFTA")</f>
        <v>0</v>
      </c>
      <c r="G69" s="157">
        <f>SUMIFS('Disbursements Summary'!E:E,'Disbursements Summary'!A:A,"NFTA")</f>
        <v>0</v>
      </c>
      <c r="H69" s="190"/>
      <c r="I69" s="291" t="e">
        <f t="shared" si="3"/>
        <v>#DIV/0!</v>
      </c>
    </row>
    <row r="70" spans="1:9" ht="31.5" customHeight="1">
      <c r="A70" s="287" t="str">
        <f t="shared" si="4"/>
        <v>Needs to submit!</v>
      </c>
      <c r="B70" s="315" t="s">
        <v>15</v>
      </c>
      <c r="C70" s="288"/>
      <c r="D70" s="288">
        <f t="shared" si="5"/>
        <v>0</v>
      </c>
      <c r="E70" s="289">
        <f>COUNTIF('Awards Summary'!J:J, "OPWDD")</f>
        <v>0</v>
      </c>
      <c r="F70" s="288">
        <f>SUMIFS('Awards Summary'!H:H,'Awards Summary'!J:J,"OPWDD")</f>
        <v>0</v>
      </c>
      <c r="G70" s="290">
        <f>SUMIFS('Disbursements Summary'!E:E,'Disbursements Summary'!A:A,"OPWDD")</f>
        <v>0</v>
      </c>
      <c r="H70" s="304"/>
      <c r="I70" s="291" t="e">
        <f t="shared" si="3"/>
        <v>#DIV/0!</v>
      </c>
    </row>
    <row r="71" spans="1:9" ht="31.5" customHeight="1">
      <c r="A71" s="287" t="str">
        <f t="shared" si="4"/>
        <v>Needs to submit!</v>
      </c>
      <c r="B71" s="315" t="s">
        <v>167</v>
      </c>
      <c r="C71" s="288"/>
      <c r="D71" s="288">
        <f t="shared" si="5"/>
        <v>0</v>
      </c>
      <c r="E71" s="289">
        <f>COUNTIF('Awards Summary'!J:J, "AGING")</f>
        <v>0</v>
      </c>
      <c r="F71" s="288">
        <f>SUMIFS('Awards Summary'!H:H,'Awards Summary'!J:J,"AGING")</f>
        <v>0</v>
      </c>
      <c r="G71" s="157">
        <f>SUMIFS('Disbursements Summary'!E:E,'Disbursements Summary'!A:A,"AGING")</f>
        <v>0</v>
      </c>
      <c r="H71" s="297"/>
      <c r="I71" s="291" t="e">
        <f t="shared" si="3"/>
        <v>#DIV/0!</v>
      </c>
    </row>
    <row r="72" spans="1:9" ht="31.5" customHeight="1">
      <c r="A72" s="287" t="str">
        <f t="shared" si="4"/>
        <v>Needs to submit!</v>
      </c>
      <c r="B72" s="315" t="s">
        <v>176</v>
      </c>
      <c r="C72" s="288"/>
      <c r="D72" s="288">
        <f t="shared" si="5"/>
        <v>0</v>
      </c>
      <c r="E72" s="289">
        <f>COUNTIF('Awards Summary'!J:J, "OPDV")</f>
        <v>0</v>
      </c>
      <c r="F72" s="288">
        <f>SUMIFS('Awards Summary'!H:H,'Awards Summary'!J:J,"OPDV")</f>
        <v>0</v>
      </c>
      <c r="G72" s="157">
        <f>SUMIFS('Disbursements Summary'!E:E,'Disbursements Summary'!A:A,"OPDV")</f>
        <v>0</v>
      </c>
      <c r="H72" s="190"/>
      <c r="I72" s="291" t="e">
        <f t="shared" si="3"/>
        <v>#DIV/0!</v>
      </c>
    </row>
    <row r="73" spans="1:9" ht="31.5" customHeight="1">
      <c r="A73" s="287" t="str">
        <f t="shared" si="4"/>
        <v>Needs to submit!</v>
      </c>
      <c r="B73" s="315" t="s">
        <v>186</v>
      </c>
      <c r="C73" s="288"/>
      <c r="D73" s="288">
        <f t="shared" si="5"/>
        <v>0</v>
      </c>
      <c r="E73" s="289">
        <f>COUNTIF('Awards Summary'!J:J, "OVS")</f>
        <v>0</v>
      </c>
      <c r="F73" s="288">
        <f>SUMIFS('Awards Summary'!H:H,'Awards Summary'!J:J,"OVS")</f>
        <v>0</v>
      </c>
      <c r="G73" s="157">
        <f>SUMIFS('Disbursements Summary'!E:E,'Disbursements Summary'!A:A,"OVS")</f>
        <v>0</v>
      </c>
      <c r="H73" s="157"/>
      <c r="I73" s="291" t="e">
        <f t="shared" si="3"/>
        <v>#DIV/0!</v>
      </c>
    </row>
    <row r="74" spans="1:9" ht="31.5" customHeight="1">
      <c r="A74" s="287" t="str">
        <f t="shared" si="4"/>
        <v>Needs to submit!</v>
      </c>
      <c r="B74" s="315" t="s">
        <v>170</v>
      </c>
      <c r="C74" s="288"/>
      <c r="D74" s="288">
        <f t="shared" si="5"/>
        <v>0</v>
      </c>
      <c r="E74" s="289">
        <f>COUNTIF('Awards Summary'!J:J, "OASAS")</f>
        <v>0</v>
      </c>
      <c r="F74" s="288">
        <f>SUMIFS('Awards Summary'!H:H,'Awards Summary'!J:J,"OASAS")</f>
        <v>0</v>
      </c>
      <c r="G74" s="157">
        <f>SUMIFS('Disbursements Summary'!E:E,'Disbursements Summary'!A:A,"OASAS")</f>
        <v>0</v>
      </c>
      <c r="H74" s="190"/>
      <c r="I74" s="291" t="e">
        <f t="shared" si="3"/>
        <v>#DIV/0!</v>
      </c>
    </row>
    <row r="75" spans="1:9" ht="31.5" customHeight="1">
      <c r="A75" s="287" t="str">
        <f t="shared" si="4"/>
        <v>Needs to submit!</v>
      </c>
      <c r="B75" s="315" t="s">
        <v>169</v>
      </c>
      <c r="C75" s="288"/>
      <c r="D75" s="288">
        <f t="shared" si="5"/>
        <v>0</v>
      </c>
      <c r="E75" s="289">
        <f>COUNTIF('Awards Summary'!J:J, "OCFS")</f>
        <v>0</v>
      </c>
      <c r="F75" s="288">
        <f>SUMIFS('Awards Summary'!H:H,'Awards Summary'!J:J,"OCFS")</f>
        <v>0</v>
      </c>
      <c r="G75" s="157">
        <f>SUMIFS('Disbursements Summary'!E:E,'Disbursements Summary'!A:A,"OCFS")</f>
        <v>0</v>
      </c>
      <c r="H75" s="300"/>
      <c r="I75" s="291" t="e">
        <f t="shared" si="3"/>
        <v>#DIV/0!</v>
      </c>
    </row>
    <row r="76" spans="1:9" ht="31.5" customHeight="1" thickBot="1">
      <c r="A76" s="287" t="str">
        <f t="shared" si="4"/>
        <v>Needs to submit!</v>
      </c>
      <c r="B76" s="315" t="s">
        <v>3</v>
      </c>
      <c r="C76" s="287"/>
      <c r="D76" s="157">
        <f t="shared" si="5"/>
        <v>0</v>
      </c>
      <c r="E76" s="287">
        <f>COUNTIF('Awards Summary'!J:J, "OGS")</f>
        <v>0</v>
      </c>
      <c r="F76" s="288">
        <f>SUMIFS('Awards Summary'!H:H,'Awards Summary'!J:J,"OGS")</f>
        <v>0</v>
      </c>
      <c r="G76" s="290">
        <f>SUMIFS('Disbursements Summary'!E:E,'Disbursements Summary'!A:A,"OGS")</f>
        <v>0</v>
      </c>
      <c r="H76" s="391"/>
      <c r="I76" s="295" t="e">
        <f t="shared" si="3"/>
        <v>#DIV/0!</v>
      </c>
    </row>
    <row r="77" spans="1:9" ht="31.5" customHeight="1">
      <c r="A77" s="287" t="str">
        <f t="shared" si="4"/>
        <v>Needs to submit!</v>
      </c>
      <c r="B77" s="315" t="s">
        <v>6</v>
      </c>
      <c r="C77" s="288"/>
      <c r="D77" s="288">
        <f t="shared" si="5"/>
        <v>0</v>
      </c>
      <c r="E77" s="289">
        <f>COUNTIF('Awards Summary'!J:J, "OMH")</f>
        <v>0</v>
      </c>
      <c r="F77" s="288">
        <f>SUMIFS('Awards Summary'!H:H,'Awards Summary'!J:J,"OMH")</f>
        <v>0</v>
      </c>
      <c r="G77" s="290">
        <f>SUMIFS('Disbursements Summary'!E:E,'Disbursements Summary'!A:A,"OMH")</f>
        <v>0</v>
      </c>
      <c r="H77" s="293"/>
      <c r="I77" s="291" t="e">
        <f t="shared" si="3"/>
        <v>#DIV/0!</v>
      </c>
    </row>
    <row r="78" spans="1:9" ht="31.5" customHeight="1">
      <c r="A78" s="287" t="str">
        <f t="shared" si="4"/>
        <v>Needs to submit!</v>
      </c>
      <c r="B78" s="315" t="s">
        <v>66</v>
      </c>
      <c r="C78" s="288"/>
      <c r="D78" s="288">
        <f t="shared" si="5"/>
        <v>0</v>
      </c>
      <c r="E78" s="289">
        <f>COUNTIF('Awards Summary'!J:J, "PARKS")</f>
        <v>0</v>
      </c>
      <c r="F78" s="288">
        <f>SUMIFS('Awards Summary'!H:H,'Awards Summary'!J:J,"PARKS")</f>
        <v>0</v>
      </c>
      <c r="G78" s="290">
        <f>SUMIFS('Disbursements Summary'!E:E,'Disbursements Summary'!A:A,"PARKS")</f>
        <v>0</v>
      </c>
      <c r="H78" s="300"/>
      <c r="I78" s="295" t="e">
        <f t="shared" si="3"/>
        <v>#DIV/0!</v>
      </c>
    </row>
    <row r="79" spans="1:9" ht="31.5" customHeight="1">
      <c r="A79" s="287" t="str">
        <f t="shared" si="4"/>
        <v>Needs to submit!</v>
      </c>
      <c r="B79" s="315" t="s">
        <v>188</v>
      </c>
      <c r="C79" s="288"/>
      <c r="D79" s="288">
        <f t="shared" si="5"/>
        <v>0</v>
      </c>
      <c r="E79" s="289">
        <f>COUNTIF('Awards Summary'!J:J, "OTDA")</f>
        <v>0</v>
      </c>
      <c r="F79" s="288">
        <f>SUMIFS('Awards Summary'!H:H,'Awards Summary'!J:J,"ODTA")</f>
        <v>0</v>
      </c>
      <c r="G79" s="290">
        <f>SUMIFS('Disbursements Summary'!E:E,'Disbursements Summary'!A:A,"OTDA")</f>
        <v>0</v>
      </c>
      <c r="H79" s="306"/>
      <c r="I79" s="291" t="e">
        <f t="shared" si="3"/>
        <v>#DIV/0!</v>
      </c>
    </row>
    <row r="80" spans="1:9" ht="31.5" customHeight="1">
      <c r="A80" s="287" t="str">
        <f t="shared" si="4"/>
        <v>Needs to submit!</v>
      </c>
      <c r="B80" s="315" t="s">
        <v>158</v>
      </c>
      <c r="C80" s="288"/>
      <c r="D80" s="288">
        <f t="shared" si="5"/>
        <v>0</v>
      </c>
      <c r="E80" s="289">
        <f>COUNTIF('Awards Summary'!J:J, "OIG")</f>
        <v>0</v>
      </c>
      <c r="F80" s="288">
        <f>SUMIFS('Awards Summary'!H:H,'Awards Summary'!J:J,"OIG")</f>
        <v>0</v>
      </c>
      <c r="G80" s="290">
        <f>SUMIFS('Disbursements Summary'!E:E,'Disbursements Summary'!A:A,"OIG")</f>
        <v>0</v>
      </c>
      <c r="H80" s="307"/>
      <c r="I80" s="291" t="e">
        <f t="shared" si="3"/>
        <v>#DIV/0!</v>
      </c>
    </row>
    <row r="81" spans="1:9" ht="31.5" customHeight="1">
      <c r="A81" s="287" t="str">
        <f t="shared" si="4"/>
        <v>Needs to submit!</v>
      </c>
      <c r="B81" s="315" t="s">
        <v>123</v>
      </c>
      <c r="C81" s="288"/>
      <c r="D81" s="288">
        <f t="shared" si="5"/>
        <v>0</v>
      </c>
      <c r="E81" s="289">
        <f>COUNTIF('Awards Summary'!J:J, "OMIG")</f>
        <v>0</v>
      </c>
      <c r="F81" s="288">
        <f>SUMIFS('Awards Summary'!H:H,'Awards Summary'!J:J,"OMIG")</f>
        <v>0</v>
      </c>
      <c r="G81" s="157">
        <f>SUMIFS('Disbursements Summary'!E:E,'Disbursements Summary'!A:A,"OMIG")</f>
        <v>0</v>
      </c>
      <c r="H81" s="293"/>
      <c r="I81" s="291" t="e">
        <f t="shared" si="3"/>
        <v>#DIV/0!</v>
      </c>
    </row>
    <row r="82" spans="1:9" ht="31.5" customHeight="1">
      <c r="A82" s="287" t="str">
        <f t="shared" si="4"/>
        <v>Needs to submit!</v>
      </c>
      <c r="B82" s="315" t="s">
        <v>187</v>
      </c>
      <c r="C82" s="288"/>
      <c r="D82" s="288">
        <f t="shared" si="5"/>
        <v>0</v>
      </c>
      <c r="E82" s="289">
        <f>COUNTIF('Awards Summary'!J:J, "OWIG")</f>
        <v>0</v>
      </c>
      <c r="F82" s="288">
        <f>SUMIFS('Awards Summary'!H:H,'Awards Summary'!J:J,"OWIG")</f>
        <v>0</v>
      </c>
      <c r="G82" s="290">
        <f>SUMIFS('Disbursements Summary'!E:E,'Disbursements Summary'!A:A,"OWIG")</f>
        <v>0</v>
      </c>
      <c r="H82" s="190"/>
      <c r="I82" s="291" t="e">
        <f t="shared" si="3"/>
        <v>#DIV/0!</v>
      </c>
    </row>
    <row r="83" spans="1:9" ht="31.5" customHeight="1">
      <c r="A83" s="287" t="str">
        <f t="shared" si="4"/>
        <v>Needs to submit!</v>
      </c>
      <c r="B83" s="316" t="s">
        <v>168</v>
      </c>
      <c r="C83" s="298"/>
      <c r="D83" s="298">
        <f t="shared" si="5"/>
        <v>0</v>
      </c>
      <c r="E83" s="299">
        <f>COUNTIF('Awards Summary'!J:J, "OGDEN")</f>
        <v>0</v>
      </c>
      <c r="F83" s="298">
        <f>SUMIFS('Awards Summary'!H:H,'Awards Summary'!J:J,"OGDEN")</f>
        <v>0</v>
      </c>
      <c r="G83" s="157">
        <f>SUMIFS('Disbursements Summary'!E:E,'Disbursements Summary'!A:A,"OGDEN")</f>
        <v>0</v>
      </c>
      <c r="H83" s="297"/>
      <c r="I83" s="301" t="e">
        <f t="shared" si="3"/>
        <v>#DIV/0!</v>
      </c>
    </row>
    <row r="84" spans="1:9" ht="31.5" customHeight="1">
      <c r="A84" s="287" t="str">
        <f t="shared" si="4"/>
        <v>Needs to submit!</v>
      </c>
      <c r="B84" s="316" t="s">
        <v>174</v>
      </c>
      <c r="C84" s="298"/>
      <c r="D84" s="298">
        <f t="shared" si="5"/>
        <v>0</v>
      </c>
      <c r="E84" s="299">
        <f>COUNTIF('Awards Summary'!J:J, "ORDA")</f>
        <v>0</v>
      </c>
      <c r="F84" s="298">
        <f>SUMIFS('Awards Summary'!H:H,'Awards Summary'!J:J,"ORDA")</f>
        <v>0</v>
      </c>
      <c r="G84" s="157">
        <f>SUMIFS('Disbursements Summary'!E:E,'Disbursements Summary'!A:A,"ORDA")</f>
        <v>0</v>
      </c>
      <c r="H84" s="157"/>
      <c r="I84" s="301" t="e">
        <f t="shared" si="3"/>
        <v>#DIV/0!</v>
      </c>
    </row>
    <row r="85" spans="1:9" ht="31.5" customHeight="1">
      <c r="A85" s="287" t="str">
        <f t="shared" si="4"/>
        <v>Needs to submit!</v>
      </c>
      <c r="B85" s="315" t="s">
        <v>175</v>
      </c>
      <c r="C85" s="288"/>
      <c r="D85" s="288">
        <f t="shared" si="5"/>
        <v>0</v>
      </c>
      <c r="E85" s="289">
        <f>COUNTIF('Awards Summary'!J:J, "OSWEGO")</f>
        <v>0</v>
      </c>
      <c r="F85" s="288">
        <f>SUMIFS('Awards Summary'!H:H,'Awards Summary'!J:J,"OSWEGO")</f>
        <v>0</v>
      </c>
      <c r="G85" s="290">
        <f>SUMIFS('Disbursements Summary'!E:E,'Disbursements Summary'!A:A,"OSWEGO")</f>
        <v>0</v>
      </c>
      <c r="H85" s="190"/>
      <c r="I85" s="291" t="e">
        <f t="shared" si="3"/>
        <v>#DIV/0!</v>
      </c>
    </row>
    <row r="86" spans="1:9" ht="31.5" customHeight="1">
      <c r="A86" s="287" t="str">
        <f t="shared" si="4"/>
        <v>Needs to submit!</v>
      </c>
      <c r="B86" s="315" t="s">
        <v>177</v>
      </c>
      <c r="C86" s="288"/>
      <c r="D86" s="288">
        <f t="shared" si="5"/>
        <v>0</v>
      </c>
      <c r="E86" s="289">
        <f>COUNTIF('Awards Summary'!J:J, "PERB")</f>
        <v>0</v>
      </c>
      <c r="F86" s="288">
        <f>SUMIFS('Awards Summary'!H:H,'Awards Summary'!J:J,"PERB")</f>
        <v>0</v>
      </c>
      <c r="G86" s="290">
        <f>SUMIFS('Disbursements Summary'!E:E,'Disbursements Summary'!A:A,"PERB")</f>
        <v>0</v>
      </c>
      <c r="H86" s="307"/>
      <c r="I86" s="291" t="e">
        <f t="shared" si="3"/>
        <v>#DIV/0!</v>
      </c>
    </row>
    <row r="87" spans="1:9" ht="31.5" customHeight="1">
      <c r="A87" s="287" t="str">
        <f t="shared" si="4"/>
        <v>Needs to submit!</v>
      </c>
      <c r="B87" s="315" t="s">
        <v>178</v>
      </c>
      <c r="C87" s="288"/>
      <c r="D87" s="288">
        <f t="shared" si="5"/>
        <v>0</v>
      </c>
      <c r="E87" s="289">
        <f>COUNTIF('Awards Summary'!J:J, "RGRTA")</f>
        <v>0</v>
      </c>
      <c r="F87" s="288">
        <f>SUMIFS('Awards Summary'!H:H,'Awards Summary'!J:J,"RGRTA")</f>
        <v>0</v>
      </c>
      <c r="G87" s="157">
        <f>SUMIFS('Disbursements Summary'!E:E,'Disbursements Summary'!A:A,"RGRTA")</f>
        <v>0</v>
      </c>
      <c r="H87" s="297"/>
      <c r="I87" s="291" t="e">
        <f t="shared" si="3"/>
        <v>#DIV/0!</v>
      </c>
    </row>
    <row r="88" spans="1:9" ht="31.5" customHeight="1">
      <c r="A88" s="287" t="str">
        <f t="shared" si="4"/>
        <v>Needs to submit!</v>
      </c>
      <c r="B88" s="315" t="s">
        <v>179</v>
      </c>
      <c r="C88" s="288"/>
      <c r="D88" s="288">
        <f t="shared" si="5"/>
        <v>0</v>
      </c>
      <c r="E88" s="289">
        <f>COUNTIF('Awards Summary'!J:J, "RIOC")</f>
        <v>0</v>
      </c>
      <c r="F88" s="288">
        <f>SUMIFS('Awards Summary'!H:H,'Awards Summary'!J:J,"RIOC")</f>
        <v>0</v>
      </c>
      <c r="G88" s="157">
        <f>SUMIFS('Disbursements Summary'!E:E,'Disbursements Summary'!A:A,"RIOC")</f>
        <v>0</v>
      </c>
      <c r="H88" s="157"/>
      <c r="I88" s="291" t="e">
        <f t="shared" si="3"/>
        <v>#DIV/0!</v>
      </c>
    </row>
    <row r="89" spans="1:9" ht="31.5" customHeight="1">
      <c r="A89" s="392" t="str">
        <f t="shared" si="4"/>
        <v>Needs to submit!</v>
      </c>
      <c r="B89" s="326" t="s">
        <v>180</v>
      </c>
      <c r="C89" s="327"/>
      <c r="D89" s="327">
        <f t="shared" si="5"/>
        <v>0</v>
      </c>
      <c r="E89" s="328">
        <f>COUNTIF('Awards Summary'!J:J, "RPCI")</f>
        <v>0</v>
      </c>
      <c r="F89" s="327">
        <f>SUMIFS('Awards Summary'!H:H,'Awards Summary'!J:J,"RPCI")</f>
        <v>0</v>
      </c>
      <c r="G89" s="327">
        <f>SUMIFS('Disbursements Summary'!E:E,'Disbursements Summary'!A:A,"RPCI")</f>
        <v>0</v>
      </c>
      <c r="H89" s="327"/>
      <c r="I89" s="329" t="e">
        <f t="shared" si="3"/>
        <v>#DIV/0!</v>
      </c>
    </row>
    <row r="90" spans="1:9" ht="31.5" customHeight="1">
      <c r="A90" s="287" t="str">
        <f t="shared" si="4"/>
        <v>Needs to submit!</v>
      </c>
      <c r="B90" s="315" t="s">
        <v>181</v>
      </c>
      <c r="C90" s="288"/>
      <c r="D90" s="288">
        <f t="shared" si="5"/>
        <v>0</v>
      </c>
      <c r="E90" s="289">
        <f>COUNTIF('Awards Summary'!J:J, "SMDA")</f>
        <v>0</v>
      </c>
      <c r="F90" s="288">
        <f>SUMIFS('Awards Summary'!H:H,'Awards Summary'!J:J,"SMDA")</f>
        <v>0</v>
      </c>
      <c r="G90" s="288">
        <f>SUMIFS('Disbursements Summary'!E:E,'Disbursements Summary'!A:A,"SMDA")</f>
        <v>0</v>
      </c>
      <c r="H90" s="288"/>
      <c r="I90" s="291" t="e">
        <f t="shared" si="3"/>
        <v>#DIV/0!</v>
      </c>
    </row>
    <row r="91" spans="1:9" ht="31.5" customHeight="1">
      <c r="A91" s="287" t="str">
        <f t="shared" si="4"/>
        <v>Needs to submit!</v>
      </c>
      <c r="B91" s="315" t="s">
        <v>133</v>
      </c>
      <c r="C91" s="287"/>
      <c r="D91" s="157">
        <f t="shared" si="5"/>
        <v>0</v>
      </c>
      <c r="E91" s="289">
        <f>COUNTIF('Awards Summary'!J:J, "SCOC")</f>
        <v>0</v>
      </c>
      <c r="F91" s="288">
        <f>SUMIFS('Awards Summary'!H:H,'Awards Summary'!J:J,"SCOC")</f>
        <v>0</v>
      </c>
      <c r="G91" s="288">
        <f>SUMIFS('Disbursements Summary'!E:E,'Disbursements Summary'!A:A,"SCOC")</f>
        <v>0</v>
      </c>
      <c r="H91" s="288"/>
      <c r="I91" s="287" t="e">
        <f t="shared" si="3"/>
        <v>#DIV/0!</v>
      </c>
    </row>
    <row r="92" spans="1:9" ht="31.5" customHeight="1">
      <c r="A92" s="287" t="str">
        <f t="shared" si="4"/>
        <v>Needs to submit!</v>
      </c>
      <c r="B92" s="315" t="s">
        <v>182</v>
      </c>
      <c r="C92" s="288"/>
      <c r="D92" s="288">
        <f t="shared" si="5"/>
        <v>0</v>
      </c>
      <c r="E92" s="289">
        <f>COUNTIF('Awards Summary'!J:J, "SUCF")</f>
        <v>0</v>
      </c>
      <c r="F92" s="288">
        <f>SUMIFS('Awards Summary'!H:H,'Awards Summary'!J:J,"SUCF")</f>
        <v>0</v>
      </c>
      <c r="G92" s="288">
        <f>SUMIFS('Disbursements Summary'!E:E,'Disbursements Summary'!A:A,"SUCF")</f>
        <v>0</v>
      </c>
      <c r="H92" s="288"/>
      <c r="I92" s="291" t="e">
        <f>(G92/H92)</f>
        <v>#DIV/0!</v>
      </c>
    </row>
    <row r="93" spans="1:9" ht="31.5" customHeight="1">
      <c r="A93" s="287" t="str">
        <f t="shared" si="4"/>
        <v>Needs to submit!</v>
      </c>
      <c r="B93" s="315" t="s">
        <v>17</v>
      </c>
      <c r="C93" s="288"/>
      <c r="D93" s="288">
        <f t="shared" si="5"/>
        <v>0</v>
      </c>
      <c r="E93" s="289">
        <f>COUNTIF('Awards Summary'!J:J, "SUNY")</f>
        <v>0</v>
      </c>
      <c r="F93" s="288">
        <f>SUMIFS('Awards Summary'!H:H,'Awards Summary'!J:J,"SUNY")</f>
        <v>0</v>
      </c>
      <c r="G93" s="288">
        <f>SUMIFS('Disbursements Summary'!E:E,'Disbursements Summary'!A:A,"SUNY")</f>
        <v>0</v>
      </c>
      <c r="H93" s="288"/>
      <c r="I93" s="291" t="e">
        <f t="shared" si="3"/>
        <v>#DIV/0!</v>
      </c>
    </row>
    <row r="94" spans="1:9" ht="31.5" customHeight="1">
      <c r="A94" s="287" t="str">
        <f t="shared" si="4"/>
        <v>Needs to submit!</v>
      </c>
      <c r="B94" s="315" t="s">
        <v>184</v>
      </c>
      <c r="C94" s="288"/>
      <c r="D94" s="288">
        <f t="shared" si="5"/>
        <v>0</v>
      </c>
      <c r="E94" s="289">
        <f>COUNTIF('Awards Summary'!J:J, "SRAA")</f>
        <v>0</v>
      </c>
      <c r="F94" s="288">
        <f>SUMIFS('Awards Summary'!H:H,'Awards Summary'!J:J,"SRAA")</f>
        <v>0</v>
      </c>
      <c r="G94" s="325">
        <f>SUMIFS('Disbursements Summary'!E:E,'Disbursements Summary'!A:A,"SRAA")</f>
        <v>0</v>
      </c>
      <c r="H94" s="393"/>
      <c r="I94" s="291" t="e">
        <f t="shared" si="3"/>
        <v>#DIV/0!</v>
      </c>
    </row>
    <row r="95" spans="1:9" ht="31.5" customHeight="1">
      <c r="A95" s="287" t="str">
        <f t="shared" si="4"/>
        <v>Needs to submit!</v>
      </c>
      <c r="B95" s="315" t="s">
        <v>115</v>
      </c>
      <c r="C95" s="288"/>
      <c r="D95" s="288">
        <f t="shared" si="5"/>
        <v>0</v>
      </c>
      <c r="E95" s="289">
        <f>COUNTIF('Awards Summary'!J:J, "UNDC")</f>
        <v>0</v>
      </c>
      <c r="F95" s="288">
        <f>SUMIFS('Awards Summary'!H:H,'Awards Summary'!J:J,"UNDC")</f>
        <v>0</v>
      </c>
      <c r="G95" s="325">
        <f>SUMIFS('Disbursements Summary'!E:E,'Disbursements Summary'!A:A,"UNDC")</f>
        <v>0</v>
      </c>
      <c r="H95" s="324"/>
      <c r="I95" s="291" t="e">
        <f t="shared" si="3"/>
        <v>#DIV/0!</v>
      </c>
    </row>
    <row r="96" spans="1:9" s="302" customFormat="1" ht="31.5" customHeight="1">
      <c r="A96" s="392" t="str">
        <f t="shared" si="4"/>
        <v>Needs to submit!</v>
      </c>
      <c r="B96" s="394" t="s">
        <v>190</v>
      </c>
      <c r="C96" s="395"/>
      <c r="D96" s="395">
        <f t="shared" si="5"/>
        <v>0</v>
      </c>
      <c r="E96" s="396">
        <f>COUNTIF('Awards Summary'!J:J, "MVWA")</f>
        <v>0</v>
      </c>
      <c r="F96" s="395">
        <f>SUMIFS('Awards Summary'!H:H,'Awards Summary'!J:J,"MVWA")</f>
        <v>0</v>
      </c>
      <c r="G96" s="395">
        <f>SUMIFS('Disbursements Summary'!E:E,'Disbursements Summary'!A:A,"MVWA")</f>
        <v>0</v>
      </c>
      <c r="H96" s="397"/>
      <c r="I96" s="398" t="e">
        <f t="shared" si="3"/>
        <v>#DIV/0!</v>
      </c>
    </row>
    <row r="97" spans="1:9" ht="31.5" customHeight="1">
      <c r="A97" s="287" t="str">
        <f t="shared" si="4"/>
        <v>Needs to submit!</v>
      </c>
      <c r="B97" s="315" t="s">
        <v>189</v>
      </c>
      <c r="C97" s="288"/>
      <c r="D97" s="288">
        <f t="shared" si="5"/>
        <v>0</v>
      </c>
      <c r="E97" s="289">
        <f>COUNTIF('Awards Summary'!J:J, "WMC")</f>
        <v>0</v>
      </c>
      <c r="F97" s="288">
        <f>SUMIFS('Awards Summary'!H:H,'Awards Summary'!J:J,"WMC")</f>
        <v>0</v>
      </c>
      <c r="G97" s="288">
        <f>SUMIFS('Disbursements Summary'!E:E,'Disbursements Summary'!A:A,"WMC")</f>
        <v>0</v>
      </c>
      <c r="H97" s="288"/>
      <c r="I97" s="291" t="e">
        <f t="shared" si="3"/>
        <v>#DIV/0!</v>
      </c>
    </row>
    <row r="98" spans="1:9" ht="31.5" customHeight="1">
      <c r="A98" s="287" t="str">
        <f t="shared" si="4"/>
        <v>Needs to submit!</v>
      </c>
      <c r="B98" s="315" t="s">
        <v>233</v>
      </c>
      <c r="C98" s="288"/>
      <c r="D98" s="288">
        <f t="shared" si="5"/>
        <v>0</v>
      </c>
      <c r="E98" s="289">
        <f>COUNTIF('Awards Summary'!J:J, "WCB")</f>
        <v>0</v>
      </c>
      <c r="F98" s="288">
        <f>SUMIFS('Awards Summary'!H:H,'Awards Summary'!J:J,"WCB")</f>
        <v>0</v>
      </c>
      <c r="G98" s="288">
        <f>SUMIFS('Disbursements Summary'!E:E,'Disbursements Summary'!A:A,"WCB")</f>
        <v>0</v>
      </c>
      <c r="H98" s="324"/>
      <c r="I98" s="291" t="e">
        <f t="shared" si="3"/>
        <v>#DIV/0!</v>
      </c>
    </row>
    <row r="99" spans="1:9" ht="31.5" customHeight="1">
      <c r="A99" s="287" t="str">
        <f t="shared" si="4"/>
        <v>Needs to submit!</v>
      </c>
      <c r="B99" s="315" t="s">
        <v>254</v>
      </c>
      <c r="C99" s="288"/>
      <c r="D99" s="288">
        <f t="shared" si="5"/>
        <v>0</v>
      </c>
      <c r="E99" s="289">
        <f>COUNTIF('Awards Summary'!J:J, "OSC")</f>
        <v>0</v>
      </c>
      <c r="F99" s="288">
        <f>SUMIFS('Awards Summary'!H:H,'Awards Summary'!J:J,"OSC")</f>
        <v>0</v>
      </c>
      <c r="G99" s="288">
        <f>SUMIFS('Disbursements Summary'!E:E,'Disbursements Summary'!A:A,"OSC")</f>
        <v>0</v>
      </c>
      <c r="H99" s="324"/>
      <c r="I99" s="291" t="e">
        <f>(G99/H99)</f>
        <v>#DIV/0!</v>
      </c>
    </row>
    <row r="100" spans="1:9">
      <c r="A100" s="287" t="str">
        <f t="shared" si="4"/>
        <v/>
      </c>
      <c r="B100" s="317" t="s">
        <v>52</v>
      </c>
      <c r="C100" s="309">
        <f t="shared" ref="C100:H100" si="6">SUM(C1:C99)</f>
        <v>0</v>
      </c>
      <c r="D100" s="309">
        <f t="shared" si="6"/>
        <v>0</v>
      </c>
      <c r="E100" s="310">
        <f t="shared" si="6"/>
        <v>0</v>
      </c>
      <c r="F100" s="309">
        <f t="shared" si="6"/>
        <v>0</v>
      </c>
      <c r="G100" s="309">
        <f t="shared" si="6"/>
        <v>0</v>
      </c>
      <c r="H100" s="309">
        <f t="shared" si="6"/>
        <v>0</v>
      </c>
      <c r="I100" s="311" t="e">
        <f>(G100/H100)</f>
        <v>#DIV/0!</v>
      </c>
    </row>
    <row r="102" spans="1:9">
      <c r="B102" s="318" t="s">
        <v>485</v>
      </c>
      <c r="C102" s="312">
        <f>COUNTIF(A:A,"Needs to submit!")</f>
        <v>98</v>
      </c>
    </row>
    <row r="103" spans="1:9" ht="37.5" customHeight="1"/>
  </sheetData>
  <autoFilter ref="A1:A102">
    <sortState ref="A2:I102">
      <sortCondition sortBy="cellColor" ref="A1:A102" dxfId="0"/>
    </sortState>
  </autoFilter>
  <sortState ref="A2:I99">
    <sortCondition ref="B2"/>
  </sortState>
  <pageMargins left="0.7" right="0.7" top="0.75" bottom="0.75" header="0.3" footer="0.3"/>
  <pageSetup scale="79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FD155"/>
  <sheetViews>
    <sheetView zoomScale="70" zoomScaleNormal="70" workbookViewId="0">
      <pane ySplit="1" topLeftCell="A2" activePane="bottomLeft" state="frozen"/>
      <selection pane="bottomLeft" activeCell="H159" sqref="H159"/>
    </sheetView>
  </sheetViews>
  <sheetFormatPr defaultRowHeight="15"/>
  <cols>
    <col min="1" max="1" width="10.140625" style="15" bestFit="1" customWidth="1"/>
    <col min="2" max="2" width="72.85546875" style="24" customWidth="1"/>
    <col min="3" max="3" width="35.28515625" style="39" customWidth="1"/>
    <col min="4" max="4" width="17" style="39" customWidth="1"/>
    <col min="5" max="5" width="19.42578125" style="48" customWidth="1"/>
    <col min="6" max="6" width="24.42578125" style="48" customWidth="1"/>
    <col min="7" max="7" width="11.140625" style="24" bestFit="1" customWidth="1"/>
    <col min="8" max="8" width="42.28515625" style="24" customWidth="1"/>
    <col min="9" max="9" width="50.140625" style="24" bestFit="1" customWidth="1"/>
    <col min="10" max="10" width="78" style="24" bestFit="1" customWidth="1"/>
    <col min="11" max="11" width="51.5703125" style="24" bestFit="1" customWidth="1"/>
    <col min="12" max="12" width="27.7109375" style="24" bestFit="1" customWidth="1"/>
    <col min="13" max="13" width="34.140625" style="24" bestFit="1" customWidth="1"/>
    <col min="14" max="17" width="35.5703125" style="24" bestFit="1" customWidth="1"/>
    <col min="18" max="19" width="29" style="24" bestFit="1" customWidth="1"/>
    <col min="20" max="20" width="36.140625" style="24" bestFit="1" customWidth="1"/>
    <col min="21" max="21" width="31.85546875" style="24" bestFit="1" customWidth="1"/>
    <col min="22" max="22" width="27.28515625" style="24" bestFit="1" customWidth="1"/>
    <col min="23" max="23" width="34.42578125" style="24" bestFit="1" customWidth="1"/>
    <col min="24" max="24" width="32.7109375" style="24" bestFit="1" customWidth="1"/>
    <col min="25" max="25" width="42.7109375" style="24" bestFit="1" customWidth="1"/>
    <col min="26" max="27" width="42.5703125" style="24" bestFit="1" customWidth="1"/>
    <col min="28" max="29" width="39" style="24" bestFit="1" customWidth="1"/>
    <col min="30" max="30" width="30.140625" style="24" bestFit="1" customWidth="1"/>
    <col min="31" max="31" width="36.140625" style="24" bestFit="1" customWidth="1"/>
    <col min="32" max="32" width="29.140625" style="24" bestFit="1" customWidth="1"/>
    <col min="33" max="33" width="37.7109375" style="24" bestFit="1" customWidth="1"/>
    <col min="34" max="34" width="21.5703125" style="24" bestFit="1" customWidth="1"/>
    <col min="35" max="35" width="29.85546875" style="24" bestFit="1" customWidth="1"/>
    <col min="36" max="37" width="39.42578125" style="24" bestFit="1" customWidth="1"/>
    <col min="38" max="39" width="34.85546875" style="24" bestFit="1" customWidth="1"/>
    <col min="40" max="40" width="36.85546875" style="24" bestFit="1" customWidth="1"/>
    <col min="41" max="41" width="44" style="24" bestFit="1" customWidth="1"/>
    <col min="42" max="42" width="30.140625" style="24" bestFit="1" customWidth="1"/>
    <col min="43" max="43" width="27.28515625" style="24" bestFit="1" customWidth="1"/>
    <col min="44" max="45" width="32" style="24" bestFit="1" customWidth="1"/>
    <col min="46" max="46" width="26.28515625" style="24" bestFit="1" customWidth="1"/>
    <col min="47" max="47" width="35.5703125" style="24" bestFit="1" customWidth="1"/>
    <col min="48" max="48" width="23.7109375" style="24" bestFit="1" customWidth="1"/>
    <col min="49" max="49" width="31.140625" style="24" bestFit="1" customWidth="1"/>
    <col min="50" max="51" width="29.7109375" style="24" bestFit="1" customWidth="1"/>
    <col min="52" max="52" width="25.42578125" style="24" bestFit="1" customWidth="1"/>
    <col min="53" max="53" width="33" style="24" bestFit="1" customWidth="1"/>
    <col min="54" max="54" width="24" style="24" bestFit="1" customWidth="1"/>
    <col min="55" max="55" width="38.7109375" style="24" bestFit="1" customWidth="1"/>
    <col min="56" max="56" width="37.28515625" style="24" bestFit="1" customWidth="1"/>
    <col min="57" max="57" width="29.42578125" style="24" bestFit="1" customWidth="1"/>
    <col min="58" max="58" width="28" style="24" bestFit="1" customWidth="1"/>
    <col min="59" max="59" width="36.85546875" style="24" bestFit="1" customWidth="1"/>
    <col min="60" max="61" width="39.42578125" style="24" bestFit="1" customWidth="1"/>
    <col min="62" max="63" width="38.42578125" style="24" bestFit="1" customWidth="1"/>
    <col min="64" max="65" width="28" style="24" bestFit="1" customWidth="1"/>
    <col min="66" max="66" width="29.7109375" style="24" bestFit="1" customWidth="1"/>
    <col min="67" max="67" width="39.140625" style="24" bestFit="1" customWidth="1"/>
    <col min="68" max="69" width="46.85546875" style="24" bestFit="1" customWidth="1"/>
    <col min="70" max="71" width="28" style="24" bestFit="1" customWidth="1"/>
    <col min="72" max="73" width="36.85546875" style="24" bestFit="1" customWidth="1"/>
    <col min="74" max="74" width="26.140625" style="24" bestFit="1" customWidth="1"/>
    <col min="75" max="75" width="32" style="24" bestFit="1" customWidth="1"/>
    <col min="76" max="76" width="29.85546875" style="24" bestFit="1" customWidth="1"/>
    <col min="77" max="77" width="37" style="24" bestFit="1" customWidth="1"/>
    <col min="78" max="78" width="34.42578125" style="24" bestFit="1" customWidth="1"/>
    <col min="79" max="79" width="42.28515625" style="24" bestFit="1" customWidth="1"/>
    <col min="80" max="81" width="34" style="24" bestFit="1" customWidth="1"/>
    <col min="82" max="83" width="36.140625" style="24" bestFit="1" customWidth="1"/>
    <col min="84" max="84" width="28.7109375" style="24" bestFit="1" customWidth="1"/>
    <col min="85" max="85" width="39.42578125" style="24" bestFit="1" customWidth="1"/>
    <col min="86" max="86" width="28.7109375" style="24" bestFit="1" customWidth="1"/>
    <col min="87" max="87" width="38.7109375" style="24" bestFit="1" customWidth="1"/>
    <col min="88" max="89" width="29.7109375" style="24" bestFit="1" customWidth="1"/>
    <col min="90" max="91" width="36.140625" style="24" bestFit="1" customWidth="1"/>
    <col min="92" max="93" width="35.140625" style="24" bestFit="1" customWidth="1"/>
    <col min="94" max="94" width="33.42578125" style="24" bestFit="1" customWidth="1"/>
    <col min="95" max="95" width="36.140625" style="24" bestFit="1" customWidth="1"/>
    <col min="96" max="96" width="30.42578125" style="24" bestFit="1" customWidth="1"/>
    <col min="97" max="97" width="38.42578125" style="24" bestFit="1" customWidth="1"/>
    <col min="98" max="98" width="43.28515625" style="24" bestFit="1" customWidth="1"/>
    <col min="99" max="99" width="57.28515625" style="24" bestFit="1" customWidth="1"/>
    <col min="100" max="101" width="27.28515625" style="24" bestFit="1" customWidth="1"/>
    <col min="102" max="103" width="39.85546875" style="24" bestFit="1" customWidth="1"/>
    <col min="104" max="105" width="35.5703125" style="24" bestFit="1" customWidth="1"/>
    <col min="106" max="107" width="34.85546875" style="24" bestFit="1" customWidth="1"/>
    <col min="108" max="109" width="38" style="24" bestFit="1" customWidth="1"/>
    <col min="110" max="110" width="47.7109375" style="24" bestFit="1" customWidth="1"/>
    <col min="111" max="111" width="48" style="24" bestFit="1" customWidth="1"/>
    <col min="112" max="112" width="28.7109375" style="24" bestFit="1" customWidth="1"/>
    <col min="113" max="113" width="37" style="24" bestFit="1" customWidth="1"/>
    <col min="114" max="115" width="30.42578125" style="24" bestFit="1" customWidth="1"/>
    <col min="116" max="117" width="27" style="24" bestFit="1" customWidth="1"/>
    <col min="118" max="118" width="33.7109375" style="24" bestFit="1" customWidth="1"/>
    <col min="119" max="119" width="43.7109375" style="24" bestFit="1" customWidth="1"/>
    <col min="120" max="121" width="28.42578125" style="24" bestFit="1" customWidth="1"/>
    <col min="122" max="123" width="31.28515625" style="24" bestFit="1" customWidth="1"/>
    <col min="124" max="125" width="28.7109375" style="24" bestFit="1" customWidth="1"/>
    <col min="126" max="126" width="29" style="24" bestFit="1" customWidth="1"/>
    <col min="127" max="127" width="34.7109375" style="24" bestFit="1" customWidth="1"/>
    <col min="128" max="128" width="46.28515625" style="24" bestFit="1" customWidth="1"/>
    <col min="129" max="129" width="39" style="24" bestFit="1" customWidth="1"/>
    <col min="130" max="130" width="43.28515625" style="24" bestFit="1" customWidth="1"/>
    <col min="131" max="131" width="50.5703125" style="24" bestFit="1" customWidth="1"/>
    <col min="132" max="133" width="56.85546875" style="24" bestFit="1" customWidth="1"/>
    <col min="134" max="134" width="28" style="24" bestFit="1" customWidth="1"/>
    <col min="135" max="135" width="33.7109375" style="24" bestFit="1" customWidth="1"/>
    <col min="136" max="136" width="59" style="24" bestFit="1" customWidth="1"/>
    <col min="137" max="137" width="64.7109375" style="24" bestFit="1" customWidth="1"/>
    <col min="138" max="138" width="28.7109375" style="24" bestFit="1" customWidth="1"/>
    <col min="139" max="139" width="36.5703125" style="24" bestFit="1" customWidth="1"/>
    <col min="140" max="140" width="37.5703125" style="24" bestFit="1" customWidth="1"/>
    <col min="141" max="141" width="28.42578125" style="24" bestFit="1" customWidth="1"/>
    <col min="142" max="142" width="27" style="24" bestFit="1" customWidth="1"/>
    <col min="143" max="143" width="44.140625" style="24" bestFit="1" customWidth="1"/>
    <col min="144" max="145" width="29" style="24" bestFit="1" customWidth="1"/>
    <col min="146" max="147" width="31.140625" style="24" bestFit="1" customWidth="1"/>
    <col min="148" max="148" width="29.85546875" style="24" bestFit="1" customWidth="1"/>
    <col min="149" max="149" width="40.42578125" style="24" bestFit="1" customWidth="1"/>
    <col min="150" max="151" width="27.7109375" style="24" bestFit="1" customWidth="1"/>
    <col min="152" max="153" width="43.7109375" style="24" bestFit="1" customWidth="1"/>
    <col min="154" max="154" width="28.7109375" style="24" bestFit="1" customWidth="1"/>
    <col min="155" max="155" width="38.28515625" style="24" bestFit="1" customWidth="1"/>
    <col min="156" max="157" width="28.42578125" style="24" bestFit="1" customWidth="1"/>
    <col min="158" max="159" width="25.42578125" style="24" bestFit="1" customWidth="1"/>
    <col min="160" max="161" width="41.140625" style="24" bestFit="1" customWidth="1"/>
    <col min="162" max="162" width="34" style="24" bestFit="1" customWidth="1"/>
    <col min="163" max="163" width="37.7109375" style="24" bestFit="1" customWidth="1"/>
    <col min="164" max="165" width="39" style="24" bestFit="1" customWidth="1"/>
    <col min="166" max="166" width="34.42578125" style="24" bestFit="1" customWidth="1"/>
    <col min="167" max="167" width="43" style="24" customWidth="1"/>
    <col min="168" max="168" width="32.7109375" style="24" customWidth="1"/>
    <col min="169" max="169" width="41.28515625" style="24" bestFit="1" customWidth="1"/>
    <col min="170" max="171" width="38.42578125" style="24" bestFit="1" customWidth="1"/>
    <col min="172" max="172" width="25.42578125" style="24" bestFit="1" customWidth="1"/>
    <col min="173" max="173" width="35.5703125" style="24" bestFit="1" customWidth="1"/>
    <col min="174" max="174" width="28" style="24" bestFit="1" customWidth="1"/>
    <col min="175" max="175" width="29" style="24" bestFit="1" customWidth="1"/>
    <col min="176" max="176" width="32" style="24" bestFit="1" customWidth="1"/>
    <col min="177" max="177" width="39" style="24" bestFit="1" customWidth="1"/>
    <col min="178" max="179" width="48" style="24" bestFit="1" customWidth="1"/>
    <col min="180" max="180" width="29.7109375" style="24" bestFit="1" customWidth="1"/>
    <col min="181" max="181" width="37.7109375" style="24" bestFit="1" customWidth="1"/>
    <col min="182" max="182" width="39.7109375" style="24" bestFit="1" customWidth="1"/>
    <col min="183" max="183" width="32" style="24" bestFit="1" customWidth="1"/>
    <col min="184" max="184" width="25.5703125" style="24" bestFit="1" customWidth="1"/>
    <col min="185" max="185" width="40.140625" style="24" bestFit="1" customWidth="1"/>
    <col min="186" max="187" width="34.140625" style="24" bestFit="1" customWidth="1"/>
    <col min="188" max="188" width="31.85546875" style="24" bestFit="1" customWidth="1"/>
    <col min="189" max="189" width="37.5703125" style="24" bestFit="1" customWidth="1"/>
    <col min="190" max="191" width="30.5703125" style="24" bestFit="1" customWidth="1"/>
    <col min="192" max="192" width="28.42578125" style="24" bestFit="1" customWidth="1"/>
    <col min="193" max="193" width="38.42578125" style="24" bestFit="1" customWidth="1"/>
    <col min="194" max="195" width="31.28515625" style="24" bestFit="1" customWidth="1"/>
    <col min="196" max="196" width="29.85546875" style="24" bestFit="1" customWidth="1"/>
    <col min="197" max="197" width="39.85546875" style="24" bestFit="1" customWidth="1"/>
    <col min="198" max="198" width="35.140625" style="24" bestFit="1" customWidth="1"/>
    <col min="199" max="199" width="38" style="24" bestFit="1" customWidth="1"/>
    <col min="200" max="201" width="33.28515625" style="24" bestFit="1" customWidth="1"/>
    <col min="202" max="202" width="19.42578125" style="24" bestFit="1" customWidth="1"/>
    <col min="203" max="203" width="19.85546875" style="24" bestFit="1" customWidth="1"/>
    <col min="204" max="204" width="18.42578125" style="24" bestFit="1" customWidth="1"/>
    <col min="205" max="205" width="19" style="24" bestFit="1" customWidth="1"/>
    <col min="206" max="16384" width="9.140625" style="24"/>
  </cols>
  <sheetData>
    <row r="1" spans="1:207" ht="60">
      <c r="A1" s="33" t="s">
        <v>228</v>
      </c>
      <c r="B1" s="34" t="s">
        <v>18</v>
      </c>
      <c r="C1" s="35" t="s">
        <v>19</v>
      </c>
      <c r="D1" s="35" t="s">
        <v>93</v>
      </c>
      <c r="E1" s="44" t="s">
        <v>37</v>
      </c>
      <c r="F1" s="44" t="s">
        <v>38</v>
      </c>
      <c r="H1" s="49" t="s">
        <v>260</v>
      </c>
      <c r="I1" s="50" t="s">
        <v>261</v>
      </c>
      <c r="J1" s="49" t="s">
        <v>262</v>
      </c>
      <c r="K1" s="50" t="s">
        <v>263</v>
      </c>
      <c r="L1" s="49" t="s">
        <v>264</v>
      </c>
      <c r="M1" s="50" t="s">
        <v>265</v>
      </c>
      <c r="N1" s="49" t="s">
        <v>266</v>
      </c>
      <c r="O1" s="50" t="s">
        <v>267</v>
      </c>
      <c r="P1" s="49" t="s">
        <v>268</v>
      </c>
      <c r="Q1" s="50" t="s">
        <v>269</v>
      </c>
      <c r="R1" s="49" t="s">
        <v>270</v>
      </c>
      <c r="S1" s="50" t="s">
        <v>271</v>
      </c>
      <c r="T1" s="49" t="s">
        <v>272</v>
      </c>
      <c r="U1" s="50" t="s">
        <v>273</v>
      </c>
      <c r="V1" s="49" t="s">
        <v>274</v>
      </c>
      <c r="W1" s="50" t="s">
        <v>275</v>
      </c>
      <c r="X1" s="49" t="s">
        <v>276</v>
      </c>
      <c r="Y1" s="50" t="s">
        <v>277</v>
      </c>
      <c r="Z1" s="49" t="s">
        <v>278</v>
      </c>
      <c r="AA1" s="50" t="s">
        <v>279</v>
      </c>
      <c r="AB1" s="49" t="s">
        <v>280</v>
      </c>
      <c r="AC1" s="50" t="s">
        <v>281</v>
      </c>
      <c r="AD1" s="49" t="s">
        <v>282</v>
      </c>
      <c r="AE1" s="50" t="s">
        <v>283</v>
      </c>
      <c r="AF1" s="49" t="s">
        <v>284</v>
      </c>
      <c r="AG1" s="50" t="s">
        <v>285</v>
      </c>
      <c r="AH1" s="49" t="s">
        <v>286</v>
      </c>
      <c r="AI1" s="50" t="s">
        <v>287</v>
      </c>
      <c r="AJ1" s="49" t="s">
        <v>288</v>
      </c>
      <c r="AK1" s="50" t="s">
        <v>289</v>
      </c>
      <c r="AL1" s="49" t="s">
        <v>290</v>
      </c>
      <c r="AM1" s="50" t="s">
        <v>291</v>
      </c>
      <c r="AN1" s="49" t="s">
        <v>292</v>
      </c>
      <c r="AO1" s="50" t="s">
        <v>293</v>
      </c>
      <c r="AP1" s="49" t="s">
        <v>294</v>
      </c>
      <c r="AQ1" s="50" t="s">
        <v>295</v>
      </c>
      <c r="AR1" s="49" t="s">
        <v>296</v>
      </c>
      <c r="AS1" s="50" t="s">
        <v>297</v>
      </c>
      <c r="AT1" s="49" t="s">
        <v>298</v>
      </c>
      <c r="AU1" s="50" t="s">
        <v>299</v>
      </c>
      <c r="AV1" s="49" t="s">
        <v>300</v>
      </c>
      <c r="AW1" s="50" t="s">
        <v>301</v>
      </c>
      <c r="AX1" s="49" t="s">
        <v>302</v>
      </c>
      <c r="AY1" s="50" t="s">
        <v>303</v>
      </c>
      <c r="AZ1" s="49" t="s">
        <v>304</v>
      </c>
      <c r="BA1" s="50" t="s">
        <v>305</v>
      </c>
      <c r="BB1" s="49" t="s">
        <v>306</v>
      </c>
      <c r="BC1" s="50" t="s">
        <v>307</v>
      </c>
      <c r="BD1" s="49" t="s">
        <v>308</v>
      </c>
      <c r="BE1" s="50" t="s">
        <v>309</v>
      </c>
      <c r="BF1" s="49" t="s">
        <v>310</v>
      </c>
      <c r="BG1" s="50" t="s">
        <v>311</v>
      </c>
      <c r="BH1" s="49" t="s">
        <v>312</v>
      </c>
      <c r="BI1" s="50" t="s">
        <v>313</v>
      </c>
      <c r="BJ1" s="49" t="s">
        <v>314</v>
      </c>
      <c r="BK1" s="50" t="s">
        <v>315</v>
      </c>
      <c r="BL1" s="49" t="s">
        <v>316</v>
      </c>
      <c r="BM1" s="50" t="s">
        <v>317</v>
      </c>
      <c r="BN1" s="49" t="s">
        <v>318</v>
      </c>
      <c r="BO1" s="50" t="s">
        <v>319</v>
      </c>
      <c r="BP1" s="49" t="s">
        <v>320</v>
      </c>
      <c r="BQ1" s="50" t="s">
        <v>321</v>
      </c>
      <c r="BR1" s="49" t="s">
        <v>322</v>
      </c>
      <c r="BS1" s="50" t="s">
        <v>323</v>
      </c>
      <c r="BT1" s="49" t="s">
        <v>324</v>
      </c>
      <c r="BU1" s="50" t="s">
        <v>325</v>
      </c>
      <c r="BV1" s="49" t="s">
        <v>326</v>
      </c>
      <c r="BW1" s="50" t="s">
        <v>327</v>
      </c>
      <c r="BX1" s="49" t="s">
        <v>328</v>
      </c>
      <c r="BY1" s="50" t="s">
        <v>329</v>
      </c>
      <c r="BZ1" s="51" t="s">
        <v>330</v>
      </c>
      <c r="CA1" s="52" t="s">
        <v>331</v>
      </c>
      <c r="CB1" s="51" t="s">
        <v>332</v>
      </c>
      <c r="CC1" s="52" t="s">
        <v>333</v>
      </c>
      <c r="CD1" s="51" t="s">
        <v>334</v>
      </c>
      <c r="CE1" s="52" t="s">
        <v>335</v>
      </c>
      <c r="CF1" s="49" t="s">
        <v>336</v>
      </c>
      <c r="CG1" s="50" t="s">
        <v>337</v>
      </c>
      <c r="CH1" s="49" t="s">
        <v>338</v>
      </c>
      <c r="CI1" s="50" t="s">
        <v>339</v>
      </c>
      <c r="CJ1" s="49" t="s">
        <v>340</v>
      </c>
      <c r="CK1" s="50" t="s">
        <v>341</v>
      </c>
      <c r="CL1" s="49" t="s">
        <v>342</v>
      </c>
      <c r="CM1" s="50" t="s">
        <v>343</v>
      </c>
      <c r="CN1" s="49" t="s">
        <v>344</v>
      </c>
      <c r="CO1" s="50" t="s">
        <v>345</v>
      </c>
      <c r="CP1" s="49" t="s">
        <v>346</v>
      </c>
      <c r="CQ1" s="50" t="s">
        <v>347</v>
      </c>
      <c r="CR1" s="49" t="s">
        <v>348</v>
      </c>
      <c r="CS1" s="50" t="s">
        <v>349</v>
      </c>
      <c r="CT1" s="49" t="s">
        <v>350</v>
      </c>
      <c r="CU1" s="50" t="s">
        <v>351</v>
      </c>
      <c r="CV1" s="49" t="s">
        <v>352</v>
      </c>
      <c r="CW1" s="50" t="s">
        <v>353</v>
      </c>
      <c r="CX1" s="49" t="s">
        <v>354</v>
      </c>
      <c r="CY1" s="50" t="s">
        <v>355</v>
      </c>
      <c r="CZ1" s="49" t="s">
        <v>356</v>
      </c>
      <c r="DA1" s="50" t="s">
        <v>357</v>
      </c>
      <c r="DB1" s="49" t="s">
        <v>358</v>
      </c>
      <c r="DC1" s="50" t="s">
        <v>359</v>
      </c>
      <c r="DD1" s="49" t="s">
        <v>360</v>
      </c>
      <c r="DE1" s="50" t="s">
        <v>361</v>
      </c>
      <c r="DF1" s="49" t="s">
        <v>362</v>
      </c>
      <c r="DG1" s="50" t="s">
        <v>363</v>
      </c>
      <c r="DH1" s="49" t="s">
        <v>364</v>
      </c>
      <c r="DI1" s="50" t="s">
        <v>365</v>
      </c>
      <c r="DJ1" s="49" t="s">
        <v>366</v>
      </c>
      <c r="DK1" s="50" t="s">
        <v>367</v>
      </c>
      <c r="DL1" s="49" t="s">
        <v>368</v>
      </c>
      <c r="DM1" s="50" t="s">
        <v>369</v>
      </c>
      <c r="DN1" s="49" t="s">
        <v>370</v>
      </c>
      <c r="DO1" s="50" t="s">
        <v>371</v>
      </c>
      <c r="DP1" s="49" t="s">
        <v>372</v>
      </c>
      <c r="DQ1" s="50" t="s">
        <v>373</v>
      </c>
      <c r="DR1" s="49" t="s">
        <v>374</v>
      </c>
      <c r="DS1" s="50" t="s">
        <v>375</v>
      </c>
      <c r="DT1" s="49" t="s">
        <v>376</v>
      </c>
      <c r="DU1" s="50" t="s">
        <v>377</v>
      </c>
      <c r="DV1" s="49" t="s">
        <v>378</v>
      </c>
      <c r="DW1" s="50" t="s">
        <v>379</v>
      </c>
      <c r="DX1" s="49" t="s">
        <v>380</v>
      </c>
      <c r="DY1" s="50" t="s">
        <v>381</v>
      </c>
      <c r="DZ1" s="49" t="s">
        <v>382</v>
      </c>
      <c r="EA1" s="50" t="s">
        <v>383</v>
      </c>
      <c r="EB1" s="49" t="s">
        <v>384</v>
      </c>
      <c r="EC1" s="50" t="s">
        <v>385</v>
      </c>
      <c r="ED1" s="49" t="s">
        <v>386</v>
      </c>
      <c r="EE1" s="50" t="s">
        <v>387</v>
      </c>
      <c r="EF1" s="49" t="s">
        <v>388</v>
      </c>
      <c r="EG1" s="50" t="s">
        <v>389</v>
      </c>
      <c r="EH1" s="49" t="s">
        <v>390</v>
      </c>
      <c r="EI1" s="50" t="s">
        <v>391</v>
      </c>
      <c r="EJ1" s="49" t="s">
        <v>392</v>
      </c>
      <c r="EK1" s="50" t="s">
        <v>393</v>
      </c>
      <c r="EL1" s="49" t="s">
        <v>394</v>
      </c>
      <c r="EM1" s="50" t="s">
        <v>395</v>
      </c>
      <c r="EN1" s="49" t="s">
        <v>396</v>
      </c>
      <c r="EO1" s="50" t="s">
        <v>397</v>
      </c>
      <c r="EP1" s="49" t="s">
        <v>398</v>
      </c>
      <c r="EQ1" s="50" t="s">
        <v>399</v>
      </c>
      <c r="ER1" s="49" t="s">
        <v>400</v>
      </c>
      <c r="ES1" s="50" t="s">
        <v>401</v>
      </c>
      <c r="ET1" s="49" t="s">
        <v>402</v>
      </c>
      <c r="EU1" s="50" t="s">
        <v>403</v>
      </c>
      <c r="EV1" s="49" t="s">
        <v>404</v>
      </c>
      <c r="EW1" s="50" t="s">
        <v>405</v>
      </c>
      <c r="EX1" s="49" t="s">
        <v>406</v>
      </c>
      <c r="EY1" s="50" t="s">
        <v>407</v>
      </c>
      <c r="EZ1" s="49" t="s">
        <v>408</v>
      </c>
      <c r="FA1" s="50" t="s">
        <v>409</v>
      </c>
      <c r="FB1" s="49" t="s">
        <v>410</v>
      </c>
      <c r="FC1" s="50" t="s">
        <v>411</v>
      </c>
      <c r="FD1" s="49" t="s">
        <v>412</v>
      </c>
      <c r="FE1" s="50" t="s">
        <v>413</v>
      </c>
      <c r="FF1" s="49" t="s">
        <v>414</v>
      </c>
      <c r="FG1" s="50" t="s">
        <v>415</v>
      </c>
      <c r="FH1" s="49" t="s">
        <v>416</v>
      </c>
      <c r="FI1" s="50" t="s">
        <v>417</v>
      </c>
      <c r="FJ1" s="49" t="s">
        <v>418</v>
      </c>
      <c r="FK1" s="50" t="s">
        <v>419</v>
      </c>
      <c r="FL1" s="49" t="s">
        <v>455</v>
      </c>
      <c r="FM1" s="50" t="s">
        <v>454</v>
      </c>
      <c r="FN1" s="49" t="s">
        <v>420</v>
      </c>
      <c r="FO1" s="50" t="s">
        <v>421</v>
      </c>
      <c r="FP1" s="49" t="s">
        <v>422</v>
      </c>
      <c r="FQ1" s="50" t="s">
        <v>423</v>
      </c>
      <c r="FR1" s="49" t="s">
        <v>424</v>
      </c>
      <c r="FS1" s="50" t="s">
        <v>425</v>
      </c>
      <c r="FT1" s="49" t="s">
        <v>426</v>
      </c>
      <c r="FU1" s="50" t="s">
        <v>427</v>
      </c>
      <c r="FV1" s="49" t="s">
        <v>428</v>
      </c>
      <c r="FW1" s="50" t="s">
        <v>429</v>
      </c>
      <c r="FX1" s="49" t="s">
        <v>430</v>
      </c>
      <c r="FY1" s="50" t="s">
        <v>431</v>
      </c>
      <c r="FZ1" s="49" t="s">
        <v>432</v>
      </c>
      <c r="GA1" s="50" t="s">
        <v>433</v>
      </c>
      <c r="GB1" s="49" t="s">
        <v>434</v>
      </c>
      <c r="GC1" s="50" t="s">
        <v>435</v>
      </c>
      <c r="GD1" s="49" t="s">
        <v>436</v>
      </c>
      <c r="GE1" s="50" t="s">
        <v>437</v>
      </c>
      <c r="GF1" s="49" t="s">
        <v>438</v>
      </c>
      <c r="GG1" s="50" t="s">
        <v>439</v>
      </c>
      <c r="GH1" s="49" t="s">
        <v>440</v>
      </c>
      <c r="GI1" s="50" t="s">
        <v>441</v>
      </c>
      <c r="GJ1" s="49" t="s">
        <v>442</v>
      </c>
      <c r="GK1" s="50" t="s">
        <v>443</v>
      </c>
      <c r="GL1" s="49" t="s">
        <v>444</v>
      </c>
      <c r="GM1" s="50" t="s">
        <v>445</v>
      </c>
      <c r="GN1" s="49" t="s">
        <v>446</v>
      </c>
      <c r="GO1" s="50" t="s">
        <v>447</v>
      </c>
      <c r="GP1" s="49" t="s">
        <v>448</v>
      </c>
      <c r="GQ1" s="50" t="s">
        <v>449</v>
      </c>
      <c r="GR1" s="49" t="s">
        <v>450</v>
      </c>
      <c r="GS1" s="50" t="s">
        <v>451</v>
      </c>
      <c r="GT1" s="53" t="s">
        <v>452</v>
      </c>
      <c r="GU1" s="54" t="s">
        <v>453</v>
      </c>
      <c r="GV1" s="44" t="s">
        <v>37</v>
      </c>
      <c r="GW1" s="44" t="s">
        <v>38</v>
      </c>
    </row>
    <row r="2" spans="1:207" s="30" customFormat="1">
      <c r="A2" s="22" t="str">
        <f>IF(D2&gt;0,"X","")</f>
        <v/>
      </c>
      <c r="B2" s="40" t="s">
        <v>70</v>
      </c>
      <c r="C2" s="16">
        <v>141001</v>
      </c>
      <c r="D2" s="26">
        <f>COUNTIF('Awards Summary'!B:B,"141001")</f>
        <v>0</v>
      </c>
      <c r="E2" s="45">
        <f>SUMIFS('Awards Summary'!H:H,'Awards Summary'!B:B,"141001")</f>
        <v>0</v>
      </c>
      <c r="F2" s="46">
        <f>SUMIFS('Disbursements Summary'!E:E,'Disbursements Summary'!C:C, "141001")</f>
        <v>0</v>
      </c>
      <c r="H2" s="55">
        <f>SUMIFS('Awards Summary'!$H:$H,'Awards Summary'!$B:$B,$C2,'Awards Summary'!$J:$J,"APA")</f>
        <v>0</v>
      </c>
      <c r="I2" s="55">
        <f>SUMIFS('Disbursements Summary'!$E:$E,'Disbursements Summary'!$C:$C,$C2,'Disbursements Summary'!$A:$A,"APA")</f>
        <v>0</v>
      </c>
      <c r="J2" s="55">
        <f>SUMIFS('Awards Summary'!$H:$H,'Awards Summary'!$B:$B,$C2,'Awards Summary'!$J:$J,"Ag&amp;Horse")</f>
        <v>0</v>
      </c>
      <c r="K2" s="55">
        <f>SUMIFS('Disbursements Summary'!$E:$E,'Disbursements Summary'!$C:$C,$C2,'Disbursements Summary'!$A:$A,"Ag&amp;Horse")</f>
        <v>0</v>
      </c>
      <c r="L2" s="55">
        <f>SUMIFS('Awards Summary'!$H:$H,'Awards Summary'!$B:$B,$C2,'Awards Summary'!$J:$J,"ACAA")</f>
        <v>0</v>
      </c>
      <c r="M2" s="55">
        <f>SUMIFS('Disbursements Summary'!$E:$E,'Disbursements Summary'!$C:$C,$C2,'Disbursements Summary'!$A:$A,"ACAA")</f>
        <v>0</v>
      </c>
      <c r="N2" s="55">
        <f>SUMIFS('Awards Summary'!$H:$H,'Awards Summary'!$B:$B,$C2,'Awards Summary'!$J:$J,"PortAlbany")</f>
        <v>0</v>
      </c>
      <c r="O2" s="55">
        <f>SUMIFS('Disbursements Summary'!$E:$E,'Disbursements Summary'!$C:$C,$C2,'Disbursements Summary'!$A:$A,"PortAlbany")</f>
        <v>0</v>
      </c>
      <c r="P2" s="55">
        <f>SUMIFS('Awards Summary'!$H:$H,'Awards Summary'!$B:$B,$C2,'Awards Summary'!$J:$J,"SLA")</f>
        <v>0</v>
      </c>
      <c r="Q2" s="55">
        <f>SUMIFS('Disbursements Summary'!$E:$E,'Disbursements Summary'!$C:$C,$C2,'Disbursements Summary'!$A:$A,"SLA")</f>
        <v>0</v>
      </c>
      <c r="R2" s="55">
        <f>SUMIFS('Awards Summary'!$H:$H,'Awards Summary'!$B:$B,$C2,'Awards Summary'!$J:$J,"BPCA")</f>
        <v>0</v>
      </c>
      <c r="S2" s="55">
        <f>SUMIFS('Disbursements Summary'!$E:$E,'Disbursements Summary'!$C:$C,$C2,'Disbursements Summary'!$A:$A,"BPCA")</f>
        <v>0</v>
      </c>
      <c r="T2" s="55">
        <f>SUMIFS('Awards Summary'!$H:$H,'Awards Summary'!$B:$B,$C2,'Awards Summary'!$J:$J,"ELECTIONS")</f>
        <v>0</v>
      </c>
      <c r="U2" s="55">
        <f>SUMIFS('Disbursements Summary'!$E:$E,'Disbursements Summary'!$C:$C,$C2,'Disbursements Summary'!$A:$A,"ELECTIONS")</f>
        <v>0</v>
      </c>
      <c r="V2" s="55">
        <f>SUMIFS('Awards Summary'!$H:$H,'Awards Summary'!$B:$B,$C2,'Awards Summary'!$J:$J,"BFSA")</f>
        <v>0</v>
      </c>
      <c r="W2" s="55">
        <f>SUMIFS('Disbursements Summary'!$E:$E,'Disbursements Summary'!$C:$C,$C2,'Disbursements Summary'!$A:$A,"BFSA")</f>
        <v>0</v>
      </c>
      <c r="X2" s="55">
        <f>SUMIFS('Awards Summary'!$H:$H,'Awards Summary'!$B:$B,$C2,'Awards Summary'!$J:$J,"CDTA")</f>
        <v>0</v>
      </c>
      <c r="Y2" s="55">
        <f>SUMIFS('Disbursements Summary'!$E:$E,'Disbursements Summary'!$C:$C,$C2,'Disbursements Summary'!$A:$A,"CDTA")</f>
        <v>0</v>
      </c>
      <c r="Z2" s="55">
        <f>SUMIFS('Awards Summary'!$H:$H,'Awards Summary'!$B:$B,$C2,'Awards Summary'!$J:$J,"CCWSA")</f>
        <v>0</v>
      </c>
      <c r="AA2" s="55">
        <f>SUMIFS('Disbursements Summary'!$E:$E,'Disbursements Summary'!$C:$C,$C2,'Disbursements Summary'!$A:$A,"CCWSA")</f>
        <v>0</v>
      </c>
      <c r="AB2" s="55">
        <f>SUMIFS('Awards Summary'!$H:$H,'Awards Summary'!$B:$B,$C2,'Awards Summary'!$J:$J,"CNYRTA")</f>
        <v>0</v>
      </c>
      <c r="AC2" s="55">
        <f>SUMIFS('Disbursements Summary'!$E:$E,'Disbursements Summary'!$C:$C,$C2,'Disbursements Summary'!$A:$A,"CNYRTA")</f>
        <v>0</v>
      </c>
      <c r="AD2" s="55">
        <f>SUMIFS('Awards Summary'!$H:$H,'Awards Summary'!$B:$B,$C2,'Awards Summary'!$J:$J,"CUCF")</f>
        <v>0</v>
      </c>
      <c r="AE2" s="55">
        <f>SUMIFS('Disbursements Summary'!$E:$E,'Disbursements Summary'!$C:$C,$C2,'Disbursements Summary'!$A:$A,"CUCF")</f>
        <v>0</v>
      </c>
      <c r="AF2" s="55">
        <f>SUMIFS('Awards Summary'!$H:$H,'Awards Summary'!$B:$B,$C2,'Awards Summary'!$J:$J,"CUNY")</f>
        <v>0</v>
      </c>
      <c r="AG2" s="55">
        <f>SUMIFS('Disbursements Summary'!$E:$E,'Disbursements Summary'!$C:$C,$C2,'Disbursements Summary'!$A:$A,"CUNY")</f>
        <v>0</v>
      </c>
      <c r="AH2" s="55">
        <f>SUMIFS('Awards Summary'!$H:$H,'Awards Summary'!$B:$B,$C2,'Awards Summary'!$J:$J,"ARTS")</f>
        <v>0</v>
      </c>
      <c r="AI2" s="55">
        <f>SUMIFS('Disbursements Summary'!$E:$E,'Disbursements Summary'!$C:$C,$C2,'Disbursements Summary'!$A:$A,"ARTS")</f>
        <v>0</v>
      </c>
      <c r="AJ2" s="55">
        <f>SUMIFS('Awards Summary'!$H:$H,'Awards Summary'!$B:$B,$C2,'Awards Summary'!$J:$J,"AG&amp;MKTS")</f>
        <v>0</v>
      </c>
      <c r="AK2" s="55">
        <f>SUMIFS('Disbursements Summary'!$E:$E,'Disbursements Summary'!$C:$C,$C2,'Disbursements Summary'!$A:$A,"AG&amp;MKTS")</f>
        <v>0</v>
      </c>
      <c r="AL2" s="55">
        <f>SUMIFS('Awards Summary'!$H:$H,'Awards Summary'!$B:$B,$C2,'Awards Summary'!$J:$J,"CS")</f>
        <v>0</v>
      </c>
      <c r="AM2" s="55">
        <f>SUMIFS('Disbursements Summary'!$E:$E,'Disbursements Summary'!$C:$C,$C2,'Disbursements Summary'!$A:$A,"CS")</f>
        <v>0</v>
      </c>
      <c r="AN2" s="55">
        <f>SUMIFS('Awards Summary'!$H:$H,'Awards Summary'!$B:$B,$C2,'Awards Summary'!$J:$J,"DOCCS")</f>
        <v>0</v>
      </c>
      <c r="AO2" s="55">
        <f>SUMIFS('Disbursements Summary'!$E:$E,'Disbursements Summary'!$C:$C,$C2,'Disbursements Summary'!$A:$A,"DOCCS")</f>
        <v>0</v>
      </c>
      <c r="AP2" s="55">
        <f>SUMIFS('Awards Summary'!$H:$H,'Awards Summary'!$B:$B,$C2,'Awards Summary'!$J:$J,"DED")</f>
        <v>0</v>
      </c>
      <c r="AQ2" s="55">
        <f>SUMIFS('Disbursements Summary'!$E:$E,'Disbursements Summary'!$C:$C,$C2,'Disbursements Summary'!$A:$A,"DED")</f>
        <v>0</v>
      </c>
      <c r="AR2" s="55">
        <f>SUMIFS('Awards Summary'!$H:$H,'Awards Summary'!$B:$B,$C2,'Awards Summary'!$J:$J,"DEC")</f>
        <v>0</v>
      </c>
      <c r="AS2" s="55">
        <f>SUMIFS('Disbursements Summary'!$E:$E,'Disbursements Summary'!$C:$C,$C2,'Disbursements Summary'!$A:$A,"DEC")</f>
        <v>0</v>
      </c>
      <c r="AT2" s="55">
        <f>SUMIFS('Awards Summary'!$H:$H,'Awards Summary'!$B:$B,$C2,'Awards Summary'!$J:$J,"DFS")</f>
        <v>0</v>
      </c>
      <c r="AU2" s="55">
        <f>SUMIFS('Disbursements Summary'!$E:$E,'Disbursements Summary'!$C:$C,$C2,'Disbursements Summary'!$A:$A,"DFS")</f>
        <v>0</v>
      </c>
      <c r="AV2" s="55">
        <f>SUMIFS('Awards Summary'!$H:$H,'Awards Summary'!$B:$B,$C2,'Awards Summary'!$J:$J,"DOH")</f>
        <v>0</v>
      </c>
      <c r="AW2" s="55">
        <f>SUMIFS('Disbursements Summary'!$E:$E,'Disbursements Summary'!$C:$C,$C2,'Disbursements Summary'!$A:$A,"DOH")</f>
        <v>0</v>
      </c>
      <c r="AX2" s="55">
        <f>SUMIFS('Awards Summary'!$H:$H,'Awards Summary'!$B:$B,$C2,'Awards Summary'!$J:$J,"DOL")</f>
        <v>0</v>
      </c>
      <c r="AY2" s="55">
        <f>SUMIFS('Disbursements Summary'!$E:$E,'Disbursements Summary'!$C:$C,$C2,'Disbursements Summary'!$A:$A,"DOL")</f>
        <v>0</v>
      </c>
      <c r="AZ2" s="55">
        <f>SUMIFS('Awards Summary'!$H:$H,'Awards Summary'!$B:$B,$C2,'Awards Summary'!$J:$J,"DMV")</f>
        <v>0</v>
      </c>
      <c r="BA2" s="55">
        <f>SUMIFS('Disbursements Summary'!$E:$E,'Disbursements Summary'!$C:$C,$C2,'Disbursements Summary'!$A:$A,"DMV")</f>
        <v>0</v>
      </c>
      <c r="BB2" s="55">
        <f>SUMIFS('Awards Summary'!$H:$H,'Awards Summary'!$B:$B,$C2,'Awards Summary'!$J:$J,"DPS")</f>
        <v>0</v>
      </c>
      <c r="BC2" s="55">
        <f>SUMIFS('Disbursements Summary'!$E:$E,'Disbursements Summary'!$C:$C,$C2,'Disbursements Summary'!$A:$A,"DPS")</f>
        <v>0</v>
      </c>
      <c r="BD2" s="55">
        <f>SUMIFS('Awards Summary'!$H:$H,'Awards Summary'!$B:$B,$C2,'Awards Summary'!$J:$J,"DOS")</f>
        <v>0</v>
      </c>
      <c r="BE2" s="55">
        <f>SUMIFS('Disbursements Summary'!$E:$E,'Disbursements Summary'!$C:$C,$C2,'Disbursements Summary'!$A:$A,"DOS")</f>
        <v>0</v>
      </c>
      <c r="BF2" s="55">
        <f>SUMIFS('Awards Summary'!$H:$H,'Awards Summary'!$B:$B,$C2,'Awards Summary'!$J:$J,"TAX")</f>
        <v>0</v>
      </c>
      <c r="BG2" s="55">
        <f>SUMIFS('Disbursements Summary'!$E:$E,'Disbursements Summary'!$C:$C,$C2,'Disbursements Summary'!$A:$A,"TAX")</f>
        <v>0</v>
      </c>
      <c r="BH2" s="55">
        <f>SUMIFS('Awards Summary'!$H:$H,'Awards Summary'!$B:$B,$C2,'Awards Summary'!$J:$J,"DOT")</f>
        <v>0</v>
      </c>
      <c r="BI2" s="55">
        <f>SUMIFS('Disbursements Summary'!$E:$E,'Disbursements Summary'!$C:$C,$C2,'Disbursements Summary'!$A:$A,"DOT")</f>
        <v>0</v>
      </c>
      <c r="BJ2" s="55">
        <f>SUMIFS('Awards Summary'!$H:$H,'Awards Summary'!$B:$B,$C2,'Awards Summary'!$J:$J,"DANC")</f>
        <v>0</v>
      </c>
      <c r="BK2" s="55">
        <f>SUMIFS('Disbursements Summary'!$E:$E,'Disbursements Summary'!$C:$C,$C2,'Disbursements Summary'!$A:$A,"DANC")</f>
        <v>0</v>
      </c>
      <c r="BL2" s="55">
        <f>SUMIFS('Awards Summary'!$H:$H,'Awards Summary'!$B:$B,$C2,'Awards Summary'!$J:$J,"DOB")</f>
        <v>0</v>
      </c>
      <c r="BM2" s="55">
        <f>SUMIFS('Disbursements Summary'!$E:$E,'Disbursements Summary'!$C:$C,$C2,'Disbursements Summary'!$A:$A,"DOB")</f>
        <v>0</v>
      </c>
      <c r="BN2" s="55">
        <f>SUMIFS('Awards Summary'!$H:$H,'Awards Summary'!$B:$B,$C2,'Awards Summary'!$J:$J,"DCJS")</f>
        <v>0</v>
      </c>
      <c r="BO2" s="55">
        <f>SUMIFS('Disbursements Summary'!$E:$E,'Disbursements Summary'!$C:$C,$C2,'Disbursements Summary'!$A:$A,"DCJS")</f>
        <v>0</v>
      </c>
      <c r="BP2" s="55">
        <f>SUMIFS('Awards Summary'!$H:$H,'Awards Summary'!$B:$B,$C2,'Awards Summary'!$J:$J,"DHSES")</f>
        <v>0</v>
      </c>
      <c r="BQ2" s="55">
        <f>SUMIFS('Disbursements Summary'!$E:$E,'Disbursements Summary'!$C:$C,$C2,'Disbursements Summary'!$A:$A,"DHSES")</f>
        <v>0</v>
      </c>
      <c r="BR2" s="55">
        <f>SUMIFS('Awards Summary'!$H:$H,'Awards Summary'!$B:$B,$C2,'Awards Summary'!$J:$J,"DHR")</f>
        <v>0</v>
      </c>
      <c r="BS2" s="55">
        <f>SUMIFS('Disbursements Summary'!$E:$E,'Disbursements Summary'!$C:$C,$C2,'Disbursements Summary'!$A:$A,"DHR")</f>
        <v>0</v>
      </c>
      <c r="BT2" s="55">
        <f>SUMIFS('Awards Summary'!$H:$H,'Awards Summary'!$B:$B,$C2,'Awards Summary'!$J:$J,"DMNA")</f>
        <v>0</v>
      </c>
      <c r="BU2" s="55">
        <f>SUMIFS('Disbursements Summary'!$E:$E,'Disbursements Summary'!$C:$C,$C2,'Disbursements Summary'!$A:$A,"DMNA")</f>
        <v>0</v>
      </c>
      <c r="BV2" s="55">
        <f>SUMIFS('Awards Summary'!$H:$H,'Awards Summary'!$B:$B,$C2,'Awards Summary'!$J:$J,"TROOPERS")</f>
        <v>0</v>
      </c>
      <c r="BW2" s="55">
        <f>SUMIFS('Disbursements Summary'!$E:$E,'Disbursements Summary'!$C:$C,$C2,'Disbursements Summary'!$A:$A,"TROOPERS")</f>
        <v>0</v>
      </c>
      <c r="BX2" s="55">
        <f>SUMIFS('Awards Summary'!$H:$H,'Awards Summary'!$B:$B,$C2,'Awards Summary'!$J:$J,"DVA")</f>
        <v>0</v>
      </c>
      <c r="BY2" s="55">
        <f>SUMIFS('Disbursements Summary'!$E:$E,'Disbursements Summary'!$C:$C,$C2,'Disbursements Summary'!$A:$A,"DVA")</f>
        <v>0</v>
      </c>
      <c r="BZ2" s="55">
        <f>SUMIFS('Awards Summary'!$H:$H,'Awards Summary'!$B:$B,$C2,'Awards Summary'!$J:$J,"DASNY")</f>
        <v>0</v>
      </c>
      <c r="CA2" s="55">
        <f>SUMIFS('Disbursements Summary'!$E:$E,'Disbursements Summary'!$C:$C,$C2,'Disbursements Summary'!$A:$A,"DASNY")</f>
        <v>0</v>
      </c>
      <c r="CB2" s="55">
        <f>SUMIFS('Awards Summary'!$H:$H,'Awards Summary'!$B:$B,$C2,'Awards Summary'!$J:$J,"EGG")</f>
        <v>0</v>
      </c>
      <c r="CC2" s="55">
        <f>SUMIFS('Disbursements Summary'!$E:$E,'Disbursements Summary'!$C:$C,$C2,'Disbursements Summary'!$A:$A,"EGG")</f>
        <v>0</v>
      </c>
      <c r="CD2" s="55">
        <f>SUMIFS('Awards Summary'!$H:$H,'Awards Summary'!$B:$B,$C2,'Awards Summary'!$J:$J,"ESD")</f>
        <v>0</v>
      </c>
      <c r="CE2" s="55">
        <f>SUMIFS('Disbursements Summary'!$E:$E,'Disbursements Summary'!$C:$C,$C2,'Disbursements Summary'!$A:$A,"ESD")</f>
        <v>0</v>
      </c>
      <c r="CF2" s="55">
        <f>SUMIFS('Awards Summary'!$H:$H,'Awards Summary'!$B:$B,$C2,'Awards Summary'!$J:$J,"EFC")</f>
        <v>0</v>
      </c>
      <c r="CG2" s="55">
        <f>SUMIFS('Disbursements Summary'!$E:$E,'Disbursements Summary'!$C:$C,$C2,'Disbursements Summary'!$A:$A,"EFC")</f>
        <v>0</v>
      </c>
      <c r="CH2" s="55">
        <f>SUMIFS('Awards Summary'!$H:$H,'Awards Summary'!$B:$B,$C2,'Awards Summary'!$J:$J,"ECFSA")</f>
        <v>0</v>
      </c>
      <c r="CI2" s="55">
        <f>SUMIFS('Disbursements Summary'!$E:$E,'Disbursements Summary'!$C:$C,$C2,'Disbursements Summary'!$A:$A,"ECFSA")</f>
        <v>0</v>
      </c>
      <c r="CJ2" s="55">
        <f>SUMIFS('Awards Summary'!$H:$H,'Awards Summary'!$B:$B,$C2,'Awards Summary'!$J:$J,"ECMC")</f>
        <v>0</v>
      </c>
      <c r="CK2" s="55">
        <f>SUMIFS('Disbursements Summary'!$E:$E,'Disbursements Summary'!$C:$C,$C2,'Disbursements Summary'!$A:$A,"ECMC")</f>
        <v>0</v>
      </c>
      <c r="CL2" s="55">
        <f>SUMIFS('Awards Summary'!$H:$H,'Awards Summary'!$B:$B,$C2,'Awards Summary'!$J:$J,"CHAMBER")</f>
        <v>0</v>
      </c>
      <c r="CM2" s="55">
        <f>SUMIFS('Disbursements Summary'!$E:$E,'Disbursements Summary'!$C:$C,$C2,'Disbursements Summary'!$A:$A,"CHAMBER")</f>
        <v>0</v>
      </c>
      <c r="CN2" s="55">
        <f>SUMIFS('Awards Summary'!$H:$H,'Awards Summary'!$B:$B,$C2,'Awards Summary'!$J:$J,"GAMING")</f>
        <v>0</v>
      </c>
      <c r="CO2" s="55">
        <f>SUMIFS('Disbursements Summary'!$E:$E,'Disbursements Summary'!$C:$C,$C2,'Disbursements Summary'!$A:$A,"GAMING")</f>
        <v>0</v>
      </c>
      <c r="CP2" s="55">
        <f>SUMIFS('Awards Summary'!$H:$H,'Awards Summary'!$B:$B,$C2,'Awards Summary'!$J:$J,"GOER")</f>
        <v>0</v>
      </c>
      <c r="CQ2" s="55">
        <f>SUMIFS('Disbursements Summary'!$E:$E,'Disbursements Summary'!$C:$C,$C2,'Disbursements Summary'!$A:$A,"GOER")</f>
        <v>0</v>
      </c>
      <c r="CR2" s="55">
        <f>SUMIFS('Awards Summary'!$H:$H,'Awards Summary'!$B:$B,$C2,'Awards Summary'!$J:$J,"HESC")</f>
        <v>0</v>
      </c>
      <c r="CS2" s="55">
        <f>SUMIFS('Disbursements Summary'!$E:$E,'Disbursements Summary'!$C:$C,$C2,'Disbursements Summary'!$A:$A,"HESC")</f>
        <v>0</v>
      </c>
      <c r="CT2" s="55">
        <f>SUMIFS('Awards Summary'!$H:$H,'Awards Summary'!$B:$B,$C2,'Awards Summary'!$J:$J,"GOSR")</f>
        <v>0</v>
      </c>
      <c r="CU2" s="55">
        <f>SUMIFS('Disbursements Summary'!$E:$E,'Disbursements Summary'!$C:$C,$C2,'Disbursements Summary'!$A:$A,"GOSR")</f>
        <v>0</v>
      </c>
      <c r="CV2" s="55">
        <f>SUMIFS('Awards Summary'!$H:$H,'Awards Summary'!$B:$B,$C2,'Awards Summary'!$J:$J,"HRPT")</f>
        <v>0</v>
      </c>
      <c r="CW2" s="55">
        <f>SUMIFS('Disbursements Summary'!$E:$E,'Disbursements Summary'!$C:$C,$C2,'Disbursements Summary'!$A:$A,"HRPT")</f>
        <v>0</v>
      </c>
      <c r="CX2" s="55">
        <f>SUMIFS('Awards Summary'!$H:$H,'Awards Summary'!$B:$B,$C2,'Awards Summary'!$J:$J,"HRBRRD")</f>
        <v>0</v>
      </c>
      <c r="CY2" s="55">
        <f>SUMIFS('Disbursements Summary'!$E:$E,'Disbursements Summary'!$C:$C,$C2,'Disbursements Summary'!$A:$A,"HRBRRD")</f>
        <v>0</v>
      </c>
      <c r="CZ2" s="55">
        <f>SUMIFS('Awards Summary'!$H:$H,'Awards Summary'!$B:$B,$C2,'Awards Summary'!$J:$J,"ITS")</f>
        <v>0</v>
      </c>
      <c r="DA2" s="55">
        <f>SUMIFS('Disbursements Summary'!$E:$E,'Disbursements Summary'!$C:$C,$C2,'Disbursements Summary'!$A:$A,"ITS")</f>
        <v>0</v>
      </c>
      <c r="DB2" s="55">
        <f>SUMIFS('Awards Summary'!$H:$H,'Awards Summary'!$B:$B,$C2,'Awards Summary'!$J:$J,"JAVITS")</f>
        <v>0</v>
      </c>
      <c r="DC2" s="55">
        <f>SUMIFS('Disbursements Summary'!$E:$E,'Disbursements Summary'!$C:$C,$C2,'Disbursements Summary'!$A:$A,"JAVITS")</f>
        <v>0</v>
      </c>
      <c r="DD2" s="55">
        <f>SUMIFS('Awards Summary'!$H:$H,'Awards Summary'!$B:$B,$C2,'Awards Summary'!$J:$J,"JCOPE")</f>
        <v>0</v>
      </c>
      <c r="DE2" s="55">
        <f>SUMIFS('Disbursements Summary'!$E:$E,'Disbursements Summary'!$C:$C,$C2,'Disbursements Summary'!$A:$A,"JCOPE")</f>
        <v>0</v>
      </c>
      <c r="DF2" s="55">
        <f>SUMIFS('Awards Summary'!$H:$H,'Awards Summary'!$B:$B,$C2,'Awards Summary'!$J:$J,"JUSTICE")</f>
        <v>0</v>
      </c>
      <c r="DG2" s="55">
        <f>SUMIFS('Disbursements Summary'!$E:$E,'Disbursements Summary'!$C:$C,$C2,'Disbursements Summary'!$A:$A,"JUSTICE")</f>
        <v>0</v>
      </c>
      <c r="DH2" s="55">
        <f>SUMIFS('Awards Summary'!$H:$H,'Awards Summary'!$B:$B,$C2,'Awards Summary'!$J:$J,"LCWSA")</f>
        <v>0</v>
      </c>
      <c r="DI2" s="55">
        <f>SUMIFS('Disbursements Summary'!$E:$E,'Disbursements Summary'!$C:$C,$C2,'Disbursements Summary'!$A:$A,"LCWSA")</f>
        <v>0</v>
      </c>
      <c r="DJ2" s="55">
        <f>SUMIFS('Awards Summary'!$H:$H,'Awards Summary'!$B:$B,$C2,'Awards Summary'!$J:$J,"LIPA")</f>
        <v>0</v>
      </c>
      <c r="DK2" s="55">
        <f>SUMIFS('Disbursements Summary'!$E:$E,'Disbursements Summary'!$C:$C,$C2,'Disbursements Summary'!$A:$A,"LIPA")</f>
        <v>0</v>
      </c>
      <c r="DL2" s="55">
        <f>SUMIFS('Awards Summary'!$H:$H,'Awards Summary'!$B:$B,$C2,'Awards Summary'!$J:$J,"MTA")</f>
        <v>0</v>
      </c>
      <c r="DM2" s="55">
        <f>SUMIFS('Disbursements Summary'!$E:$E,'Disbursements Summary'!$C:$C,$C2,'Disbursements Summary'!$A:$A,"MTA")</f>
        <v>0</v>
      </c>
      <c r="DN2" s="55">
        <f>SUMIFS('Awards Summary'!$H:$H,'Awards Summary'!$B:$B,$C2,'Awards Summary'!$J:$J,"NIFA")</f>
        <v>0</v>
      </c>
      <c r="DO2" s="55">
        <f>SUMIFS('Disbursements Summary'!$E:$E,'Disbursements Summary'!$C:$C,$C2,'Disbursements Summary'!$A:$A,"NIFA")</f>
        <v>0</v>
      </c>
      <c r="DP2" s="55">
        <f>SUMIFS('Awards Summary'!$H:$H,'Awards Summary'!$B:$B,$C2,'Awards Summary'!$J:$J,"NHCC")</f>
        <v>0</v>
      </c>
      <c r="DQ2" s="55">
        <f>SUMIFS('Disbursements Summary'!$E:$E,'Disbursements Summary'!$C:$C,$C2,'Disbursements Summary'!$A:$A,"NHCC")</f>
        <v>0</v>
      </c>
      <c r="DR2" s="55">
        <f>SUMIFS('Awards Summary'!$H:$H,'Awards Summary'!$B:$B,$C2,'Awards Summary'!$J:$J,"NHT")</f>
        <v>0</v>
      </c>
      <c r="DS2" s="55">
        <f>SUMIFS('Disbursements Summary'!$E:$E,'Disbursements Summary'!$C:$C,$C2,'Disbursements Summary'!$A:$A,"NHT")</f>
        <v>0</v>
      </c>
      <c r="DT2" s="55">
        <f>SUMIFS('Awards Summary'!$H:$H,'Awards Summary'!$B:$B,$C2,'Awards Summary'!$J:$J,"NYPA")</f>
        <v>0</v>
      </c>
      <c r="DU2" s="55">
        <f>SUMIFS('Disbursements Summary'!$E:$E,'Disbursements Summary'!$C:$C,$C2,'Disbursements Summary'!$A:$A,"NYPA")</f>
        <v>0</v>
      </c>
      <c r="DV2" s="55">
        <f>SUMIFS('Awards Summary'!$H:$H,'Awards Summary'!$B:$B,$C2,'Awards Summary'!$J:$J,"NYSBA")</f>
        <v>0</v>
      </c>
      <c r="DW2" s="55">
        <f>SUMIFS('Disbursements Summary'!$E:$E,'Disbursements Summary'!$C:$C,$C2,'Disbursements Summary'!$A:$A,"NYSBA")</f>
        <v>0</v>
      </c>
      <c r="DX2" s="55">
        <f>SUMIFS('Awards Summary'!$H:$H,'Awards Summary'!$B:$B,$C2,'Awards Summary'!$J:$J,"NYSERDA")</f>
        <v>0</v>
      </c>
      <c r="DY2" s="55">
        <f>SUMIFS('Disbursements Summary'!$E:$E,'Disbursements Summary'!$C:$C,$C2,'Disbursements Summary'!$A:$A,"NYSERDA")</f>
        <v>0</v>
      </c>
      <c r="DZ2" s="55">
        <f>SUMIFS('Awards Summary'!$H:$H,'Awards Summary'!$B:$B,$C2,'Awards Summary'!$J:$J,"DHCR")</f>
        <v>0</v>
      </c>
      <c r="EA2" s="55">
        <f>SUMIFS('Disbursements Summary'!$E:$E,'Disbursements Summary'!$C:$C,$C2,'Disbursements Summary'!$A:$A,"DHCR")</f>
        <v>0</v>
      </c>
      <c r="EB2" s="55">
        <f>SUMIFS('Awards Summary'!$H:$H,'Awards Summary'!$B:$B,$C2,'Awards Summary'!$J:$J,"HFA")</f>
        <v>0</v>
      </c>
      <c r="EC2" s="55">
        <f>SUMIFS('Disbursements Summary'!$E:$E,'Disbursements Summary'!$C:$C,$C2,'Disbursements Summary'!$A:$A,"HFA")</f>
        <v>0</v>
      </c>
      <c r="ED2" s="55">
        <f>SUMIFS('Awards Summary'!$H:$H,'Awards Summary'!$B:$B,$C2,'Awards Summary'!$J:$J,"NYSIF")</f>
        <v>0</v>
      </c>
      <c r="EE2" s="55">
        <f>SUMIFS('Disbursements Summary'!$E:$E,'Disbursements Summary'!$C:$C,$C2,'Disbursements Summary'!$A:$A,"NYSIF")</f>
        <v>0</v>
      </c>
      <c r="EF2" s="55">
        <f>SUMIFS('Awards Summary'!$H:$H,'Awards Summary'!$B:$B,$C2,'Awards Summary'!$J:$J,"NYBREDS")</f>
        <v>0</v>
      </c>
      <c r="EG2" s="55">
        <f>SUMIFS('Disbursements Summary'!$E:$E,'Disbursements Summary'!$C:$C,$C2,'Disbursements Summary'!$A:$A,"NYBREDS")</f>
        <v>0</v>
      </c>
      <c r="EH2" s="55">
        <f>SUMIFS('Awards Summary'!$H:$H,'Awards Summary'!$B:$B,$C2,'Awards Summary'!$J:$J,"NYSTA")</f>
        <v>0</v>
      </c>
      <c r="EI2" s="55">
        <f>SUMIFS('Disbursements Summary'!$E:$E,'Disbursements Summary'!$C:$C,$C2,'Disbursements Summary'!$A:$A,"NYSTA")</f>
        <v>0</v>
      </c>
      <c r="EJ2" s="55">
        <f>SUMIFS('Awards Summary'!$H:$H,'Awards Summary'!$B:$B,$C2,'Awards Summary'!$J:$J,"NFWB")</f>
        <v>0</v>
      </c>
      <c r="EK2" s="55">
        <f>SUMIFS('Disbursements Summary'!$E:$E,'Disbursements Summary'!$C:$C,$C2,'Disbursements Summary'!$A:$A,"NFWB")</f>
        <v>0</v>
      </c>
      <c r="EL2" s="55">
        <f>SUMIFS('Awards Summary'!$H:$H,'Awards Summary'!$B:$B,$C2,'Awards Summary'!$J:$J,"NFTA")</f>
        <v>0</v>
      </c>
      <c r="EM2" s="55">
        <f>SUMIFS('Disbursements Summary'!$E:$E,'Disbursements Summary'!$C:$C,$C2,'Disbursements Summary'!$A:$A,"NFTA")</f>
        <v>0</v>
      </c>
      <c r="EN2" s="55">
        <f>SUMIFS('Awards Summary'!$H:$H,'Awards Summary'!$B:$B,$C2,'Awards Summary'!$J:$J,"OPWDD")</f>
        <v>0</v>
      </c>
      <c r="EO2" s="55">
        <f>SUMIFS('Disbursements Summary'!$E:$E,'Disbursements Summary'!$C:$C,$C2,'Disbursements Summary'!$A:$A,"OPWDD")</f>
        <v>0</v>
      </c>
      <c r="EP2" s="55">
        <f>SUMIFS('Awards Summary'!$H:$H,'Awards Summary'!$B:$B,$C2,'Awards Summary'!$J:$J,"AGING")</f>
        <v>0</v>
      </c>
      <c r="EQ2" s="55">
        <f>SUMIFS('Disbursements Summary'!$E:$E,'Disbursements Summary'!$C:$C,$C2,'Disbursements Summary'!$A:$A,"AGING")</f>
        <v>0</v>
      </c>
      <c r="ER2" s="55">
        <f>SUMIFS('Awards Summary'!$H:$H,'Awards Summary'!$B:$B,$C2,'Awards Summary'!$J:$J,"OPDV")</f>
        <v>0</v>
      </c>
      <c r="ES2" s="55">
        <f>SUMIFS('Disbursements Summary'!$E:$E,'Disbursements Summary'!$C:$C,$C2,'Disbursements Summary'!$A:$A,"OPDV")</f>
        <v>0</v>
      </c>
      <c r="ET2" s="55">
        <f>SUMIFS('Awards Summary'!$H:$H,'Awards Summary'!$B:$B,$C2,'Awards Summary'!$J:$J,"OVS")</f>
        <v>0</v>
      </c>
      <c r="EU2" s="55">
        <f>SUMIFS('Disbursements Summary'!$E:$E,'Disbursements Summary'!$C:$C,$C2,'Disbursements Summary'!$A:$A,"OVS")</f>
        <v>0</v>
      </c>
      <c r="EV2" s="55">
        <f>SUMIFS('Awards Summary'!$H:$H,'Awards Summary'!$B:$B,$C2,'Awards Summary'!$J:$J,"OASAS")</f>
        <v>0</v>
      </c>
      <c r="EW2" s="55">
        <f>SUMIFS('Disbursements Summary'!$E:$E,'Disbursements Summary'!$C:$C,$C2,'Disbursements Summary'!$A:$A,"OASAS")</f>
        <v>0</v>
      </c>
      <c r="EX2" s="55">
        <f>SUMIFS('Awards Summary'!$H:$H,'Awards Summary'!$B:$B,$C2,'Awards Summary'!$J:$J,"OCFS")</f>
        <v>0</v>
      </c>
      <c r="EY2" s="55">
        <f>SUMIFS('Disbursements Summary'!$E:$E,'Disbursements Summary'!$C:$C,$C2,'Disbursements Summary'!$A:$A,"OCFS")</f>
        <v>0</v>
      </c>
      <c r="EZ2" s="55">
        <f>SUMIFS('Awards Summary'!$H:$H,'Awards Summary'!$B:$B,$C2,'Awards Summary'!$J:$J,"OGS")</f>
        <v>0</v>
      </c>
      <c r="FA2" s="55">
        <f>SUMIFS('Disbursements Summary'!$E:$E,'Disbursements Summary'!$C:$C,$C2,'Disbursements Summary'!$A:$A,"OGS")</f>
        <v>0</v>
      </c>
      <c r="FB2" s="55">
        <f>SUMIFS('Awards Summary'!$H:$H,'Awards Summary'!$B:$B,$C2,'Awards Summary'!$J:$J,"OMH")</f>
        <v>0</v>
      </c>
      <c r="FC2" s="55">
        <f>SUMIFS('Disbursements Summary'!$E:$E,'Disbursements Summary'!$C:$C,$C2,'Disbursements Summary'!$A:$A,"OMH")</f>
        <v>0</v>
      </c>
      <c r="FD2" s="55">
        <f>SUMIFS('Awards Summary'!$H:$H,'Awards Summary'!$B:$B,$C2,'Awards Summary'!$J:$J,"PARKS")</f>
        <v>0</v>
      </c>
      <c r="FE2" s="55">
        <f>SUMIFS('Disbursements Summary'!$E:$E,'Disbursements Summary'!$C:$C,$C2,'Disbursements Summary'!$A:$A,"PARKS")</f>
        <v>0</v>
      </c>
      <c r="FF2" s="55">
        <f>SUMIFS('Awards Summary'!$H:$H,'Awards Summary'!$B:$B,$C2,'Awards Summary'!$J:$J,"OTDA")</f>
        <v>0</v>
      </c>
      <c r="FG2" s="55">
        <f>SUMIFS('Disbursements Summary'!$E:$E,'Disbursements Summary'!$C:$C,$C2,'Disbursements Summary'!$A:$A,"OTDA")</f>
        <v>0</v>
      </c>
      <c r="FH2" s="55">
        <f>SUMIFS('Awards Summary'!$H:$H,'Awards Summary'!$B:$B,$C2,'Awards Summary'!$J:$J,"OIG")</f>
        <v>0</v>
      </c>
      <c r="FI2" s="55">
        <f>SUMIFS('Disbursements Summary'!$E:$E,'Disbursements Summary'!$C:$C,$C2,'Disbursements Summary'!$A:$A,"OIG")</f>
        <v>0</v>
      </c>
      <c r="FJ2" s="55">
        <f>SUMIFS('Awards Summary'!$H:$H,'Awards Summary'!$B:$B,$C2,'Awards Summary'!$J:$J,"OMIG")</f>
        <v>0</v>
      </c>
      <c r="FK2" s="55">
        <f>SUMIFS('Disbursements Summary'!$E:$E,'Disbursements Summary'!$C:$C,$C2,'Disbursements Summary'!$A:$A,"OMIG")</f>
        <v>0</v>
      </c>
      <c r="FL2" s="55">
        <f>SUMIFS('Awards Summary'!$H:$H,'Awards Summary'!$B:$B,$C2,'Awards Summary'!$J:$J,"OSC")</f>
        <v>0</v>
      </c>
      <c r="FM2" s="55">
        <f>SUMIFS('Disbursements Summary'!$E:$E,'Disbursements Summary'!$C:$C,$C2,'Disbursements Summary'!$A:$A,"OSC")</f>
        <v>0</v>
      </c>
      <c r="FN2" s="55">
        <f>SUMIFS('Awards Summary'!$H:$H,'Awards Summary'!$B:$B,$C2,'Awards Summary'!$J:$J,"OWIG")</f>
        <v>0</v>
      </c>
      <c r="FO2" s="55">
        <f>SUMIFS('Disbursements Summary'!$E:$E,'Disbursements Summary'!$C:$C,$C2,'Disbursements Summary'!$A:$A,"OWIG")</f>
        <v>0</v>
      </c>
      <c r="FP2" s="55">
        <f>SUMIFS('Awards Summary'!$H:$H,'Awards Summary'!$B:$B,$C2,'Awards Summary'!$J:$J,"OGDEN")</f>
        <v>0</v>
      </c>
      <c r="FQ2" s="55">
        <f>SUMIFS('Disbursements Summary'!$E:$E,'Disbursements Summary'!$C:$C,$C2,'Disbursements Summary'!$A:$A,"OGDEN")</f>
        <v>0</v>
      </c>
      <c r="FR2" s="55">
        <f>SUMIFS('Awards Summary'!$H:$H,'Awards Summary'!$B:$B,$C2,'Awards Summary'!$J:$J,"ORDA")</f>
        <v>0</v>
      </c>
      <c r="FS2" s="55">
        <f>SUMIFS('Disbursements Summary'!$E:$E,'Disbursements Summary'!$C:$C,$C2,'Disbursements Summary'!$A:$A,"ORDA")</f>
        <v>0</v>
      </c>
      <c r="FT2" s="55">
        <f>SUMIFS('Awards Summary'!$H:$H,'Awards Summary'!$B:$B,$C2,'Awards Summary'!$J:$J,"OSWEGO")</f>
        <v>0</v>
      </c>
      <c r="FU2" s="55">
        <f>SUMIFS('Disbursements Summary'!$E:$E,'Disbursements Summary'!$C:$C,$C2,'Disbursements Summary'!$A:$A,"OSWEGO")</f>
        <v>0</v>
      </c>
      <c r="FV2" s="55">
        <f>SUMIFS('Awards Summary'!$H:$H,'Awards Summary'!$B:$B,$C2,'Awards Summary'!$J:$J,"PERB")</f>
        <v>0</v>
      </c>
      <c r="FW2" s="55">
        <f>SUMIFS('Disbursements Summary'!$E:$E,'Disbursements Summary'!$C:$C,$C2,'Disbursements Summary'!$A:$A,"PERB")</f>
        <v>0</v>
      </c>
      <c r="FX2" s="55">
        <f>SUMIFS('Awards Summary'!$H:$H,'Awards Summary'!$B:$B,$C2,'Awards Summary'!$J:$J,"RGRTA")</f>
        <v>0</v>
      </c>
      <c r="FY2" s="55">
        <f>SUMIFS('Disbursements Summary'!$E:$E,'Disbursements Summary'!$C:$C,$C2,'Disbursements Summary'!$A:$A,"RGRTA")</f>
        <v>0</v>
      </c>
      <c r="FZ2" s="55">
        <f>SUMIFS('Awards Summary'!$H:$H,'Awards Summary'!$B:$B,$C2,'Awards Summary'!$J:$J,"RIOC")</f>
        <v>0</v>
      </c>
      <c r="GA2" s="55">
        <f>SUMIFS('Disbursements Summary'!$E:$E,'Disbursements Summary'!$C:$C,$C2,'Disbursements Summary'!$A:$A,"RIOC")</f>
        <v>0</v>
      </c>
      <c r="GB2" s="55">
        <f>SUMIFS('Awards Summary'!$H:$H,'Awards Summary'!$B:$B,$C2,'Awards Summary'!$J:$J,"RPCI")</f>
        <v>0</v>
      </c>
      <c r="GC2" s="55">
        <f>SUMIFS('Disbursements Summary'!$E:$E,'Disbursements Summary'!$C:$C,$C2,'Disbursements Summary'!$A:$A,"RPCI")</f>
        <v>0</v>
      </c>
      <c r="GD2" s="55">
        <f>SUMIFS('Awards Summary'!$H:$H,'Awards Summary'!$B:$B,$C2,'Awards Summary'!$J:$J,"SMDA")</f>
        <v>0</v>
      </c>
      <c r="GE2" s="55">
        <f>SUMIFS('Disbursements Summary'!$E:$E,'Disbursements Summary'!$C:$C,$C2,'Disbursements Summary'!$A:$A,"SMDA")</f>
        <v>0</v>
      </c>
      <c r="GF2" s="55">
        <f>SUMIFS('Awards Summary'!$H:$H,'Awards Summary'!$B:$B,$C2,'Awards Summary'!$J:$J,"SCOC")</f>
        <v>0</v>
      </c>
      <c r="GG2" s="55">
        <f>SUMIFS('Disbursements Summary'!$E:$E,'Disbursements Summary'!$C:$C,$C2,'Disbursements Summary'!$A:$A,"SCOC")</f>
        <v>0</v>
      </c>
      <c r="GH2" s="55">
        <f>SUMIFS('Awards Summary'!$H:$H,'Awards Summary'!$B:$B,$C2,'Awards Summary'!$J:$J,"SUCF")</f>
        <v>0</v>
      </c>
      <c r="GI2" s="55">
        <f>SUMIFS('Disbursements Summary'!$E:$E,'Disbursements Summary'!$C:$C,$C2,'Disbursements Summary'!$A:$A,"SUCF")</f>
        <v>0</v>
      </c>
      <c r="GJ2" s="55">
        <f>SUMIFS('Awards Summary'!$H:$H,'Awards Summary'!$B:$B,$C2,'Awards Summary'!$J:$J,"SUNY")</f>
        <v>0</v>
      </c>
      <c r="GK2" s="55">
        <f>SUMIFS('Disbursements Summary'!$E:$E,'Disbursements Summary'!$C:$C,$C2,'Disbursements Summary'!$A:$A,"SUNY")</f>
        <v>0</v>
      </c>
      <c r="GL2" s="55">
        <f>SUMIFS('Awards Summary'!$H:$H,'Awards Summary'!$B:$B,$C2,'Awards Summary'!$J:$J,"SRAA")</f>
        <v>0</v>
      </c>
      <c r="GM2" s="55">
        <f>SUMIFS('Disbursements Summary'!$E:$E,'Disbursements Summary'!$C:$C,$C2,'Disbursements Summary'!$A:$A,"SRAA")</f>
        <v>0</v>
      </c>
      <c r="GN2" s="55">
        <f>SUMIFS('Awards Summary'!$H:$H,'Awards Summary'!$B:$B,$C2,'Awards Summary'!$J:$J,"UNDC")</f>
        <v>0</v>
      </c>
      <c r="GO2" s="55">
        <f>SUMIFS('Disbursements Summary'!$E:$E,'Disbursements Summary'!$C:$C,$C2,'Disbursements Summary'!$A:$A,"UNDC")</f>
        <v>0</v>
      </c>
      <c r="GP2" s="55">
        <f>SUMIFS('Awards Summary'!$H:$H,'Awards Summary'!$B:$B,$C2,'Awards Summary'!$J:$J,"MVWA")</f>
        <v>0</v>
      </c>
      <c r="GQ2" s="55">
        <f>SUMIFS('Disbursements Summary'!$E:$E,'Disbursements Summary'!$C:$C,$C2,'Disbursements Summary'!$A:$A,"MVWA")</f>
        <v>0</v>
      </c>
      <c r="GR2" s="55">
        <f>SUMIFS('Awards Summary'!$H:$H,'Awards Summary'!$B:$B,$C2,'Awards Summary'!$J:$J,"WMC")</f>
        <v>0</v>
      </c>
      <c r="GS2" s="55">
        <f>SUMIFS('Disbursements Summary'!$E:$E,'Disbursements Summary'!$C:$C,$C2,'Disbursements Summary'!$A:$A,"WMC")</f>
        <v>0</v>
      </c>
      <c r="GT2" s="55">
        <f>SUMIFS('Awards Summary'!$H:$H,'Awards Summary'!$B:$B,$C2,'Awards Summary'!$J:$J,"WCB")</f>
        <v>0</v>
      </c>
      <c r="GU2" s="55">
        <f>SUMIFS('Disbursements Summary'!$E:$E,'Disbursements Summary'!$C:$C,$C2,'Disbursements Summary'!$A:$A,"WCB")</f>
        <v>0</v>
      </c>
      <c r="GV2" s="32">
        <f>(_GoBack+J2+L2+N2+P2+R2+T2+V2+X2+Z2+AB2+AD2+AF2+AH2+AJ2+AL2+AN2+AP2+AR2+AT2+AV2+AX2+AZ2+BB2+BD2+BF2+BH2+BJ2+BL2+BN2+BP2+BR2+BT2+BV2+BX2+BZ2+CB2+CD2+CF2+CH2+CJ2+CL2+CN2+CP2+CR2+CT2+CV2+CX2+CZ2+DB2+DD2+DF2+DH2+DJ2+DL2+DN2+DP2+DR2+DT2+DV2+DX2+DZ2+EB2+ED2+EF2+EH2+EJ2+EL2+EN2+EP2+ER2+ET2+EV2+EX2+EZ2+FB2+FD2+FF2+FH2+FJ2+FL2+FN2+FP2+FR2+FT2+FV2+FX2+FZ2+GB2+GD2+GF2+GH2+GJ2+GL2+GN2+GP2+GR2+GT2)</f>
        <v>0</v>
      </c>
      <c r="GW2" s="32">
        <f>(_GoBack+K2+M2+O2+Q2+S2+U2+W2+Y2+AA2+AC2+AE2+AG2+AI2+AK2+AM2+AO2+AQ2+AS2+AU2+AW2+AY2+BA2+BC2+BE2+BG2+BI2+BK2+BM2+BO2+BQ2+BS2+BU2+BW2+BY2+CA2+CC2+CE2+CG2+CI2+CK2+CM2+CO2+CQ2+CS2+CU2+CW2+CY2+DA2+DC2+DE2+DG2+DI2+DK2+DM2+DO2+DQ2+DS2+DU2+DW2+DY2+EA2+EC2+EE2+EG2+EI2+EK2+EM2+EO2+EQ2+ES2+EU2+EW2+EY2+FA2+FC2+FE2+FG2+FI2+FK2+FM2+FO2+FQ2+FS2+FU2+FW2+FY2+GA2+GC2+GE2+GG2+GI2+GK2+GM2+GO2+GQ2+GS2+GU2)</f>
        <v>0</v>
      </c>
      <c r="GX2" s="30" t="b">
        <f>(E2=GV2)</f>
        <v>1</v>
      </c>
      <c r="GY2" s="30" t="b">
        <f>(F2=GW2)</f>
        <v>1</v>
      </c>
    </row>
    <row r="3" spans="1:207" s="30" customFormat="1">
      <c r="A3" s="22" t="str">
        <f t="shared" ref="A3:A66" si="0">IF(D3&gt;0,"X","")</f>
        <v/>
      </c>
      <c r="B3" s="40" t="s">
        <v>50</v>
      </c>
      <c r="C3" s="16">
        <v>141002</v>
      </c>
      <c r="D3" s="26">
        <f>COUNTIF('Awards Summary'!B:B,"141002")</f>
        <v>0</v>
      </c>
      <c r="E3" s="45">
        <f>SUMIFS('Awards Summary'!H:H,'Awards Summary'!B:B,"141002")</f>
        <v>0</v>
      </c>
      <c r="F3" s="46">
        <f>SUMIFS('Disbursements Summary'!E:E,'Disbursements Summary'!C:C, "141002")</f>
        <v>0</v>
      </c>
      <c r="H3" s="55">
        <f>SUMIFS('Awards Summary'!$H:$H,'Awards Summary'!$B:$B,$C3,'Awards Summary'!$J:$J,"APA")</f>
        <v>0</v>
      </c>
      <c r="I3" s="55">
        <f>SUMIFS('Disbursements Summary'!$E:$E,'Disbursements Summary'!$C:$C,$C3,'Disbursements Summary'!$A:$A,"APA")</f>
        <v>0</v>
      </c>
      <c r="J3" s="55">
        <f>SUMIFS('Awards Summary'!$H:$H,'Awards Summary'!$B:$B,$C3,'Awards Summary'!$J:$J,"Ag&amp;Horse")</f>
        <v>0</v>
      </c>
      <c r="K3" s="55">
        <f>SUMIFS('Disbursements Summary'!$E:$E,'Disbursements Summary'!$C:$C,$C3,'Disbursements Summary'!$A:$A,"Ag&amp;Horse")</f>
        <v>0</v>
      </c>
      <c r="L3" s="55">
        <f>SUMIFS('Awards Summary'!$H:$H,'Awards Summary'!$B:$B,$C3,'Awards Summary'!$J:$J,"ACAA")</f>
        <v>0</v>
      </c>
      <c r="M3" s="55">
        <f>SUMIFS('Disbursements Summary'!$E:$E,'Disbursements Summary'!$C:$C,$C3,'Disbursements Summary'!$A:$A,"ACAA")</f>
        <v>0</v>
      </c>
      <c r="N3" s="55">
        <f>SUMIFS('Awards Summary'!$H:$H,'Awards Summary'!$B:$B,$C3,'Awards Summary'!$J:$J,"PortAlbany")</f>
        <v>0</v>
      </c>
      <c r="O3" s="55">
        <f>SUMIFS('Disbursements Summary'!$E:$E,'Disbursements Summary'!$C:$C,$C3,'Disbursements Summary'!$A:$A,"PortAlbany")</f>
        <v>0</v>
      </c>
      <c r="P3" s="55">
        <f>SUMIFS('Awards Summary'!$H:$H,'Awards Summary'!$B:$B,$C3,'Awards Summary'!$J:$J,"SLA")</f>
        <v>0</v>
      </c>
      <c r="Q3" s="55">
        <f>SUMIFS('Disbursements Summary'!$E:$E,'Disbursements Summary'!$C:$C,$C3,'Disbursements Summary'!$A:$A,"SLA")</f>
        <v>0</v>
      </c>
      <c r="R3" s="55">
        <f>SUMIFS('Awards Summary'!$H:$H,'Awards Summary'!$B:$B,$C3,'Awards Summary'!$J:$J,"BPCA")</f>
        <v>0</v>
      </c>
      <c r="S3" s="55">
        <f>SUMIFS('Disbursements Summary'!$E:$E,'Disbursements Summary'!$C:$C,$C3,'Disbursements Summary'!$A:$A,"BPCA")</f>
        <v>0</v>
      </c>
      <c r="T3" s="55">
        <f>SUMIFS('Awards Summary'!$H:$H,'Awards Summary'!$B:$B,$C3,'Awards Summary'!$J:$J,"ELECTIONS")</f>
        <v>0</v>
      </c>
      <c r="U3" s="55">
        <f>SUMIFS('Disbursements Summary'!$E:$E,'Disbursements Summary'!$C:$C,$C3,'Disbursements Summary'!$A:$A,"ELECTIONS")</f>
        <v>0</v>
      </c>
      <c r="V3" s="55">
        <f>SUMIFS('Awards Summary'!$H:$H,'Awards Summary'!$B:$B,$C3,'Awards Summary'!$J:$J,"BFSA")</f>
        <v>0</v>
      </c>
      <c r="W3" s="55">
        <f>SUMIFS('Disbursements Summary'!$E:$E,'Disbursements Summary'!$C:$C,$C3,'Disbursements Summary'!$A:$A,"BFSA")</f>
        <v>0</v>
      </c>
      <c r="X3" s="55">
        <f>SUMIFS('Awards Summary'!$H:$H,'Awards Summary'!$B:$B,$C3,'Awards Summary'!$J:$J,"CDTA")</f>
        <v>0</v>
      </c>
      <c r="Y3" s="55">
        <f>SUMIFS('Disbursements Summary'!$E:$E,'Disbursements Summary'!$C:$C,$C3,'Disbursements Summary'!$A:$A,"CDTA")</f>
        <v>0</v>
      </c>
      <c r="Z3" s="55">
        <f>SUMIFS('Awards Summary'!$H:$H,'Awards Summary'!$B:$B,$C3,'Awards Summary'!$J:$J,"CCWSA")</f>
        <v>0</v>
      </c>
      <c r="AA3" s="55">
        <f>SUMIFS('Disbursements Summary'!$E:$E,'Disbursements Summary'!$C:$C,$C3,'Disbursements Summary'!$A:$A,"CCWSA")</f>
        <v>0</v>
      </c>
      <c r="AB3" s="55">
        <f>SUMIFS('Awards Summary'!$H:$H,'Awards Summary'!$B:$B,$C3,'Awards Summary'!$J:$J,"CNYRTA")</f>
        <v>0</v>
      </c>
      <c r="AC3" s="55">
        <f>SUMIFS('Disbursements Summary'!$E:$E,'Disbursements Summary'!$C:$C,$C3,'Disbursements Summary'!$A:$A,"CNYRTA")</f>
        <v>0</v>
      </c>
      <c r="AD3" s="55">
        <f>SUMIFS('Awards Summary'!$H:$H,'Awards Summary'!$B:$B,$C3,'Awards Summary'!$J:$J,"CUCF")</f>
        <v>0</v>
      </c>
      <c r="AE3" s="55">
        <f>SUMIFS('Disbursements Summary'!$E:$E,'Disbursements Summary'!$C:$C,$C3,'Disbursements Summary'!$A:$A,"CUCF")</f>
        <v>0</v>
      </c>
      <c r="AF3" s="55">
        <f>SUMIFS('Awards Summary'!$H:$H,'Awards Summary'!$B:$B,$C3,'Awards Summary'!$J:$J,"CUNY")</f>
        <v>0</v>
      </c>
      <c r="AG3" s="55">
        <f>SUMIFS('Disbursements Summary'!$E:$E,'Disbursements Summary'!$C:$C,$C3,'Disbursements Summary'!$A:$A,"CUNY")</f>
        <v>0</v>
      </c>
      <c r="AH3" s="55">
        <f>SUMIFS('Awards Summary'!$H:$H,'Awards Summary'!$B:$B,$C3,'Awards Summary'!$J:$J,"ARTS")</f>
        <v>0</v>
      </c>
      <c r="AI3" s="55">
        <f>SUMIFS('Disbursements Summary'!$E:$E,'Disbursements Summary'!$C:$C,$C3,'Disbursements Summary'!$A:$A,"ARTS")</f>
        <v>0</v>
      </c>
      <c r="AJ3" s="55">
        <f>SUMIFS('Awards Summary'!$H:$H,'Awards Summary'!$B:$B,$C3,'Awards Summary'!$J:$J,"AG&amp;MKTS")</f>
        <v>0</v>
      </c>
      <c r="AK3" s="55">
        <f>SUMIFS('Disbursements Summary'!$E:$E,'Disbursements Summary'!$C:$C,$C3,'Disbursements Summary'!$A:$A,"AG&amp;MKTS")</f>
        <v>0</v>
      </c>
      <c r="AL3" s="55">
        <f>SUMIFS('Awards Summary'!$H:$H,'Awards Summary'!$B:$B,$C3,'Awards Summary'!$J:$J,"CS")</f>
        <v>0</v>
      </c>
      <c r="AM3" s="55">
        <f>SUMIFS('Disbursements Summary'!$E:$E,'Disbursements Summary'!$C:$C,$C3,'Disbursements Summary'!$A:$A,"CS")</f>
        <v>0</v>
      </c>
      <c r="AN3" s="55">
        <f>SUMIFS('Awards Summary'!$H:$H,'Awards Summary'!$B:$B,$C3,'Awards Summary'!$J:$J,"DOCCS")</f>
        <v>0</v>
      </c>
      <c r="AO3" s="55">
        <f>SUMIFS('Disbursements Summary'!$E:$E,'Disbursements Summary'!$C:$C,$C3,'Disbursements Summary'!$A:$A,"DOCCS")</f>
        <v>0</v>
      </c>
      <c r="AP3" s="55">
        <f>SUMIFS('Awards Summary'!$H:$H,'Awards Summary'!$B:$B,$C3,'Awards Summary'!$J:$J,"DED")</f>
        <v>0</v>
      </c>
      <c r="AQ3" s="55">
        <f>SUMIFS('Disbursements Summary'!$E:$E,'Disbursements Summary'!$C:$C,$C3,'Disbursements Summary'!$A:$A,"DED")</f>
        <v>0</v>
      </c>
      <c r="AR3" s="55">
        <f>SUMIFS('Awards Summary'!$H:$H,'Awards Summary'!$B:$B,$C3,'Awards Summary'!$J:$J,"DEC")</f>
        <v>0</v>
      </c>
      <c r="AS3" s="55">
        <f>SUMIFS('Disbursements Summary'!$E:$E,'Disbursements Summary'!$C:$C,$C3,'Disbursements Summary'!$A:$A,"DEC")</f>
        <v>0</v>
      </c>
      <c r="AT3" s="55">
        <f>SUMIFS('Awards Summary'!$H:$H,'Awards Summary'!$B:$B,$C3,'Awards Summary'!$J:$J,"DFS")</f>
        <v>0</v>
      </c>
      <c r="AU3" s="55">
        <f>SUMIFS('Disbursements Summary'!$E:$E,'Disbursements Summary'!$C:$C,$C3,'Disbursements Summary'!$A:$A,"DFS")</f>
        <v>0</v>
      </c>
      <c r="AV3" s="55">
        <f>SUMIFS('Awards Summary'!$H:$H,'Awards Summary'!$B:$B,$C3,'Awards Summary'!$J:$J,"DOH")</f>
        <v>0</v>
      </c>
      <c r="AW3" s="55">
        <f>SUMIFS('Disbursements Summary'!$E:$E,'Disbursements Summary'!$C:$C,$C3,'Disbursements Summary'!$A:$A,"DOH")</f>
        <v>0</v>
      </c>
      <c r="AX3" s="55">
        <f>SUMIFS('Awards Summary'!$H:$H,'Awards Summary'!$B:$B,$C3,'Awards Summary'!$J:$J,"DOL")</f>
        <v>0</v>
      </c>
      <c r="AY3" s="55">
        <f>SUMIFS('Disbursements Summary'!$E:$E,'Disbursements Summary'!$C:$C,$C3,'Disbursements Summary'!$A:$A,"DOL")</f>
        <v>0</v>
      </c>
      <c r="AZ3" s="55">
        <f>SUMIFS('Awards Summary'!$H:$H,'Awards Summary'!$B:$B,$C3,'Awards Summary'!$J:$J,"DMV")</f>
        <v>0</v>
      </c>
      <c r="BA3" s="55">
        <f>SUMIFS('Disbursements Summary'!$E:$E,'Disbursements Summary'!$C:$C,$C3,'Disbursements Summary'!$A:$A,"DMV")</f>
        <v>0</v>
      </c>
      <c r="BB3" s="55">
        <f>SUMIFS('Awards Summary'!$H:$H,'Awards Summary'!$B:$B,$C3,'Awards Summary'!$J:$J,"DPS")</f>
        <v>0</v>
      </c>
      <c r="BC3" s="55">
        <f>SUMIFS('Disbursements Summary'!$E:$E,'Disbursements Summary'!$C:$C,$C3,'Disbursements Summary'!$A:$A,"DPS")</f>
        <v>0</v>
      </c>
      <c r="BD3" s="55">
        <f>SUMIFS('Awards Summary'!$H:$H,'Awards Summary'!$B:$B,$C3,'Awards Summary'!$J:$J,"DOS")</f>
        <v>0</v>
      </c>
      <c r="BE3" s="55">
        <f>SUMIFS('Disbursements Summary'!$E:$E,'Disbursements Summary'!$C:$C,$C3,'Disbursements Summary'!$A:$A,"DOS")</f>
        <v>0</v>
      </c>
      <c r="BF3" s="55">
        <f>SUMIFS('Awards Summary'!$H:$H,'Awards Summary'!$B:$B,$C3,'Awards Summary'!$J:$J,"TAX")</f>
        <v>0</v>
      </c>
      <c r="BG3" s="55">
        <f>SUMIFS('Disbursements Summary'!$E:$E,'Disbursements Summary'!$C:$C,$C3,'Disbursements Summary'!$A:$A,"TAX")</f>
        <v>0</v>
      </c>
      <c r="BH3" s="55">
        <f>SUMIFS('Awards Summary'!$H:$H,'Awards Summary'!$B:$B,$C3,'Awards Summary'!$J:$J,"DOT")</f>
        <v>0</v>
      </c>
      <c r="BI3" s="55">
        <f>SUMIFS('Disbursements Summary'!$E:$E,'Disbursements Summary'!$C:$C,$C3,'Disbursements Summary'!$A:$A,"DOT")</f>
        <v>0</v>
      </c>
      <c r="BJ3" s="55">
        <f>SUMIFS('Awards Summary'!$H:$H,'Awards Summary'!$B:$B,$C3,'Awards Summary'!$J:$J,"DANC")</f>
        <v>0</v>
      </c>
      <c r="BK3" s="55">
        <f>SUMIFS('Disbursements Summary'!$E:$E,'Disbursements Summary'!$C:$C,$C3,'Disbursements Summary'!$A:$A,"DANC")</f>
        <v>0</v>
      </c>
      <c r="BL3" s="55">
        <f>SUMIFS('Awards Summary'!$H:$H,'Awards Summary'!$B:$B,$C3,'Awards Summary'!$J:$J,"DOB")</f>
        <v>0</v>
      </c>
      <c r="BM3" s="55">
        <f>SUMIFS('Disbursements Summary'!$E:$E,'Disbursements Summary'!$C:$C,$C3,'Disbursements Summary'!$A:$A,"DOB")</f>
        <v>0</v>
      </c>
      <c r="BN3" s="55">
        <f>SUMIFS('Awards Summary'!$H:$H,'Awards Summary'!$B:$B,$C3,'Awards Summary'!$J:$J,"DCJS")</f>
        <v>0</v>
      </c>
      <c r="BO3" s="55">
        <f>SUMIFS('Disbursements Summary'!$E:$E,'Disbursements Summary'!$C:$C,$C3,'Disbursements Summary'!$A:$A,"DCJS")</f>
        <v>0</v>
      </c>
      <c r="BP3" s="55">
        <f>SUMIFS('Awards Summary'!$H:$H,'Awards Summary'!$B:$B,$C3,'Awards Summary'!$J:$J,"DHSES")</f>
        <v>0</v>
      </c>
      <c r="BQ3" s="55">
        <f>SUMIFS('Disbursements Summary'!$E:$E,'Disbursements Summary'!$C:$C,$C3,'Disbursements Summary'!$A:$A,"DHSES")</f>
        <v>0</v>
      </c>
      <c r="BR3" s="55">
        <f>SUMIFS('Awards Summary'!$H:$H,'Awards Summary'!$B:$B,$C3,'Awards Summary'!$J:$J,"DHR")</f>
        <v>0</v>
      </c>
      <c r="BS3" s="55">
        <f>SUMIFS('Disbursements Summary'!$E:$E,'Disbursements Summary'!$C:$C,$C3,'Disbursements Summary'!$A:$A,"DHR")</f>
        <v>0</v>
      </c>
      <c r="BT3" s="55">
        <f>SUMIFS('Awards Summary'!$H:$H,'Awards Summary'!$B:$B,$C3,'Awards Summary'!$J:$J,"DMNA")</f>
        <v>0</v>
      </c>
      <c r="BU3" s="55">
        <f>SUMIFS('Disbursements Summary'!$E:$E,'Disbursements Summary'!$C:$C,$C3,'Disbursements Summary'!$A:$A,"DMNA")</f>
        <v>0</v>
      </c>
      <c r="BV3" s="55">
        <f>SUMIFS('Awards Summary'!$H:$H,'Awards Summary'!$B:$B,$C3,'Awards Summary'!$J:$J,"TROOPERS")</f>
        <v>0</v>
      </c>
      <c r="BW3" s="55">
        <f>SUMIFS('Disbursements Summary'!$E:$E,'Disbursements Summary'!$C:$C,$C3,'Disbursements Summary'!$A:$A,"TROOPERS")</f>
        <v>0</v>
      </c>
      <c r="BX3" s="55">
        <f>SUMIFS('Awards Summary'!$H:$H,'Awards Summary'!$B:$B,$C3,'Awards Summary'!$J:$J,"DVA")</f>
        <v>0</v>
      </c>
      <c r="BY3" s="55">
        <f>SUMIFS('Disbursements Summary'!$E:$E,'Disbursements Summary'!$C:$C,$C3,'Disbursements Summary'!$A:$A,"DVA")</f>
        <v>0</v>
      </c>
      <c r="BZ3" s="55">
        <f>SUMIFS('Awards Summary'!$H:$H,'Awards Summary'!$B:$B,$C3,'Awards Summary'!$J:$J,"DASNY")</f>
        <v>0</v>
      </c>
      <c r="CA3" s="55">
        <f>SUMIFS('Disbursements Summary'!$E:$E,'Disbursements Summary'!$C:$C,$C3,'Disbursements Summary'!$A:$A,"DASNY")</f>
        <v>0</v>
      </c>
      <c r="CB3" s="55">
        <f>SUMIFS('Awards Summary'!$H:$H,'Awards Summary'!$B:$B,$C3,'Awards Summary'!$J:$J,"EGG")</f>
        <v>0</v>
      </c>
      <c r="CC3" s="55">
        <f>SUMIFS('Disbursements Summary'!$E:$E,'Disbursements Summary'!$C:$C,$C3,'Disbursements Summary'!$A:$A,"EGG")</f>
        <v>0</v>
      </c>
      <c r="CD3" s="55">
        <f>SUMIFS('Awards Summary'!$H:$H,'Awards Summary'!$B:$B,$C3,'Awards Summary'!$J:$J,"ESD")</f>
        <v>0</v>
      </c>
      <c r="CE3" s="55">
        <f>SUMIFS('Disbursements Summary'!$E:$E,'Disbursements Summary'!$C:$C,$C3,'Disbursements Summary'!$A:$A,"ESD")</f>
        <v>0</v>
      </c>
      <c r="CF3" s="55">
        <f>SUMIFS('Awards Summary'!$H:$H,'Awards Summary'!$B:$B,$C3,'Awards Summary'!$J:$J,"EFC")</f>
        <v>0</v>
      </c>
      <c r="CG3" s="55">
        <f>SUMIFS('Disbursements Summary'!$E:$E,'Disbursements Summary'!$C:$C,$C3,'Disbursements Summary'!$A:$A,"EFC")</f>
        <v>0</v>
      </c>
      <c r="CH3" s="55">
        <f>SUMIFS('Awards Summary'!$H:$H,'Awards Summary'!$B:$B,$C3,'Awards Summary'!$J:$J,"ECFSA")</f>
        <v>0</v>
      </c>
      <c r="CI3" s="55">
        <f>SUMIFS('Disbursements Summary'!$E:$E,'Disbursements Summary'!$C:$C,$C3,'Disbursements Summary'!$A:$A,"ECFSA")</f>
        <v>0</v>
      </c>
      <c r="CJ3" s="55">
        <f>SUMIFS('Awards Summary'!$H:$H,'Awards Summary'!$B:$B,$C3,'Awards Summary'!$J:$J,"ECMC")</f>
        <v>0</v>
      </c>
      <c r="CK3" s="55">
        <f>SUMIFS('Disbursements Summary'!$E:$E,'Disbursements Summary'!$C:$C,$C3,'Disbursements Summary'!$A:$A,"ECMC")</f>
        <v>0</v>
      </c>
      <c r="CL3" s="55">
        <f>SUMIFS('Awards Summary'!$H:$H,'Awards Summary'!$B:$B,$C3,'Awards Summary'!$J:$J,"CHAMBER")</f>
        <v>0</v>
      </c>
      <c r="CM3" s="55">
        <f>SUMIFS('Disbursements Summary'!$E:$E,'Disbursements Summary'!$C:$C,$C3,'Disbursements Summary'!$A:$A,"CHAMBER")</f>
        <v>0</v>
      </c>
      <c r="CN3" s="55">
        <f>SUMIFS('Awards Summary'!$H:$H,'Awards Summary'!$B:$B,$C3,'Awards Summary'!$J:$J,"GAMING")</f>
        <v>0</v>
      </c>
      <c r="CO3" s="55">
        <f>SUMIFS('Disbursements Summary'!$E:$E,'Disbursements Summary'!$C:$C,$C3,'Disbursements Summary'!$A:$A,"GAMING")</f>
        <v>0</v>
      </c>
      <c r="CP3" s="55">
        <f>SUMIFS('Awards Summary'!$H:$H,'Awards Summary'!$B:$B,$C3,'Awards Summary'!$J:$J,"GOER")</f>
        <v>0</v>
      </c>
      <c r="CQ3" s="55">
        <f>SUMIFS('Disbursements Summary'!$E:$E,'Disbursements Summary'!$C:$C,$C3,'Disbursements Summary'!$A:$A,"GOER")</f>
        <v>0</v>
      </c>
      <c r="CR3" s="55">
        <f>SUMIFS('Awards Summary'!$H:$H,'Awards Summary'!$B:$B,$C3,'Awards Summary'!$J:$J,"HESC")</f>
        <v>0</v>
      </c>
      <c r="CS3" s="55">
        <f>SUMIFS('Disbursements Summary'!$E:$E,'Disbursements Summary'!$C:$C,$C3,'Disbursements Summary'!$A:$A,"HESC")</f>
        <v>0</v>
      </c>
      <c r="CT3" s="55">
        <f>SUMIFS('Awards Summary'!$H:$H,'Awards Summary'!$B:$B,$C3,'Awards Summary'!$J:$J,"GOSR")</f>
        <v>0</v>
      </c>
      <c r="CU3" s="55">
        <f>SUMIFS('Disbursements Summary'!$E:$E,'Disbursements Summary'!$C:$C,$C3,'Disbursements Summary'!$A:$A,"GOSR")</f>
        <v>0</v>
      </c>
      <c r="CV3" s="55">
        <f>SUMIFS('Awards Summary'!$H:$H,'Awards Summary'!$B:$B,$C3,'Awards Summary'!$J:$J,"HRPT")</f>
        <v>0</v>
      </c>
      <c r="CW3" s="55">
        <f>SUMIFS('Disbursements Summary'!$E:$E,'Disbursements Summary'!$C:$C,$C3,'Disbursements Summary'!$A:$A,"HRPT")</f>
        <v>0</v>
      </c>
      <c r="CX3" s="55">
        <f>SUMIFS('Awards Summary'!$H:$H,'Awards Summary'!$B:$B,$C3,'Awards Summary'!$J:$J,"HRBRRD")</f>
        <v>0</v>
      </c>
      <c r="CY3" s="55">
        <f>SUMIFS('Disbursements Summary'!$E:$E,'Disbursements Summary'!$C:$C,$C3,'Disbursements Summary'!$A:$A,"HRBRRD")</f>
        <v>0</v>
      </c>
      <c r="CZ3" s="55">
        <f>SUMIFS('Awards Summary'!$H:$H,'Awards Summary'!$B:$B,$C3,'Awards Summary'!$J:$J,"ITS")</f>
        <v>0</v>
      </c>
      <c r="DA3" s="55">
        <f>SUMIFS('Disbursements Summary'!$E:$E,'Disbursements Summary'!$C:$C,$C3,'Disbursements Summary'!$A:$A,"ITS")</f>
        <v>0</v>
      </c>
      <c r="DB3" s="55">
        <f>SUMIFS('Awards Summary'!$H:$H,'Awards Summary'!$B:$B,$C3,'Awards Summary'!$J:$J,"JAVITS")</f>
        <v>0</v>
      </c>
      <c r="DC3" s="55">
        <f>SUMIFS('Disbursements Summary'!$E:$E,'Disbursements Summary'!$C:$C,$C3,'Disbursements Summary'!$A:$A,"JAVITS")</f>
        <v>0</v>
      </c>
      <c r="DD3" s="55">
        <f>SUMIFS('Awards Summary'!$H:$H,'Awards Summary'!$B:$B,$C3,'Awards Summary'!$J:$J,"JCOPE")</f>
        <v>0</v>
      </c>
      <c r="DE3" s="55">
        <f>SUMIFS('Disbursements Summary'!$E:$E,'Disbursements Summary'!$C:$C,$C3,'Disbursements Summary'!$A:$A,"JCOPE")</f>
        <v>0</v>
      </c>
      <c r="DF3" s="55">
        <f>SUMIFS('Awards Summary'!$H:$H,'Awards Summary'!$B:$B,$C3,'Awards Summary'!$J:$J,"JUSTICE")</f>
        <v>0</v>
      </c>
      <c r="DG3" s="55">
        <f>SUMIFS('Disbursements Summary'!$E:$E,'Disbursements Summary'!$C:$C,$C3,'Disbursements Summary'!$A:$A,"JUSTICE")</f>
        <v>0</v>
      </c>
      <c r="DH3" s="55">
        <f>SUMIFS('Awards Summary'!$H:$H,'Awards Summary'!$B:$B,$C3,'Awards Summary'!$J:$J,"LCWSA")</f>
        <v>0</v>
      </c>
      <c r="DI3" s="55">
        <f>SUMIFS('Disbursements Summary'!$E:$E,'Disbursements Summary'!$C:$C,$C3,'Disbursements Summary'!$A:$A,"LCWSA")</f>
        <v>0</v>
      </c>
      <c r="DJ3" s="55">
        <f>SUMIFS('Awards Summary'!$H:$H,'Awards Summary'!$B:$B,$C3,'Awards Summary'!$J:$J,"LIPA")</f>
        <v>0</v>
      </c>
      <c r="DK3" s="55">
        <f>SUMIFS('Disbursements Summary'!$E:$E,'Disbursements Summary'!$C:$C,$C3,'Disbursements Summary'!$A:$A,"LIPA")</f>
        <v>0</v>
      </c>
      <c r="DL3" s="55">
        <f>SUMIFS('Awards Summary'!$H:$H,'Awards Summary'!$B:$B,$C3,'Awards Summary'!$J:$J,"MTA")</f>
        <v>0</v>
      </c>
      <c r="DM3" s="55">
        <f>SUMIFS('Disbursements Summary'!$E:$E,'Disbursements Summary'!$C:$C,$C3,'Disbursements Summary'!$A:$A,"MTA")</f>
        <v>0</v>
      </c>
      <c r="DN3" s="55">
        <f>SUMIFS('Awards Summary'!$H:$H,'Awards Summary'!$B:$B,$C3,'Awards Summary'!$J:$J,"NIFA")</f>
        <v>0</v>
      </c>
      <c r="DO3" s="55">
        <f>SUMIFS('Disbursements Summary'!$E:$E,'Disbursements Summary'!$C:$C,$C3,'Disbursements Summary'!$A:$A,"NIFA")</f>
        <v>0</v>
      </c>
      <c r="DP3" s="55">
        <f>SUMIFS('Awards Summary'!$H:$H,'Awards Summary'!$B:$B,$C3,'Awards Summary'!$J:$J,"NHCC")</f>
        <v>0</v>
      </c>
      <c r="DQ3" s="55">
        <f>SUMIFS('Disbursements Summary'!$E:$E,'Disbursements Summary'!$C:$C,$C3,'Disbursements Summary'!$A:$A,"NHCC")</f>
        <v>0</v>
      </c>
      <c r="DR3" s="55">
        <f>SUMIFS('Awards Summary'!$H:$H,'Awards Summary'!$B:$B,$C3,'Awards Summary'!$J:$J,"NHT")</f>
        <v>0</v>
      </c>
      <c r="DS3" s="55">
        <f>SUMIFS('Disbursements Summary'!$E:$E,'Disbursements Summary'!$C:$C,$C3,'Disbursements Summary'!$A:$A,"NHT")</f>
        <v>0</v>
      </c>
      <c r="DT3" s="55">
        <f>SUMIFS('Awards Summary'!$H:$H,'Awards Summary'!$B:$B,$C3,'Awards Summary'!$J:$J,"NYPA")</f>
        <v>0</v>
      </c>
      <c r="DU3" s="55">
        <f>SUMIFS('Disbursements Summary'!$E:$E,'Disbursements Summary'!$C:$C,$C3,'Disbursements Summary'!$A:$A,"NYPA")</f>
        <v>0</v>
      </c>
      <c r="DV3" s="55">
        <f>SUMIFS('Awards Summary'!$H:$H,'Awards Summary'!$B:$B,$C3,'Awards Summary'!$J:$J,"NYSBA")</f>
        <v>0</v>
      </c>
      <c r="DW3" s="55">
        <f>SUMIFS('Disbursements Summary'!$E:$E,'Disbursements Summary'!$C:$C,$C3,'Disbursements Summary'!$A:$A,"NYSBA")</f>
        <v>0</v>
      </c>
      <c r="DX3" s="55">
        <f>SUMIFS('Awards Summary'!$H:$H,'Awards Summary'!$B:$B,$C3,'Awards Summary'!$J:$J,"NYSERDA")</f>
        <v>0</v>
      </c>
      <c r="DY3" s="55">
        <f>SUMIFS('Disbursements Summary'!$E:$E,'Disbursements Summary'!$C:$C,$C3,'Disbursements Summary'!$A:$A,"NYSERDA")</f>
        <v>0</v>
      </c>
      <c r="DZ3" s="55">
        <f>SUMIFS('Awards Summary'!$H:$H,'Awards Summary'!$B:$B,$C3,'Awards Summary'!$J:$J,"DHCR")</f>
        <v>0</v>
      </c>
      <c r="EA3" s="55">
        <f>SUMIFS('Disbursements Summary'!$E:$E,'Disbursements Summary'!$C:$C,$C3,'Disbursements Summary'!$A:$A,"DHCR")</f>
        <v>0</v>
      </c>
      <c r="EB3" s="55">
        <f>SUMIFS('Awards Summary'!$H:$H,'Awards Summary'!$B:$B,$C3,'Awards Summary'!$J:$J,"HFA")</f>
        <v>0</v>
      </c>
      <c r="EC3" s="55">
        <f>SUMIFS('Disbursements Summary'!$E:$E,'Disbursements Summary'!$C:$C,$C3,'Disbursements Summary'!$A:$A,"HFA")</f>
        <v>0</v>
      </c>
      <c r="ED3" s="55">
        <f>SUMIFS('Awards Summary'!$H:$H,'Awards Summary'!$B:$B,$C3,'Awards Summary'!$J:$J,"NYSIF")</f>
        <v>0</v>
      </c>
      <c r="EE3" s="55">
        <f>SUMIFS('Disbursements Summary'!$E:$E,'Disbursements Summary'!$C:$C,$C3,'Disbursements Summary'!$A:$A,"NYSIF")</f>
        <v>0</v>
      </c>
      <c r="EF3" s="55">
        <f>SUMIFS('Awards Summary'!$H:$H,'Awards Summary'!$B:$B,$C3,'Awards Summary'!$J:$J,"NYBREDS")</f>
        <v>0</v>
      </c>
      <c r="EG3" s="55">
        <f>SUMIFS('Disbursements Summary'!$E:$E,'Disbursements Summary'!$C:$C,$C3,'Disbursements Summary'!$A:$A,"NYBREDS")</f>
        <v>0</v>
      </c>
      <c r="EH3" s="55">
        <f>SUMIFS('Awards Summary'!$H:$H,'Awards Summary'!$B:$B,$C3,'Awards Summary'!$J:$J,"NYSTA")</f>
        <v>0</v>
      </c>
      <c r="EI3" s="55">
        <f>SUMIFS('Disbursements Summary'!$E:$E,'Disbursements Summary'!$C:$C,$C3,'Disbursements Summary'!$A:$A,"NYSTA")</f>
        <v>0</v>
      </c>
      <c r="EJ3" s="55">
        <f>SUMIFS('Awards Summary'!$H:$H,'Awards Summary'!$B:$B,$C3,'Awards Summary'!$J:$J,"NFWB")</f>
        <v>0</v>
      </c>
      <c r="EK3" s="55">
        <f>SUMIFS('Disbursements Summary'!$E:$E,'Disbursements Summary'!$C:$C,$C3,'Disbursements Summary'!$A:$A,"NFWB")</f>
        <v>0</v>
      </c>
      <c r="EL3" s="55">
        <f>SUMIFS('Awards Summary'!$H:$H,'Awards Summary'!$B:$B,$C3,'Awards Summary'!$J:$J,"NFTA")</f>
        <v>0</v>
      </c>
      <c r="EM3" s="55">
        <f>SUMIFS('Disbursements Summary'!$E:$E,'Disbursements Summary'!$C:$C,$C3,'Disbursements Summary'!$A:$A,"NFTA")</f>
        <v>0</v>
      </c>
      <c r="EN3" s="55">
        <f>SUMIFS('Awards Summary'!$H:$H,'Awards Summary'!$B:$B,$C3,'Awards Summary'!$J:$J,"OPWDD")</f>
        <v>0</v>
      </c>
      <c r="EO3" s="55">
        <f>SUMIFS('Disbursements Summary'!$E:$E,'Disbursements Summary'!$C:$C,$C3,'Disbursements Summary'!$A:$A,"OPWDD")</f>
        <v>0</v>
      </c>
      <c r="EP3" s="55">
        <f>SUMIFS('Awards Summary'!$H:$H,'Awards Summary'!$B:$B,$C3,'Awards Summary'!$J:$J,"AGING")</f>
        <v>0</v>
      </c>
      <c r="EQ3" s="55">
        <f>SUMIFS('Disbursements Summary'!$E:$E,'Disbursements Summary'!$C:$C,$C3,'Disbursements Summary'!$A:$A,"AGING")</f>
        <v>0</v>
      </c>
      <c r="ER3" s="55">
        <f>SUMIFS('Awards Summary'!$H:$H,'Awards Summary'!$B:$B,$C3,'Awards Summary'!$J:$J,"OPDV")</f>
        <v>0</v>
      </c>
      <c r="ES3" s="55">
        <f>SUMIFS('Disbursements Summary'!$E:$E,'Disbursements Summary'!$C:$C,$C3,'Disbursements Summary'!$A:$A,"OPDV")</f>
        <v>0</v>
      </c>
      <c r="ET3" s="55">
        <f>SUMIFS('Awards Summary'!$H:$H,'Awards Summary'!$B:$B,$C3,'Awards Summary'!$J:$J,"OVS")</f>
        <v>0</v>
      </c>
      <c r="EU3" s="55">
        <f>SUMIFS('Disbursements Summary'!$E:$E,'Disbursements Summary'!$C:$C,$C3,'Disbursements Summary'!$A:$A,"OVS")</f>
        <v>0</v>
      </c>
      <c r="EV3" s="55">
        <f>SUMIFS('Awards Summary'!$H:$H,'Awards Summary'!$B:$B,$C3,'Awards Summary'!$J:$J,"OASAS")</f>
        <v>0</v>
      </c>
      <c r="EW3" s="55">
        <f>SUMIFS('Disbursements Summary'!$E:$E,'Disbursements Summary'!$C:$C,$C3,'Disbursements Summary'!$A:$A,"OASAS")</f>
        <v>0</v>
      </c>
      <c r="EX3" s="55">
        <f>SUMIFS('Awards Summary'!$H:$H,'Awards Summary'!$B:$B,$C3,'Awards Summary'!$J:$J,"OCFS")</f>
        <v>0</v>
      </c>
      <c r="EY3" s="55">
        <f>SUMIFS('Disbursements Summary'!$E:$E,'Disbursements Summary'!$C:$C,$C3,'Disbursements Summary'!$A:$A,"OCFS")</f>
        <v>0</v>
      </c>
      <c r="EZ3" s="55">
        <f>SUMIFS('Awards Summary'!$H:$H,'Awards Summary'!$B:$B,$C3,'Awards Summary'!$J:$J,"OGS")</f>
        <v>0</v>
      </c>
      <c r="FA3" s="55">
        <f>SUMIFS('Disbursements Summary'!$E:$E,'Disbursements Summary'!$C:$C,$C3,'Disbursements Summary'!$A:$A,"OGS")</f>
        <v>0</v>
      </c>
      <c r="FB3" s="55">
        <f>SUMIFS('Awards Summary'!$H:$H,'Awards Summary'!$B:$B,$C3,'Awards Summary'!$J:$J,"OMH")</f>
        <v>0</v>
      </c>
      <c r="FC3" s="55">
        <f>SUMIFS('Disbursements Summary'!$E:$E,'Disbursements Summary'!$C:$C,$C3,'Disbursements Summary'!$A:$A,"OMH")</f>
        <v>0</v>
      </c>
      <c r="FD3" s="55">
        <f>SUMIFS('Awards Summary'!$H:$H,'Awards Summary'!$B:$B,$C3,'Awards Summary'!$J:$J,"PARKS")</f>
        <v>0</v>
      </c>
      <c r="FE3" s="55">
        <f>SUMIFS('Disbursements Summary'!$E:$E,'Disbursements Summary'!$C:$C,$C3,'Disbursements Summary'!$A:$A,"PARKS")</f>
        <v>0</v>
      </c>
      <c r="FF3" s="55">
        <f>SUMIFS('Awards Summary'!$H:$H,'Awards Summary'!$B:$B,$C3,'Awards Summary'!$J:$J,"OTDA")</f>
        <v>0</v>
      </c>
      <c r="FG3" s="55">
        <f>SUMIFS('Disbursements Summary'!$E:$E,'Disbursements Summary'!$C:$C,$C3,'Disbursements Summary'!$A:$A,"OTDA")</f>
        <v>0</v>
      </c>
      <c r="FH3" s="55">
        <f>SUMIFS('Awards Summary'!$H:$H,'Awards Summary'!$B:$B,$C3,'Awards Summary'!$J:$J,"OIG")</f>
        <v>0</v>
      </c>
      <c r="FI3" s="55">
        <f>SUMIFS('Disbursements Summary'!$E:$E,'Disbursements Summary'!$C:$C,$C3,'Disbursements Summary'!$A:$A,"OIG")</f>
        <v>0</v>
      </c>
      <c r="FJ3" s="55">
        <f>SUMIFS('Awards Summary'!$H:$H,'Awards Summary'!$B:$B,$C3,'Awards Summary'!$J:$J,"OMIG")</f>
        <v>0</v>
      </c>
      <c r="FK3" s="55">
        <f>SUMIFS('Disbursements Summary'!$E:$E,'Disbursements Summary'!$C:$C,$C3,'Disbursements Summary'!$A:$A,"OMIG")</f>
        <v>0</v>
      </c>
      <c r="FL3" s="55">
        <f>SUMIFS('Awards Summary'!$H:$H,'Awards Summary'!$B:$B,$C3,'Awards Summary'!$J:$J,"OSC")</f>
        <v>0</v>
      </c>
      <c r="FM3" s="55">
        <f>SUMIFS('Disbursements Summary'!$E:$E,'Disbursements Summary'!$C:$C,$C3,'Disbursements Summary'!$A:$A,"OSC")</f>
        <v>0</v>
      </c>
      <c r="FN3" s="55">
        <f>SUMIFS('Awards Summary'!$H:$H,'Awards Summary'!$B:$B,$C3,'Awards Summary'!$J:$J,"OWIG")</f>
        <v>0</v>
      </c>
      <c r="FO3" s="55">
        <f>SUMIFS('Disbursements Summary'!$E:$E,'Disbursements Summary'!$C:$C,$C3,'Disbursements Summary'!$A:$A,"OWIG")</f>
        <v>0</v>
      </c>
      <c r="FP3" s="55">
        <f>SUMIFS('Awards Summary'!$H:$H,'Awards Summary'!$B:$B,$C3,'Awards Summary'!$J:$J,"OGDEN")</f>
        <v>0</v>
      </c>
      <c r="FQ3" s="55">
        <f>SUMIFS('Disbursements Summary'!$E:$E,'Disbursements Summary'!$C:$C,$C3,'Disbursements Summary'!$A:$A,"OGDEN")</f>
        <v>0</v>
      </c>
      <c r="FR3" s="55">
        <f>SUMIFS('Awards Summary'!$H:$H,'Awards Summary'!$B:$B,$C3,'Awards Summary'!$J:$J,"ORDA")</f>
        <v>0</v>
      </c>
      <c r="FS3" s="55">
        <f>SUMIFS('Disbursements Summary'!$E:$E,'Disbursements Summary'!$C:$C,$C3,'Disbursements Summary'!$A:$A,"ORDA")</f>
        <v>0</v>
      </c>
      <c r="FT3" s="55">
        <f>SUMIFS('Awards Summary'!$H:$H,'Awards Summary'!$B:$B,$C3,'Awards Summary'!$J:$J,"OSWEGO")</f>
        <v>0</v>
      </c>
      <c r="FU3" s="55">
        <f>SUMIFS('Disbursements Summary'!$E:$E,'Disbursements Summary'!$C:$C,$C3,'Disbursements Summary'!$A:$A,"OSWEGO")</f>
        <v>0</v>
      </c>
      <c r="FV3" s="55">
        <f>SUMIFS('Awards Summary'!$H:$H,'Awards Summary'!$B:$B,$C3,'Awards Summary'!$J:$J,"PERB")</f>
        <v>0</v>
      </c>
      <c r="FW3" s="55">
        <f>SUMIFS('Disbursements Summary'!$E:$E,'Disbursements Summary'!$C:$C,$C3,'Disbursements Summary'!$A:$A,"PERB")</f>
        <v>0</v>
      </c>
      <c r="FX3" s="55">
        <f>SUMIFS('Awards Summary'!$H:$H,'Awards Summary'!$B:$B,$C3,'Awards Summary'!$J:$J,"RGRTA")</f>
        <v>0</v>
      </c>
      <c r="FY3" s="55">
        <f>SUMIFS('Disbursements Summary'!$E:$E,'Disbursements Summary'!$C:$C,$C3,'Disbursements Summary'!$A:$A,"RGRTA")</f>
        <v>0</v>
      </c>
      <c r="FZ3" s="55">
        <f>SUMIFS('Awards Summary'!$H:$H,'Awards Summary'!$B:$B,$C3,'Awards Summary'!$J:$J,"RIOC")</f>
        <v>0</v>
      </c>
      <c r="GA3" s="55">
        <f>SUMIFS('Disbursements Summary'!$E:$E,'Disbursements Summary'!$C:$C,$C3,'Disbursements Summary'!$A:$A,"RIOC")</f>
        <v>0</v>
      </c>
      <c r="GB3" s="55">
        <f>SUMIFS('Awards Summary'!$H:$H,'Awards Summary'!$B:$B,$C3,'Awards Summary'!$J:$J,"RPCI")</f>
        <v>0</v>
      </c>
      <c r="GC3" s="55">
        <f>SUMIFS('Disbursements Summary'!$E:$E,'Disbursements Summary'!$C:$C,$C3,'Disbursements Summary'!$A:$A,"RPCI")</f>
        <v>0</v>
      </c>
      <c r="GD3" s="55">
        <f>SUMIFS('Awards Summary'!$H:$H,'Awards Summary'!$B:$B,$C3,'Awards Summary'!$J:$J,"SMDA")</f>
        <v>0</v>
      </c>
      <c r="GE3" s="55">
        <f>SUMIFS('Disbursements Summary'!$E:$E,'Disbursements Summary'!$C:$C,$C3,'Disbursements Summary'!$A:$A,"SMDA")</f>
        <v>0</v>
      </c>
      <c r="GF3" s="55">
        <f>SUMIFS('Awards Summary'!$H:$H,'Awards Summary'!$B:$B,$C3,'Awards Summary'!$J:$J,"SCOC")</f>
        <v>0</v>
      </c>
      <c r="GG3" s="55">
        <f>SUMIFS('Disbursements Summary'!$E:$E,'Disbursements Summary'!$C:$C,$C3,'Disbursements Summary'!$A:$A,"SCOC")</f>
        <v>0</v>
      </c>
      <c r="GH3" s="55">
        <f>SUMIFS('Awards Summary'!$H:$H,'Awards Summary'!$B:$B,$C3,'Awards Summary'!$J:$J,"SUCF")</f>
        <v>0</v>
      </c>
      <c r="GI3" s="55">
        <f>SUMIFS('Disbursements Summary'!$E:$E,'Disbursements Summary'!$C:$C,$C3,'Disbursements Summary'!$A:$A,"SUCF")</f>
        <v>0</v>
      </c>
      <c r="GJ3" s="55">
        <f>SUMIFS('Awards Summary'!$H:$H,'Awards Summary'!$B:$B,$C3,'Awards Summary'!$J:$J,"SUNY")</f>
        <v>0</v>
      </c>
      <c r="GK3" s="55">
        <f>SUMIFS('Disbursements Summary'!$E:$E,'Disbursements Summary'!$C:$C,$C3,'Disbursements Summary'!$A:$A,"SUNY")</f>
        <v>0</v>
      </c>
      <c r="GL3" s="55">
        <f>SUMIFS('Awards Summary'!$H:$H,'Awards Summary'!$B:$B,$C3,'Awards Summary'!$J:$J,"SRAA")</f>
        <v>0</v>
      </c>
      <c r="GM3" s="55">
        <f>SUMIFS('Disbursements Summary'!$E:$E,'Disbursements Summary'!$C:$C,$C3,'Disbursements Summary'!$A:$A,"SRAA")</f>
        <v>0</v>
      </c>
      <c r="GN3" s="55">
        <f>SUMIFS('Awards Summary'!$H:$H,'Awards Summary'!$B:$B,$C3,'Awards Summary'!$J:$J,"UNDC")</f>
        <v>0</v>
      </c>
      <c r="GO3" s="55">
        <f>SUMIFS('Disbursements Summary'!$E:$E,'Disbursements Summary'!$C:$C,$C3,'Disbursements Summary'!$A:$A,"UNDC")</f>
        <v>0</v>
      </c>
      <c r="GP3" s="55">
        <f>SUMIFS('Awards Summary'!$H:$H,'Awards Summary'!$B:$B,$C3,'Awards Summary'!$J:$J,"MVWA")</f>
        <v>0</v>
      </c>
      <c r="GQ3" s="55">
        <f>SUMIFS('Disbursements Summary'!$E:$E,'Disbursements Summary'!$C:$C,$C3,'Disbursements Summary'!$A:$A,"MVWA")</f>
        <v>0</v>
      </c>
      <c r="GR3" s="55">
        <f>SUMIFS('Awards Summary'!$H:$H,'Awards Summary'!$B:$B,$C3,'Awards Summary'!$J:$J,"WMC")</f>
        <v>0</v>
      </c>
      <c r="GS3" s="55">
        <f>SUMIFS('Disbursements Summary'!$E:$E,'Disbursements Summary'!$C:$C,$C3,'Disbursements Summary'!$A:$A,"WMC")</f>
        <v>0</v>
      </c>
      <c r="GT3" s="55">
        <f>SUMIFS('Awards Summary'!$H:$H,'Awards Summary'!$B:$B,$C3,'Awards Summary'!$J:$J,"WCB")</f>
        <v>0</v>
      </c>
      <c r="GU3" s="55">
        <f>SUMIFS('Disbursements Summary'!$E:$E,'Disbursements Summary'!$C:$C,$C3,'Disbursements Summary'!$A:$A,"WCB")</f>
        <v>0</v>
      </c>
      <c r="GV3" s="32">
        <f t="shared" ref="GV3:GV21" si="1">(_GoBack+J3+L3+N3+P3+R3+T3+V3+X3+Z3+AB3+AD3+AF3+AH3+AJ3+AL3+AN3+AP3+AR3+AT3+AV3+AX3+AZ3+BB3+BD3+BF3+BH3+BJ3+BL3+BN3+BP3+BR3+BT3+BV3+BX3+BZ3+CB3+CD3+CF3+CH3+CJ3+CL3+CN3+CP3+CR3+CT3+CV3+CX3+CZ3+DB3+DD3+DF3+DH3+DJ3+DL3+DN3+DP3+DR3+DT3+DV3+DX3+DZ3+EB3+ED3+EF3+EH3+EJ3+EL3+EN3+EP3+ER3+ET3+EV3+EX3+EZ3+FB3+FD3+FF3+FH3+FJ3+FL3+FN3+FP3+FR3+FT3+FV3+FX3+FZ3+GB3+GD3+GF3+GH3+GJ3+GL3+GN3+GP3+GR3+GT3)</f>
        <v>0</v>
      </c>
      <c r="GW3" s="32">
        <f t="shared" ref="GW3:GW21" si="2">(_GoBack+K3+M3+O3+Q3+S3+U3+W3+Y3+AA3+AC3+AE3+AG3+AI3+AK3+AM3+AO3+AQ3+AS3+AU3+AW3+AY3+BA3+BC3+BE3+BG3+BI3+BK3+BM3+BO3+BQ3+BS3+BU3+BW3+BY3+CA3+CC3+CE3+CG3+CI3+CK3+CM3+CO3+CQ3+CS3+CU3+CW3+CY3+DA3+DC3+DE3+DG3+DI3+DK3+DM3+DO3+DQ3+DS3+DU3+DW3+DY3+EA3+EC3+EE3+EG3+EI3+EK3+EM3+EO3+EQ3+ES3+EU3+EW3+EY3+FA3+FC3+FE3+FG3+FI3+FK3+FM3+FO3+FQ3+FS3+FU3+FW3+FY3+GA3+GC3+GE3+GG3+GI3+GK3+GM3+GO3+GQ3+GS3+GU3)</f>
        <v>0</v>
      </c>
      <c r="GX3" s="30" t="b">
        <f t="shared" ref="GX3:GX21" si="3">(E3=GV3)</f>
        <v>1</v>
      </c>
      <c r="GY3" s="30" t="b">
        <f t="shared" ref="GY3:GY21" si="4">(F3=GW3)</f>
        <v>1</v>
      </c>
    </row>
    <row r="4" spans="1:207" s="30" customFormat="1">
      <c r="A4" s="22" t="str">
        <f t="shared" si="0"/>
        <v/>
      </c>
      <c r="B4" s="40" t="s">
        <v>69</v>
      </c>
      <c r="C4" s="16">
        <v>141004</v>
      </c>
      <c r="D4" s="26">
        <f>COUNTIF('Awards Summary'!B:B,"141004")</f>
        <v>0</v>
      </c>
      <c r="E4" s="45">
        <f>SUMIFS('Awards Summary'!H:H,'Awards Summary'!B:B,"141004")</f>
        <v>0</v>
      </c>
      <c r="F4" s="46">
        <f>SUMIFS('Disbursements Summary'!E:E,'Disbursements Summary'!C:C, "141004")</f>
        <v>0</v>
      </c>
      <c r="H4" s="55">
        <f>SUMIFS('Awards Summary'!$H:$H,'Awards Summary'!$B:$B,$C4,'Awards Summary'!$J:$J,"APA")</f>
        <v>0</v>
      </c>
      <c r="I4" s="55">
        <f>SUMIFS('Disbursements Summary'!$E:$E,'Disbursements Summary'!$C:$C,$C4,'Disbursements Summary'!$A:$A,"APA")</f>
        <v>0</v>
      </c>
      <c r="J4" s="55">
        <f>SUMIFS('Awards Summary'!$H:$H,'Awards Summary'!$B:$B,$C4,'Awards Summary'!$J:$J,"Ag&amp;Horse")</f>
        <v>0</v>
      </c>
      <c r="K4" s="55">
        <f>SUMIFS('Disbursements Summary'!$E:$E,'Disbursements Summary'!$C:$C,$C4,'Disbursements Summary'!$A:$A,"Ag&amp;Horse")</f>
        <v>0</v>
      </c>
      <c r="L4" s="55">
        <f>SUMIFS('Awards Summary'!$H:$H,'Awards Summary'!$B:$B,$C4,'Awards Summary'!$J:$J,"ACAA")</f>
        <v>0</v>
      </c>
      <c r="M4" s="55">
        <f>SUMIFS('Disbursements Summary'!$E:$E,'Disbursements Summary'!$C:$C,$C4,'Disbursements Summary'!$A:$A,"ACAA")</f>
        <v>0</v>
      </c>
      <c r="N4" s="55">
        <f>SUMIFS('Awards Summary'!$H:$H,'Awards Summary'!$B:$B,$C4,'Awards Summary'!$J:$J,"PortAlbany")</f>
        <v>0</v>
      </c>
      <c r="O4" s="55">
        <f>SUMIFS('Disbursements Summary'!$E:$E,'Disbursements Summary'!$C:$C,$C4,'Disbursements Summary'!$A:$A,"PortAlbany")</f>
        <v>0</v>
      </c>
      <c r="P4" s="55">
        <f>SUMIFS('Awards Summary'!$H:$H,'Awards Summary'!$B:$B,$C4,'Awards Summary'!$J:$J,"SLA")</f>
        <v>0</v>
      </c>
      <c r="Q4" s="55">
        <f>SUMIFS('Disbursements Summary'!$E:$E,'Disbursements Summary'!$C:$C,$C4,'Disbursements Summary'!$A:$A,"SLA")</f>
        <v>0</v>
      </c>
      <c r="R4" s="55">
        <f>SUMIFS('Awards Summary'!$H:$H,'Awards Summary'!$B:$B,$C4,'Awards Summary'!$J:$J,"BPCA")</f>
        <v>0</v>
      </c>
      <c r="S4" s="55">
        <f>SUMIFS('Disbursements Summary'!$E:$E,'Disbursements Summary'!$C:$C,$C4,'Disbursements Summary'!$A:$A,"BPCA")</f>
        <v>0</v>
      </c>
      <c r="T4" s="55">
        <f>SUMIFS('Awards Summary'!$H:$H,'Awards Summary'!$B:$B,$C4,'Awards Summary'!$J:$J,"ELECTIONS")</f>
        <v>0</v>
      </c>
      <c r="U4" s="55">
        <f>SUMIFS('Disbursements Summary'!$E:$E,'Disbursements Summary'!$C:$C,$C4,'Disbursements Summary'!$A:$A,"ELECTIONS")</f>
        <v>0</v>
      </c>
      <c r="V4" s="55">
        <f>SUMIFS('Awards Summary'!$H:$H,'Awards Summary'!$B:$B,$C4,'Awards Summary'!$J:$J,"BFSA")</f>
        <v>0</v>
      </c>
      <c r="W4" s="55">
        <f>SUMIFS('Disbursements Summary'!$E:$E,'Disbursements Summary'!$C:$C,$C4,'Disbursements Summary'!$A:$A,"BFSA")</f>
        <v>0</v>
      </c>
      <c r="X4" s="55">
        <f>SUMIFS('Awards Summary'!$H:$H,'Awards Summary'!$B:$B,$C4,'Awards Summary'!$J:$J,"CDTA")</f>
        <v>0</v>
      </c>
      <c r="Y4" s="55">
        <f>SUMIFS('Disbursements Summary'!$E:$E,'Disbursements Summary'!$C:$C,$C4,'Disbursements Summary'!$A:$A,"CDTA")</f>
        <v>0</v>
      </c>
      <c r="Z4" s="55">
        <f>SUMIFS('Awards Summary'!$H:$H,'Awards Summary'!$B:$B,$C4,'Awards Summary'!$J:$J,"CCWSA")</f>
        <v>0</v>
      </c>
      <c r="AA4" s="55">
        <f>SUMIFS('Disbursements Summary'!$E:$E,'Disbursements Summary'!$C:$C,$C4,'Disbursements Summary'!$A:$A,"CCWSA")</f>
        <v>0</v>
      </c>
      <c r="AB4" s="55">
        <f>SUMIFS('Awards Summary'!$H:$H,'Awards Summary'!$B:$B,$C4,'Awards Summary'!$J:$J,"CNYRTA")</f>
        <v>0</v>
      </c>
      <c r="AC4" s="55">
        <f>SUMIFS('Disbursements Summary'!$E:$E,'Disbursements Summary'!$C:$C,$C4,'Disbursements Summary'!$A:$A,"CNYRTA")</f>
        <v>0</v>
      </c>
      <c r="AD4" s="55">
        <f>SUMIFS('Awards Summary'!$H:$H,'Awards Summary'!$B:$B,$C4,'Awards Summary'!$J:$J,"CUCF")</f>
        <v>0</v>
      </c>
      <c r="AE4" s="55">
        <f>SUMIFS('Disbursements Summary'!$E:$E,'Disbursements Summary'!$C:$C,$C4,'Disbursements Summary'!$A:$A,"CUCF")</f>
        <v>0</v>
      </c>
      <c r="AF4" s="55">
        <f>SUMIFS('Awards Summary'!$H:$H,'Awards Summary'!$B:$B,$C4,'Awards Summary'!$J:$J,"CUNY")</f>
        <v>0</v>
      </c>
      <c r="AG4" s="55">
        <f>SUMIFS('Disbursements Summary'!$E:$E,'Disbursements Summary'!$C:$C,$C4,'Disbursements Summary'!$A:$A,"CUNY")</f>
        <v>0</v>
      </c>
      <c r="AH4" s="55">
        <f>SUMIFS('Awards Summary'!$H:$H,'Awards Summary'!$B:$B,$C4,'Awards Summary'!$J:$J,"ARTS")</f>
        <v>0</v>
      </c>
      <c r="AI4" s="55">
        <f>SUMIFS('Disbursements Summary'!$E:$E,'Disbursements Summary'!$C:$C,$C4,'Disbursements Summary'!$A:$A,"ARTS")</f>
        <v>0</v>
      </c>
      <c r="AJ4" s="55">
        <f>SUMIFS('Awards Summary'!$H:$H,'Awards Summary'!$B:$B,$C4,'Awards Summary'!$J:$J,"AG&amp;MKTS")</f>
        <v>0</v>
      </c>
      <c r="AK4" s="55">
        <f>SUMIFS('Disbursements Summary'!$E:$E,'Disbursements Summary'!$C:$C,$C4,'Disbursements Summary'!$A:$A,"AG&amp;MKTS")</f>
        <v>0</v>
      </c>
      <c r="AL4" s="55">
        <f>SUMIFS('Awards Summary'!$H:$H,'Awards Summary'!$B:$B,$C4,'Awards Summary'!$J:$J,"CS")</f>
        <v>0</v>
      </c>
      <c r="AM4" s="55">
        <f>SUMIFS('Disbursements Summary'!$E:$E,'Disbursements Summary'!$C:$C,$C4,'Disbursements Summary'!$A:$A,"CS")</f>
        <v>0</v>
      </c>
      <c r="AN4" s="55">
        <f>SUMIFS('Awards Summary'!$H:$H,'Awards Summary'!$B:$B,$C4,'Awards Summary'!$J:$J,"DOCCS")</f>
        <v>0</v>
      </c>
      <c r="AO4" s="55">
        <f>SUMIFS('Disbursements Summary'!$E:$E,'Disbursements Summary'!$C:$C,$C4,'Disbursements Summary'!$A:$A,"DOCCS")</f>
        <v>0</v>
      </c>
      <c r="AP4" s="55">
        <f>SUMIFS('Awards Summary'!$H:$H,'Awards Summary'!$B:$B,$C4,'Awards Summary'!$J:$J,"DED")</f>
        <v>0</v>
      </c>
      <c r="AQ4" s="55">
        <f>SUMIFS('Disbursements Summary'!$E:$E,'Disbursements Summary'!$C:$C,$C4,'Disbursements Summary'!$A:$A,"DED")</f>
        <v>0</v>
      </c>
      <c r="AR4" s="55">
        <f>SUMIFS('Awards Summary'!$H:$H,'Awards Summary'!$B:$B,$C4,'Awards Summary'!$J:$J,"DEC")</f>
        <v>0</v>
      </c>
      <c r="AS4" s="55">
        <f>SUMIFS('Disbursements Summary'!$E:$E,'Disbursements Summary'!$C:$C,$C4,'Disbursements Summary'!$A:$A,"DEC")</f>
        <v>0</v>
      </c>
      <c r="AT4" s="55">
        <f>SUMIFS('Awards Summary'!$H:$H,'Awards Summary'!$B:$B,$C4,'Awards Summary'!$J:$J,"DFS")</f>
        <v>0</v>
      </c>
      <c r="AU4" s="55">
        <f>SUMIFS('Disbursements Summary'!$E:$E,'Disbursements Summary'!$C:$C,$C4,'Disbursements Summary'!$A:$A,"DFS")</f>
        <v>0</v>
      </c>
      <c r="AV4" s="55">
        <f>SUMIFS('Awards Summary'!$H:$H,'Awards Summary'!$B:$B,$C4,'Awards Summary'!$J:$J,"DOH")</f>
        <v>0</v>
      </c>
      <c r="AW4" s="55">
        <f>SUMIFS('Disbursements Summary'!$E:$E,'Disbursements Summary'!$C:$C,$C4,'Disbursements Summary'!$A:$A,"DOH")</f>
        <v>0</v>
      </c>
      <c r="AX4" s="55">
        <f>SUMIFS('Awards Summary'!$H:$H,'Awards Summary'!$B:$B,$C4,'Awards Summary'!$J:$J,"DOL")</f>
        <v>0</v>
      </c>
      <c r="AY4" s="55">
        <f>SUMIFS('Disbursements Summary'!$E:$E,'Disbursements Summary'!$C:$C,$C4,'Disbursements Summary'!$A:$A,"DOL")</f>
        <v>0</v>
      </c>
      <c r="AZ4" s="55">
        <f>SUMIFS('Awards Summary'!$H:$H,'Awards Summary'!$B:$B,$C4,'Awards Summary'!$J:$J,"DMV")</f>
        <v>0</v>
      </c>
      <c r="BA4" s="55">
        <f>SUMIFS('Disbursements Summary'!$E:$E,'Disbursements Summary'!$C:$C,$C4,'Disbursements Summary'!$A:$A,"DMV")</f>
        <v>0</v>
      </c>
      <c r="BB4" s="55">
        <f>SUMIFS('Awards Summary'!$H:$H,'Awards Summary'!$B:$B,$C4,'Awards Summary'!$J:$J,"DPS")</f>
        <v>0</v>
      </c>
      <c r="BC4" s="55">
        <f>SUMIFS('Disbursements Summary'!$E:$E,'Disbursements Summary'!$C:$C,$C4,'Disbursements Summary'!$A:$A,"DPS")</f>
        <v>0</v>
      </c>
      <c r="BD4" s="55">
        <f>SUMIFS('Awards Summary'!$H:$H,'Awards Summary'!$B:$B,$C4,'Awards Summary'!$J:$J,"DOS")</f>
        <v>0</v>
      </c>
      <c r="BE4" s="55">
        <f>SUMIFS('Disbursements Summary'!$E:$E,'Disbursements Summary'!$C:$C,$C4,'Disbursements Summary'!$A:$A,"DOS")</f>
        <v>0</v>
      </c>
      <c r="BF4" s="55">
        <f>SUMIFS('Awards Summary'!$H:$H,'Awards Summary'!$B:$B,$C4,'Awards Summary'!$J:$J,"TAX")</f>
        <v>0</v>
      </c>
      <c r="BG4" s="55">
        <f>SUMIFS('Disbursements Summary'!$E:$E,'Disbursements Summary'!$C:$C,$C4,'Disbursements Summary'!$A:$A,"TAX")</f>
        <v>0</v>
      </c>
      <c r="BH4" s="55">
        <f>SUMIFS('Awards Summary'!$H:$H,'Awards Summary'!$B:$B,$C4,'Awards Summary'!$J:$J,"DOT")</f>
        <v>0</v>
      </c>
      <c r="BI4" s="55">
        <f>SUMIFS('Disbursements Summary'!$E:$E,'Disbursements Summary'!$C:$C,$C4,'Disbursements Summary'!$A:$A,"DOT")</f>
        <v>0</v>
      </c>
      <c r="BJ4" s="55">
        <f>SUMIFS('Awards Summary'!$H:$H,'Awards Summary'!$B:$B,$C4,'Awards Summary'!$J:$J,"DANC")</f>
        <v>0</v>
      </c>
      <c r="BK4" s="55">
        <f>SUMIFS('Disbursements Summary'!$E:$E,'Disbursements Summary'!$C:$C,$C4,'Disbursements Summary'!$A:$A,"DANC")</f>
        <v>0</v>
      </c>
      <c r="BL4" s="55">
        <f>SUMIFS('Awards Summary'!$H:$H,'Awards Summary'!$B:$B,$C4,'Awards Summary'!$J:$J,"DOB")</f>
        <v>0</v>
      </c>
      <c r="BM4" s="55">
        <f>SUMIFS('Disbursements Summary'!$E:$E,'Disbursements Summary'!$C:$C,$C4,'Disbursements Summary'!$A:$A,"DOB")</f>
        <v>0</v>
      </c>
      <c r="BN4" s="55">
        <f>SUMIFS('Awards Summary'!$H:$H,'Awards Summary'!$B:$B,$C4,'Awards Summary'!$J:$J,"DCJS")</f>
        <v>0</v>
      </c>
      <c r="BO4" s="55">
        <f>SUMIFS('Disbursements Summary'!$E:$E,'Disbursements Summary'!$C:$C,$C4,'Disbursements Summary'!$A:$A,"DCJS")</f>
        <v>0</v>
      </c>
      <c r="BP4" s="55">
        <f>SUMIFS('Awards Summary'!$H:$H,'Awards Summary'!$B:$B,$C4,'Awards Summary'!$J:$J,"DHSES")</f>
        <v>0</v>
      </c>
      <c r="BQ4" s="55">
        <f>SUMIFS('Disbursements Summary'!$E:$E,'Disbursements Summary'!$C:$C,$C4,'Disbursements Summary'!$A:$A,"DHSES")</f>
        <v>0</v>
      </c>
      <c r="BR4" s="55">
        <f>SUMIFS('Awards Summary'!$H:$H,'Awards Summary'!$B:$B,$C4,'Awards Summary'!$J:$J,"DHR")</f>
        <v>0</v>
      </c>
      <c r="BS4" s="55">
        <f>SUMIFS('Disbursements Summary'!$E:$E,'Disbursements Summary'!$C:$C,$C4,'Disbursements Summary'!$A:$A,"DHR")</f>
        <v>0</v>
      </c>
      <c r="BT4" s="55">
        <f>SUMIFS('Awards Summary'!$H:$H,'Awards Summary'!$B:$B,$C4,'Awards Summary'!$J:$J,"DMNA")</f>
        <v>0</v>
      </c>
      <c r="BU4" s="55">
        <f>SUMIFS('Disbursements Summary'!$E:$E,'Disbursements Summary'!$C:$C,$C4,'Disbursements Summary'!$A:$A,"DMNA")</f>
        <v>0</v>
      </c>
      <c r="BV4" s="55">
        <f>SUMIFS('Awards Summary'!$H:$H,'Awards Summary'!$B:$B,$C4,'Awards Summary'!$J:$J,"TROOPERS")</f>
        <v>0</v>
      </c>
      <c r="BW4" s="55">
        <f>SUMIFS('Disbursements Summary'!$E:$E,'Disbursements Summary'!$C:$C,$C4,'Disbursements Summary'!$A:$A,"TROOPERS")</f>
        <v>0</v>
      </c>
      <c r="BX4" s="55">
        <f>SUMIFS('Awards Summary'!$H:$H,'Awards Summary'!$B:$B,$C4,'Awards Summary'!$J:$J,"DVA")</f>
        <v>0</v>
      </c>
      <c r="BY4" s="55">
        <f>SUMIFS('Disbursements Summary'!$E:$E,'Disbursements Summary'!$C:$C,$C4,'Disbursements Summary'!$A:$A,"DVA")</f>
        <v>0</v>
      </c>
      <c r="BZ4" s="55">
        <f>SUMIFS('Awards Summary'!$H:$H,'Awards Summary'!$B:$B,$C4,'Awards Summary'!$J:$J,"DASNY")</f>
        <v>0</v>
      </c>
      <c r="CA4" s="55">
        <f>SUMIFS('Disbursements Summary'!$E:$E,'Disbursements Summary'!$C:$C,$C4,'Disbursements Summary'!$A:$A,"DASNY")</f>
        <v>0</v>
      </c>
      <c r="CB4" s="55">
        <f>SUMIFS('Awards Summary'!$H:$H,'Awards Summary'!$B:$B,$C4,'Awards Summary'!$J:$J,"EGG")</f>
        <v>0</v>
      </c>
      <c r="CC4" s="55">
        <f>SUMIFS('Disbursements Summary'!$E:$E,'Disbursements Summary'!$C:$C,$C4,'Disbursements Summary'!$A:$A,"EGG")</f>
        <v>0</v>
      </c>
      <c r="CD4" s="55">
        <f>SUMIFS('Awards Summary'!$H:$H,'Awards Summary'!$B:$B,$C4,'Awards Summary'!$J:$J,"ESD")</f>
        <v>0</v>
      </c>
      <c r="CE4" s="55">
        <f>SUMIFS('Disbursements Summary'!$E:$E,'Disbursements Summary'!$C:$C,$C4,'Disbursements Summary'!$A:$A,"ESD")</f>
        <v>0</v>
      </c>
      <c r="CF4" s="55">
        <f>SUMIFS('Awards Summary'!$H:$H,'Awards Summary'!$B:$B,$C4,'Awards Summary'!$J:$J,"EFC")</f>
        <v>0</v>
      </c>
      <c r="CG4" s="55">
        <f>SUMIFS('Disbursements Summary'!$E:$E,'Disbursements Summary'!$C:$C,$C4,'Disbursements Summary'!$A:$A,"EFC")</f>
        <v>0</v>
      </c>
      <c r="CH4" s="55">
        <f>SUMIFS('Awards Summary'!$H:$H,'Awards Summary'!$B:$B,$C4,'Awards Summary'!$J:$J,"ECFSA")</f>
        <v>0</v>
      </c>
      <c r="CI4" s="55">
        <f>SUMIFS('Disbursements Summary'!$E:$E,'Disbursements Summary'!$C:$C,$C4,'Disbursements Summary'!$A:$A,"ECFSA")</f>
        <v>0</v>
      </c>
      <c r="CJ4" s="55">
        <f>SUMIFS('Awards Summary'!$H:$H,'Awards Summary'!$B:$B,$C4,'Awards Summary'!$J:$J,"ECMC")</f>
        <v>0</v>
      </c>
      <c r="CK4" s="55">
        <f>SUMIFS('Disbursements Summary'!$E:$E,'Disbursements Summary'!$C:$C,$C4,'Disbursements Summary'!$A:$A,"ECMC")</f>
        <v>0</v>
      </c>
      <c r="CL4" s="55">
        <f>SUMIFS('Awards Summary'!$H:$H,'Awards Summary'!$B:$B,$C4,'Awards Summary'!$J:$J,"CHAMBER")</f>
        <v>0</v>
      </c>
      <c r="CM4" s="55">
        <f>SUMIFS('Disbursements Summary'!$E:$E,'Disbursements Summary'!$C:$C,$C4,'Disbursements Summary'!$A:$A,"CHAMBER")</f>
        <v>0</v>
      </c>
      <c r="CN4" s="55">
        <f>SUMIFS('Awards Summary'!$H:$H,'Awards Summary'!$B:$B,$C4,'Awards Summary'!$J:$J,"GAMING")</f>
        <v>0</v>
      </c>
      <c r="CO4" s="55">
        <f>SUMIFS('Disbursements Summary'!$E:$E,'Disbursements Summary'!$C:$C,$C4,'Disbursements Summary'!$A:$A,"GAMING")</f>
        <v>0</v>
      </c>
      <c r="CP4" s="55">
        <f>SUMIFS('Awards Summary'!$H:$H,'Awards Summary'!$B:$B,$C4,'Awards Summary'!$J:$J,"GOER")</f>
        <v>0</v>
      </c>
      <c r="CQ4" s="55">
        <f>SUMIFS('Disbursements Summary'!$E:$E,'Disbursements Summary'!$C:$C,$C4,'Disbursements Summary'!$A:$A,"GOER")</f>
        <v>0</v>
      </c>
      <c r="CR4" s="55">
        <f>SUMIFS('Awards Summary'!$H:$H,'Awards Summary'!$B:$B,$C4,'Awards Summary'!$J:$J,"HESC")</f>
        <v>0</v>
      </c>
      <c r="CS4" s="55">
        <f>SUMIFS('Disbursements Summary'!$E:$E,'Disbursements Summary'!$C:$C,$C4,'Disbursements Summary'!$A:$A,"HESC")</f>
        <v>0</v>
      </c>
      <c r="CT4" s="55">
        <f>SUMIFS('Awards Summary'!$H:$H,'Awards Summary'!$B:$B,$C4,'Awards Summary'!$J:$J,"GOSR")</f>
        <v>0</v>
      </c>
      <c r="CU4" s="55">
        <f>SUMIFS('Disbursements Summary'!$E:$E,'Disbursements Summary'!$C:$C,$C4,'Disbursements Summary'!$A:$A,"GOSR")</f>
        <v>0</v>
      </c>
      <c r="CV4" s="55">
        <f>SUMIFS('Awards Summary'!$H:$H,'Awards Summary'!$B:$B,$C4,'Awards Summary'!$J:$J,"HRPT")</f>
        <v>0</v>
      </c>
      <c r="CW4" s="55">
        <f>SUMIFS('Disbursements Summary'!$E:$E,'Disbursements Summary'!$C:$C,$C4,'Disbursements Summary'!$A:$A,"HRPT")</f>
        <v>0</v>
      </c>
      <c r="CX4" s="55">
        <f>SUMIFS('Awards Summary'!$H:$H,'Awards Summary'!$B:$B,$C4,'Awards Summary'!$J:$J,"HRBRRD")</f>
        <v>0</v>
      </c>
      <c r="CY4" s="55">
        <f>SUMIFS('Disbursements Summary'!$E:$E,'Disbursements Summary'!$C:$C,$C4,'Disbursements Summary'!$A:$A,"HRBRRD")</f>
        <v>0</v>
      </c>
      <c r="CZ4" s="55">
        <f>SUMIFS('Awards Summary'!$H:$H,'Awards Summary'!$B:$B,$C4,'Awards Summary'!$J:$J,"ITS")</f>
        <v>0</v>
      </c>
      <c r="DA4" s="55">
        <f>SUMIFS('Disbursements Summary'!$E:$E,'Disbursements Summary'!$C:$C,$C4,'Disbursements Summary'!$A:$A,"ITS")</f>
        <v>0</v>
      </c>
      <c r="DB4" s="55">
        <f>SUMIFS('Awards Summary'!$H:$H,'Awards Summary'!$B:$B,$C4,'Awards Summary'!$J:$J,"JAVITS")</f>
        <v>0</v>
      </c>
      <c r="DC4" s="55">
        <f>SUMIFS('Disbursements Summary'!$E:$E,'Disbursements Summary'!$C:$C,$C4,'Disbursements Summary'!$A:$A,"JAVITS")</f>
        <v>0</v>
      </c>
      <c r="DD4" s="55">
        <f>SUMIFS('Awards Summary'!$H:$H,'Awards Summary'!$B:$B,$C4,'Awards Summary'!$J:$J,"JCOPE")</f>
        <v>0</v>
      </c>
      <c r="DE4" s="55">
        <f>SUMIFS('Disbursements Summary'!$E:$E,'Disbursements Summary'!$C:$C,$C4,'Disbursements Summary'!$A:$A,"JCOPE")</f>
        <v>0</v>
      </c>
      <c r="DF4" s="55">
        <f>SUMIFS('Awards Summary'!$H:$H,'Awards Summary'!$B:$B,$C4,'Awards Summary'!$J:$J,"JUSTICE")</f>
        <v>0</v>
      </c>
      <c r="DG4" s="55">
        <f>SUMIFS('Disbursements Summary'!$E:$E,'Disbursements Summary'!$C:$C,$C4,'Disbursements Summary'!$A:$A,"JUSTICE")</f>
        <v>0</v>
      </c>
      <c r="DH4" s="55">
        <f>SUMIFS('Awards Summary'!$H:$H,'Awards Summary'!$B:$B,$C4,'Awards Summary'!$J:$J,"LCWSA")</f>
        <v>0</v>
      </c>
      <c r="DI4" s="55">
        <f>SUMIFS('Disbursements Summary'!$E:$E,'Disbursements Summary'!$C:$C,$C4,'Disbursements Summary'!$A:$A,"LCWSA")</f>
        <v>0</v>
      </c>
      <c r="DJ4" s="55">
        <f>SUMIFS('Awards Summary'!$H:$H,'Awards Summary'!$B:$B,$C4,'Awards Summary'!$J:$J,"LIPA")</f>
        <v>0</v>
      </c>
      <c r="DK4" s="55">
        <f>SUMIFS('Disbursements Summary'!$E:$E,'Disbursements Summary'!$C:$C,$C4,'Disbursements Summary'!$A:$A,"LIPA")</f>
        <v>0</v>
      </c>
      <c r="DL4" s="55">
        <f>SUMIFS('Awards Summary'!$H:$H,'Awards Summary'!$B:$B,$C4,'Awards Summary'!$J:$J,"MTA")</f>
        <v>0</v>
      </c>
      <c r="DM4" s="55">
        <f>SUMIFS('Disbursements Summary'!$E:$E,'Disbursements Summary'!$C:$C,$C4,'Disbursements Summary'!$A:$A,"MTA")</f>
        <v>0</v>
      </c>
      <c r="DN4" s="55">
        <f>SUMIFS('Awards Summary'!$H:$H,'Awards Summary'!$B:$B,$C4,'Awards Summary'!$J:$J,"NIFA")</f>
        <v>0</v>
      </c>
      <c r="DO4" s="55">
        <f>SUMIFS('Disbursements Summary'!$E:$E,'Disbursements Summary'!$C:$C,$C4,'Disbursements Summary'!$A:$A,"NIFA")</f>
        <v>0</v>
      </c>
      <c r="DP4" s="55">
        <f>SUMIFS('Awards Summary'!$H:$H,'Awards Summary'!$B:$B,$C4,'Awards Summary'!$J:$J,"NHCC")</f>
        <v>0</v>
      </c>
      <c r="DQ4" s="55">
        <f>SUMIFS('Disbursements Summary'!$E:$E,'Disbursements Summary'!$C:$C,$C4,'Disbursements Summary'!$A:$A,"NHCC")</f>
        <v>0</v>
      </c>
      <c r="DR4" s="55">
        <f>SUMIFS('Awards Summary'!$H:$H,'Awards Summary'!$B:$B,$C4,'Awards Summary'!$J:$J,"NHT")</f>
        <v>0</v>
      </c>
      <c r="DS4" s="55">
        <f>SUMIFS('Disbursements Summary'!$E:$E,'Disbursements Summary'!$C:$C,$C4,'Disbursements Summary'!$A:$A,"NHT")</f>
        <v>0</v>
      </c>
      <c r="DT4" s="55">
        <f>SUMIFS('Awards Summary'!$H:$H,'Awards Summary'!$B:$B,$C4,'Awards Summary'!$J:$J,"NYPA")</f>
        <v>0</v>
      </c>
      <c r="DU4" s="55">
        <f>SUMIFS('Disbursements Summary'!$E:$E,'Disbursements Summary'!$C:$C,$C4,'Disbursements Summary'!$A:$A,"NYPA")</f>
        <v>0</v>
      </c>
      <c r="DV4" s="55">
        <f>SUMIFS('Awards Summary'!$H:$H,'Awards Summary'!$B:$B,$C4,'Awards Summary'!$J:$J,"NYSBA")</f>
        <v>0</v>
      </c>
      <c r="DW4" s="55">
        <f>SUMIFS('Disbursements Summary'!$E:$E,'Disbursements Summary'!$C:$C,$C4,'Disbursements Summary'!$A:$A,"NYSBA")</f>
        <v>0</v>
      </c>
      <c r="DX4" s="55">
        <f>SUMIFS('Awards Summary'!$H:$H,'Awards Summary'!$B:$B,$C4,'Awards Summary'!$J:$J,"NYSERDA")</f>
        <v>0</v>
      </c>
      <c r="DY4" s="55">
        <f>SUMIFS('Disbursements Summary'!$E:$E,'Disbursements Summary'!$C:$C,$C4,'Disbursements Summary'!$A:$A,"NYSERDA")</f>
        <v>0</v>
      </c>
      <c r="DZ4" s="55">
        <f>SUMIFS('Awards Summary'!$H:$H,'Awards Summary'!$B:$B,$C4,'Awards Summary'!$J:$J,"DHCR")</f>
        <v>0</v>
      </c>
      <c r="EA4" s="55">
        <f>SUMIFS('Disbursements Summary'!$E:$E,'Disbursements Summary'!$C:$C,$C4,'Disbursements Summary'!$A:$A,"DHCR")</f>
        <v>0</v>
      </c>
      <c r="EB4" s="55">
        <f>SUMIFS('Awards Summary'!$H:$H,'Awards Summary'!$B:$B,$C4,'Awards Summary'!$J:$J,"HFA")</f>
        <v>0</v>
      </c>
      <c r="EC4" s="55">
        <f>SUMIFS('Disbursements Summary'!$E:$E,'Disbursements Summary'!$C:$C,$C4,'Disbursements Summary'!$A:$A,"HFA")</f>
        <v>0</v>
      </c>
      <c r="ED4" s="55">
        <f>SUMIFS('Awards Summary'!$H:$H,'Awards Summary'!$B:$B,$C4,'Awards Summary'!$J:$J,"NYSIF")</f>
        <v>0</v>
      </c>
      <c r="EE4" s="55">
        <f>SUMIFS('Disbursements Summary'!$E:$E,'Disbursements Summary'!$C:$C,$C4,'Disbursements Summary'!$A:$A,"NYSIF")</f>
        <v>0</v>
      </c>
      <c r="EF4" s="55">
        <f>SUMIFS('Awards Summary'!$H:$H,'Awards Summary'!$B:$B,$C4,'Awards Summary'!$J:$J,"NYBREDS")</f>
        <v>0</v>
      </c>
      <c r="EG4" s="55">
        <f>SUMIFS('Disbursements Summary'!$E:$E,'Disbursements Summary'!$C:$C,$C4,'Disbursements Summary'!$A:$A,"NYBREDS")</f>
        <v>0</v>
      </c>
      <c r="EH4" s="55">
        <f>SUMIFS('Awards Summary'!$H:$H,'Awards Summary'!$B:$B,$C4,'Awards Summary'!$J:$J,"NYSTA")</f>
        <v>0</v>
      </c>
      <c r="EI4" s="55">
        <f>SUMIFS('Disbursements Summary'!$E:$E,'Disbursements Summary'!$C:$C,$C4,'Disbursements Summary'!$A:$A,"NYSTA")</f>
        <v>0</v>
      </c>
      <c r="EJ4" s="55">
        <f>SUMIFS('Awards Summary'!$H:$H,'Awards Summary'!$B:$B,$C4,'Awards Summary'!$J:$J,"NFWB")</f>
        <v>0</v>
      </c>
      <c r="EK4" s="55">
        <f>SUMIFS('Disbursements Summary'!$E:$E,'Disbursements Summary'!$C:$C,$C4,'Disbursements Summary'!$A:$A,"NFWB")</f>
        <v>0</v>
      </c>
      <c r="EL4" s="55">
        <f>SUMIFS('Awards Summary'!$H:$H,'Awards Summary'!$B:$B,$C4,'Awards Summary'!$J:$J,"NFTA")</f>
        <v>0</v>
      </c>
      <c r="EM4" s="55">
        <f>SUMIFS('Disbursements Summary'!$E:$E,'Disbursements Summary'!$C:$C,$C4,'Disbursements Summary'!$A:$A,"NFTA")</f>
        <v>0</v>
      </c>
      <c r="EN4" s="55">
        <f>SUMIFS('Awards Summary'!$H:$H,'Awards Summary'!$B:$B,$C4,'Awards Summary'!$J:$J,"OPWDD")</f>
        <v>0</v>
      </c>
      <c r="EO4" s="55">
        <f>SUMIFS('Disbursements Summary'!$E:$E,'Disbursements Summary'!$C:$C,$C4,'Disbursements Summary'!$A:$A,"OPWDD")</f>
        <v>0</v>
      </c>
      <c r="EP4" s="55">
        <f>SUMIFS('Awards Summary'!$H:$H,'Awards Summary'!$B:$B,$C4,'Awards Summary'!$J:$J,"AGING")</f>
        <v>0</v>
      </c>
      <c r="EQ4" s="55">
        <f>SUMIFS('Disbursements Summary'!$E:$E,'Disbursements Summary'!$C:$C,$C4,'Disbursements Summary'!$A:$A,"AGING")</f>
        <v>0</v>
      </c>
      <c r="ER4" s="55">
        <f>SUMIFS('Awards Summary'!$H:$H,'Awards Summary'!$B:$B,$C4,'Awards Summary'!$J:$J,"OPDV")</f>
        <v>0</v>
      </c>
      <c r="ES4" s="55">
        <f>SUMIFS('Disbursements Summary'!$E:$E,'Disbursements Summary'!$C:$C,$C4,'Disbursements Summary'!$A:$A,"OPDV")</f>
        <v>0</v>
      </c>
      <c r="ET4" s="55">
        <f>SUMIFS('Awards Summary'!$H:$H,'Awards Summary'!$B:$B,$C4,'Awards Summary'!$J:$J,"OVS")</f>
        <v>0</v>
      </c>
      <c r="EU4" s="55">
        <f>SUMIFS('Disbursements Summary'!$E:$E,'Disbursements Summary'!$C:$C,$C4,'Disbursements Summary'!$A:$A,"OVS")</f>
        <v>0</v>
      </c>
      <c r="EV4" s="55">
        <f>SUMIFS('Awards Summary'!$H:$H,'Awards Summary'!$B:$B,$C4,'Awards Summary'!$J:$J,"OASAS")</f>
        <v>0</v>
      </c>
      <c r="EW4" s="55">
        <f>SUMIFS('Disbursements Summary'!$E:$E,'Disbursements Summary'!$C:$C,$C4,'Disbursements Summary'!$A:$A,"OASAS")</f>
        <v>0</v>
      </c>
      <c r="EX4" s="55">
        <f>SUMIFS('Awards Summary'!$H:$H,'Awards Summary'!$B:$B,$C4,'Awards Summary'!$J:$J,"OCFS")</f>
        <v>0</v>
      </c>
      <c r="EY4" s="55">
        <f>SUMIFS('Disbursements Summary'!$E:$E,'Disbursements Summary'!$C:$C,$C4,'Disbursements Summary'!$A:$A,"OCFS")</f>
        <v>0</v>
      </c>
      <c r="EZ4" s="55">
        <f>SUMIFS('Awards Summary'!$H:$H,'Awards Summary'!$B:$B,$C4,'Awards Summary'!$J:$J,"OGS")</f>
        <v>0</v>
      </c>
      <c r="FA4" s="55">
        <f>SUMIFS('Disbursements Summary'!$E:$E,'Disbursements Summary'!$C:$C,$C4,'Disbursements Summary'!$A:$A,"OGS")</f>
        <v>0</v>
      </c>
      <c r="FB4" s="55">
        <f>SUMIFS('Awards Summary'!$H:$H,'Awards Summary'!$B:$B,$C4,'Awards Summary'!$J:$J,"OMH")</f>
        <v>0</v>
      </c>
      <c r="FC4" s="55">
        <f>SUMIFS('Disbursements Summary'!$E:$E,'Disbursements Summary'!$C:$C,$C4,'Disbursements Summary'!$A:$A,"OMH")</f>
        <v>0</v>
      </c>
      <c r="FD4" s="55">
        <f>SUMIFS('Awards Summary'!$H:$H,'Awards Summary'!$B:$B,$C4,'Awards Summary'!$J:$J,"PARKS")</f>
        <v>0</v>
      </c>
      <c r="FE4" s="55">
        <f>SUMIFS('Disbursements Summary'!$E:$E,'Disbursements Summary'!$C:$C,$C4,'Disbursements Summary'!$A:$A,"PARKS")</f>
        <v>0</v>
      </c>
      <c r="FF4" s="55">
        <f>SUMIFS('Awards Summary'!$H:$H,'Awards Summary'!$B:$B,$C4,'Awards Summary'!$J:$J,"OTDA")</f>
        <v>0</v>
      </c>
      <c r="FG4" s="55">
        <f>SUMIFS('Disbursements Summary'!$E:$E,'Disbursements Summary'!$C:$C,$C4,'Disbursements Summary'!$A:$A,"OTDA")</f>
        <v>0</v>
      </c>
      <c r="FH4" s="55">
        <f>SUMIFS('Awards Summary'!$H:$H,'Awards Summary'!$B:$B,$C4,'Awards Summary'!$J:$J,"OIG")</f>
        <v>0</v>
      </c>
      <c r="FI4" s="55">
        <f>SUMIFS('Disbursements Summary'!$E:$E,'Disbursements Summary'!$C:$C,$C4,'Disbursements Summary'!$A:$A,"OIG")</f>
        <v>0</v>
      </c>
      <c r="FJ4" s="55">
        <f>SUMIFS('Awards Summary'!$H:$H,'Awards Summary'!$B:$B,$C4,'Awards Summary'!$J:$J,"OMIG")</f>
        <v>0</v>
      </c>
      <c r="FK4" s="55">
        <f>SUMIFS('Disbursements Summary'!$E:$E,'Disbursements Summary'!$C:$C,$C4,'Disbursements Summary'!$A:$A,"OMIG")</f>
        <v>0</v>
      </c>
      <c r="FL4" s="55">
        <f>SUMIFS('Awards Summary'!$H:$H,'Awards Summary'!$B:$B,$C4,'Awards Summary'!$J:$J,"OSC")</f>
        <v>0</v>
      </c>
      <c r="FM4" s="55">
        <f>SUMIFS('Disbursements Summary'!$E:$E,'Disbursements Summary'!$C:$C,$C4,'Disbursements Summary'!$A:$A,"OSC")</f>
        <v>0</v>
      </c>
      <c r="FN4" s="55">
        <f>SUMIFS('Awards Summary'!$H:$H,'Awards Summary'!$B:$B,$C4,'Awards Summary'!$J:$J,"OWIG")</f>
        <v>0</v>
      </c>
      <c r="FO4" s="55">
        <f>SUMIFS('Disbursements Summary'!$E:$E,'Disbursements Summary'!$C:$C,$C4,'Disbursements Summary'!$A:$A,"OWIG")</f>
        <v>0</v>
      </c>
      <c r="FP4" s="55">
        <f>SUMIFS('Awards Summary'!$H:$H,'Awards Summary'!$B:$B,$C4,'Awards Summary'!$J:$J,"OGDEN")</f>
        <v>0</v>
      </c>
      <c r="FQ4" s="55">
        <f>SUMIFS('Disbursements Summary'!$E:$E,'Disbursements Summary'!$C:$C,$C4,'Disbursements Summary'!$A:$A,"OGDEN")</f>
        <v>0</v>
      </c>
      <c r="FR4" s="55">
        <f>SUMIFS('Awards Summary'!$H:$H,'Awards Summary'!$B:$B,$C4,'Awards Summary'!$J:$J,"ORDA")</f>
        <v>0</v>
      </c>
      <c r="FS4" s="55">
        <f>SUMIFS('Disbursements Summary'!$E:$E,'Disbursements Summary'!$C:$C,$C4,'Disbursements Summary'!$A:$A,"ORDA")</f>
        <v>0</v>
      </c>
      <c r="FT4" s="55">
        <f>SUMIFS('Awards Summary'!$H:$H,'Awards Summary'!$B:$B,$C4,'Awards Summary'!$J:$J,"OSWEGO")</f>
        <v>0</v>
      </c>
      <c r="FU4" s="55">
        <f>SUMIFS('Disbursements Summary'!$E:$E,'Disbursements Summary'!$C:$C,$C4,'Disbursements Summary'!$A:$A,"OSWEGO")</f>
        <v>0</v>
      </c>
      <c r="FV4" s="55">
        <f>SUMIFS('Awards Summary'!$H:$H,'Awards Summary'!$B:$B,$C4,'Awards Summary'!$J:$J,"PERB")</f>
        <v>0</v>
      </c>
      <c r="FW4" s="55">
        <f>SUMIFS('Disbursements Summary'!$E:$E,'Disbursements Summary'!$C:$C,$C4,'Disbursements Summary'!$A:$A,"PERB")</f>
        <v>0</v>
      </c>
      <c r="FX4" s="55">
        <f>SUMIFS('Awards Summary'!$H:$H,'Awards Summary'!$B:$B,$C4,'Awards Summary'!$J:$J,"RGRTA")</f>
        <v>0</v>
      </c>
      <c r="FY4" s="55">
        <f>SUMIFS('Disbursements Summary'!$E:$E,'Disbursements Summary'!$C:$C,$C4,'Disbursements Summary'!$A:$A,"RGRTA")</f>
        <v>0</v>
      </c>
      <c r="FZ4" s="55">
        <f>SUMIFS('Awards Summary'!$H:$H,'Awards Summary'!$B:$B,$C4,'Awards Summary'!$J:$J,"RIOC")</f>
        <v>0</v>
      </c>
      <c r="GA4" s="55">
        <f>SUMIFS('Disbursements Summary'!$E:$E,'Disbursements Summary'!$C:$C,$C4,'Disbursements Summary'!$A:$A,"RIOC")</f>
        <v>0</v>
      </c>
      <c r="GB4" s="55">
        <f>SUMIFS('Awards Summary'!$H:$H,'Awards Summary'!$B:$B,$C4,'Awards Summary'!$J:$J,"RPCI")</f>
        <v>0</v>
      </c>
      <c r="GC4" s="55">
        <f>SUMIFS('Disbursements Summary'!$E:$E,'Disbursements Summary'!$C:$C,$C4,'Disbursements Summary'!$A:$A,"RPCI")</f>
        <v>0</v>
      </c>
      <c r="GD4" s="55">
        <f>SUMIFS('Awards Summary'!$H:$H,'Awards Summary'!$B:$B,$C4,'Awards Summary'!$J:$J,"SMDA")</f>
        <v>0</v>
      </c>
      <c r="GE4" s="55">
        <f>SUMIFS('Disbursements Summary'!$E:$E,'Disbursements Summary'!$C:$C,$C4,'Disbursements Summary'!$A:$A,"SMDA")</f>
        <v>0</v>
      </c>
      <c r="GF4" s="55">
        <f>SUMIFS('Awards Summary'!$H:$H,'Awards Summary'!$B:$B,$C4,'Awards Summary'!$J:$J,"SCOC")</f>
        <v>0</v>
      </c>
      <c r="GG4" s="55">
        <f>SUMIFS('Disbursements Summary'!$E:$E,'Disbursements Summary'!$C:$C,$C4,'Disbursements Summary'!$A:$A,"SCOC")</f>
        <v>0</v>
      </c>
      <c r="GH4" s="55">
        <f>SUMIFS('Awards Summary'!$H:$H,'Awards Summary'!$B:$B,$C4,'Awards Summary'!$J:$J,"SUCF")</f>
        <v>0</v>
      </c>
      <c r="GI4" s="55">
        <f>SUMIFS('Disbursements Summary'!$E:$E,'Disbursements Summary'!$C:$C,$C4,'Disbursements Summary'!$A:$A,"SUCF")</f>
        <v>0</v>
      </c>
      <c r="GJ4" s="55">
        <f>SUMIFS('Awards Summary'!$H:$H,'Awards Summary'!$B:$B,$C4,'Awards Summary'!$J:$J,"SUNY")</f>
        <v>0</v>
      </c>
      <c r="GK4" s="55">
        <f>SUMIFS('Disbursements Summary'!$E:$E,'Disbursements Summary'!$C:$C,$C4,'Disbursements Summary'!$A:$A,"SUNY")</f>
        <v>0</v>
      </c>
      <c r="GL4" s="55">
        <f>SUMIFS('Awards Summary'!$H:$H,'Awards Summary'!$B:$B,$C4,'Awards Summary'!$J:$J,"SRAA")</f>
        <v>0</v>
      </c>
      <c r="GM4" s="55">
        <f>SUMIFS('Disbursements Summary'!$E:$E,'Disbursements Summary'!$C:$C,$C4,'Disbursements Summary'!$A:$A,"SRAA")</f>
        <v>0</v>
      </c>
      <c r="GN4" s="55">
        <f>SUMIFS('Awards Summary'!$H:$H,'Awards Summary'!$B:$B,$C4,'Awards Summary'!$J:$J,"UNDC")</f>
        <v>0</v>
      </c>
      <c r="GO4" s="55">
        <f>SUMIFS('Disbursements Summary'!$E:$E,'Disbursements Summary'!$C:$C,$C4,'Disbursements Summary'!$A:$A,"UNDC")</f>
        <v>0</v>
      </c>
      <c r="GP4" s="55">
        <f>SUMIFS('Awards Summary'!$H:$H,'Awards Summary'!$B:$B,$C4,'Awards Summary'!$J:$J,"MVWA")</f>
        <v>0</v>
      </c>
      <c r="GQ4" s="55">
        <f>SUMIFS('Disbursements Summary'!$E:$E,'Disbursements Summary'!$C:$C,$C4,'Disbursements Summary'!$A:$A,"MVWA")</f>
        <v>0</v>
      </c>
      <c r="GR4" s="55">
        <f>SUMIFS('Awards Summary'!$H:$H,'Awards Summary'!$B:$B,$C4,'Awards Summary'!$J:$J,"WMC")</f>
        <v>0</v>
      </c>
      <c r="GS4" s="55">
        <f>SUMIFS('Disbursements Summary'!$E:$E,'Disbursements Summary'!$C:$C,$C4,'Disbursements Summary'!$A:$A,"WMC")</f>
        <v>0</v>
      </c>
      <c r="GT4" s="55">
        <f>SUMIFS('Awards Summary'!$H:$H,'Awards Summary'!$B:$B,$C4,'Awards Summary'!$J:$J,"WCB")</f>
        <v>0</v>
      </c>
      <c r="GU4" s="55">
        <f>SUMIFS('Disbursements Summary'!$E:$E,'Disbursements Summary'!$C:$C,$C4,'Disbursements Summary'!$A:$A,"WCB")</f>
        <v>0</v>
      </c>
      <c r="GV4" s="32">
        <f t="shared" si="1"/>
        <v>0</v>
      </c>
      <c r="GW4" s="32">
        <f t="shared" si="2"/>
        <v>0</v>
      </c>
      <c r="GX4" s="30" t="b">
        <f t="shared" si="3"/>
        <v>1</v>
      </c>
      <c r="GY4" s="30" t="b">
        <f t="shared" si="4"/>
        <v>1</v>
      </c>
    </row>
    <row r="5" spans="1:207" s="30" customFormat="1">
      <c r="A5" s="22" t="str">
        <f t="shared" si="0"/>
        <v/>
      </c>
      <c r="B5" s="40" t="s">
        <v>51</v>
      </c>
      <c r="C5" s="16">
        <v>141005</v>
      </c>
      <c r="D5" s="26">
        <f>COUNTIF('Awards Summary'!B:B,"141005")</f>
        <v>0</v>
      </c>
      <c r="E5" s="45">
        <f>SUMIFS('Awards Summary'!H:H,'Awards Summary'!B:B,"141005")</f>
        <v>0</v>
      </c>
      <c r="F5" s="46">
        <f>SUMIFS('Disbursements Summary'!E:E,'Disbursements Summary'!C:C, "141005")</f>
        <v>0</v>
      </c>
      <c r="H5" s="55">
        <f>SUMIFS('Awards Summary'!$H:$H,'Awards Summary'!$B:$B,$C5,'Awards Summary'!$J:$J,"APA")</f>
        <v>0</v>
      </c>
      <c r="I5" s="55">
        <f>SUMIFS('Disbursements Summary'!$E:$E,'Disbursements Summary'!$C:$C,$C5,'Disbursements Summary'!$A:$A,"APA")</f>
        <v>0</v>
      </c>
      <c r="J5" s="55">
        <f>SUMIFS('Awards Summary'!$H:$H,'Awards Summary'!$B:$B,$C5,'Awards Summary'!$J:$J,"Ag&amp;Horse")</f>
        <v>0</v>
      </c>
      <c r="K5" s="55">
        <f>SUMIFS('Disbursements Summary'!$E:$E,'Disbursements Summary'!$C:$C,$C5,'Disbursements Summary'!$A:$A,"Ag&amp;Horse")</f>
        <v>0</v>
      </c>
      <c r="L5" s="55">
        <f>SUMIFS('Awards Summary'!$H:$H,'Awards Summary'!$B:$B,$C5,'Awards Summary'!$J:$J,"ACAA")</f>
        <v>0</v>
      </c>
      <c r="M5" s="55">
        <f>SUMIFS('Disbursements Summary'!$E:$E,'Disbursements Summary'!$C:$C,$C5,'Disbursements Summary'!$A:$A,"ACAA")</f>
        <v>0</v>
      </c>
      <c r="N5" s="55">
        <f>SUMIFS('Awards Summary'!$H:$H,'Awards Summary'!$B:$B,$C5,'Awards Summary'!$J:$J,"PortAlbany")</f>
        <v>0</v>
      </c>
      <c r="O5" s="55">
        <f>SUMIFS('Disbursements Summary'!$E:$E,'Disbursements Summary'!$C:$C,$C5,'Disbursements Summary'!$A:$A,"PortAlbany")</f>
        <v>0</v>
      </c>
      <c r="P5" s="55">
        <f>SUMIFS('Awards Summary'!$H:$H,'Awards Summary'!$B:$B,$C5,'Awards Summary'!$J:$J,"SLA")</f>
        <v>0</v>
      </c>
      <c r="Q5" s="55">
        <f>SUMIFS('Disbursements Summary'!$E:$E,'Disbursements Summary'!$C:$C,$C5,'Disbursements Summary'!$A:$A,"SLA")</f>
        <v>0</v>
      </c>
      <c r="R5" s="55">
        <f>SUMIFS('Awards Summary'!$H:$H,'Awards Summary'!$B:$B,$C5,'Awards Summary'!$J:$J,"BPCA")</f>
        <v>0</v>
      </c>
      <c r="S5" s="55">
        <f>SUMIFS('Disbursements Summary'!$E:$E,'Disbursements Summary'!$C:$C,$C5,'Disbursements Summary'!$A:$A,"BPCA")</f>
        <v>0</v>
      </c>
      <c r="T5" s="55">
        <f>SUMIFS('Awards Summary'!$H:$H,'Awards Summary'!$B:$B,$C5,'Awards Summary'!$J:$J,"ELECTIONS")</f>
        <v>0</v>
      </c>
      <c r="U5" s="55">
        <f>SUMIFS('Disbursements Summary'!$E:$E,'Disbursements Summary'!$C:$C,$C5,'Disbursements Summary'!$A:$A,"ELECTIONS")</f>
        <v>0</v>
      </c>
      <c r="V5" s="55">
        <f>SUMIFS('Awards Summary'!$H:$H,'Awards Summary'!$B:$B,$C5,'Awards Summary'!$J:$J,"BFSA")</f>
        <v>0</v>
      </c>
      <c r="W5" s="55">
        <f>SUMIFS('Disbursements Summary'!$E:$E,'Disbursements Summary'!$C:$C,$C5,'Disbursements Summary'!$A:$A,"BFSA")</f>
        <v>0</v>
      </c>
      <c r="X5" s="55">
        <f>SUMIFS('Awards Summary'!$H:$H,'Awards Summary'!$B:$B,$C5,'Awards Summary'!$J:$J,"CDTA")</f>
        <v>0</v>
      </c>
      <c r="Y5" s="55">
        <f>SUMIFS('Disbursements Summary'!$E:$E,'Disbursements Summary'!$C:$C,$C5,'Disbursements Summary'!$A:$A,"CDTA")</f>
        <v>0</v>
      </c>
      <c r="Z5" s="55">
        <f>SUMIFS('Awards Summary'!$H:$H,'Awards Summary'!$B:$B,$C5,'Awards Summary'!$J:$J,"CCWSA")</f>
        <v>0</v>
      </c>
      <c r="AA5" s="55">
        <f>SUMIFS('Disbursements Summary'!$E:$E,'Disbursements Summary'!$C:$C,$C5,'Disbursements Summary'!$A:$A,"CCWSA")</f>
        <v>0</v>
      </c>
      <c r="AB5" s="55">
        <f>SUMIFS('Awards Summary'!$H:$H,'Awards Summary'!$B:$B,$C5,'Awards Summary'!$J:$J,"CNYRTA")</f>
        <v>0</v>
      </c>
      <c r="AC5" s="55">
        <f>SUMIFS('Disbursements Summary'!$E:$E,'Disbursements Summary'!$C:$C,$C5,'Disbursements Summary'!$A:$A,"CNYRTA")</f>
        <v>0</v>
      </c>
      <c r="AD5" s="55">
        <f>SUMIFS('Awards Summary'!$H:$H,'Awards Summary'!$B:$B,$C5,'Awards Summary'!$J:$J,"CUCF")</f>
        <v>0</v>
      </c>
      <c r="AE5" s="55">
        <f>SUMIFS('Disbursements Summary'!$E:$E,'Disbursements Summary'!$C:$C,$C5,'Disbursements Summary'!$A:$A,"CUCF")</f>
        <v>0</v>
      </c>
      <c r="AF5" s="55">
        <f>SUMIFS('Awards Summary'!$H:$H,'Awards Summary'!$B:$B,$C5,'Awards Summary'!$J:$J,"CUNY")</f>
        <v>0</v>
      </c>
      <c r="AG5" s="55">
        <f>SUMIFS('Disbursements Summary'!$E:$E,'Disbursements Summary'!$C:$C,$C5,'Disbursements Summary'!$A:$A,"CUNY")</f>
        <v>0</v>
      </c>
      <c r="AH5" s="55">
        <f>SUMIFS('Awards Summary'!$H:$H,'Awards Summary'!$B:$B,$C5,'Awards Summary'!$J:$J,"ARTS")</f>
        <v>0</v>
      </c>
      <c r="AI5" s="55">
        <f>SUMIFS('Disbursements Summary'!$E:$E,'Disbursements Summary'!$C:$C,$C5,'Disbursements Summary'!$A:$A,"ARTS")</f>
        <v>0</v>
      </c>
      <c r="AJ5" s="55">
        <f>SUMIFS('Awards Summary'!$H:$H,'Awards Summary'!$B:$B,$C5,'Awards Summary'!$J:$J,"AG&amp;MKTS")</f>
        <v>0</v>
      </c>
      <c r="AK5" s="55">
        <f>SUMIFS('Disbursements Summary'!$E:$E,'Disbursements Summary'!$C:$C,$C5,'Disbursements Summary'!$A:$A,"AG&amp;MKTS")</f>
        <v>0</v>
      </c>
      <c r="AL5" s="55">
        <f>SUMIFS('Awards Summary'!$H:$H,'Awards Summary'!$B:$B,$C5,'Awards Summary'!$J:$J,"CS")</f>
        <v>0</v>
      </c>
      <c r="AM5" s="55">
        <f>SUMIFS('Disbursements Summary'!$E:$E,'Disbursements Summary'!$C:$C,$C5,'Disbursements Summary'!$A:$A,"CS")</f>
        <v>0</v>
      </c>
      <c r="AN5" s="55">
        <f>SUMIFS('Awards Summary'!$H:$H,'Awards Summary'!$B:$B,$C5,'Awards Summary'!$J:$J,"DOCCS")</f>
        <v>0</v>
      </c>
      <c r="AO5" s="55">
        <f>SUMIFS('Disbursements Summary'!$E:$E,'Disbursements Summary'!$C:$C,$C5,'Disbursements Summary'!$A:$A,"DOCCS")</f>
        <v>0</v>
      </c>
      <c r="AP5" s="55">
        <f>SUMIFS('Awards Summary'!$H:$H,'Awards Summary'!$B:$B,$C5,'Awards Summary'!$J:$J,"DED")</f>
        <v>0</v>
      </c>
      <c r="AQ5" s="55">
        <f>SUMIFS('Disbursements Summary'!$E:$E,'Disbursements Summary'!$C:$C,$C5,'Disbursements Summary'!$A:$A,"DED")</f>
        <v>0</v>
      </c>
      <c r="AR5" s="55">
        <f>SUMIFS('Awards Summary'!$H:$H,'Awards Summary'!$B:$B,$C5,'Awards Summary'!$J:$J,"DEC")</f>
        <v>0</v>
      </c>
      <c r="AS5" s="55">
        <f>SUMIFS('Disbursements Summary'!$E:$E,'Disbursements Summary'!$C:$C,$C5,'Disbursements Summary'!$A:$A,"DEC")</f>
        <v>0</v>
      </c>
      <c r="AT5" s="55">
        <f>SUMIFS('Awards Summary'!$H:$H,'Awards Summary'!$B:$B,$C5,'Awards Summary'!$J:$J,"DFS")</f>
        <v>0</v>
      </c>
      <c r="AU5" s="55">
        <f>SUMIFS('Disbursements Summary'!$E:$E,'Disbursements Summary'!$C:$C,$C5,'Disbursements Summary'!$A:$A,"DFS")</f>
        <v>0</v>
      </c>
      <c r="AV5" s="55">
        <f>SUMIFS('Awards Summary'!$H:$H,'Awards Summary'!$B:$B,$C5,'Awards Summary'!$J:$J,"DOH")</f>
        <v>0</v>
      </c>
      <c r="AW5" s="55">
        <f>SUMIFS('Disbursements Summary'!$E:$E,'Disbursements Summary'!$C:$C,$C5,'Disbursements Summary'!$A:$A,"DOH")</f>
        <v>0</v>
      </c>
      <c r="AX5" s="55">
        <f>SUMIFS('Awards Summary'!$H:$H,'Awards Summary'!$B:$B,$C5,'Awards Summary'!$J:$J,"DOL")</f>
        <v>0</v>
      </c>
      <c r="AY5" s="55">
        <f>SUMIFS('Disbursements Summary'!$E:$E,'Disbursements Summary'!$C:$C,$C5,'Disbursements Summary'!$A:$A,"DOL")</f>
        <v>0</v>
      </c>
      <c r="AZ5" s="55">
        <f>SUMIFS('Awards Summary'!$H:$H,'Awards Summary'!$B:$B,$C5,'Awards Summary'!$J:$J,"DMV")</f>
        <v>0</v>
      </c>
      <c r="BA5" s="55">
        <f>SUMIFS('Disbursements Summary'!$E:$E,'Disbursements Summary'!$C:$C,$C5,'Disbursements Summary'!$A:$A,"DMV")</f>
        <v>0</v>
      </c>
      <c r="BB5" s="55">
        <f>SUMIFS('Awards Summary'!$H:$H,'Awards Summary'!$B:$B,$C5,'Awards Summary'!$J:$J,"DPS")</f>
        <v>0</v>
      </c>
      <c r="BC5" s="55">
        <f>SUMIFS('Disbursements Summary'!$E:$E,'Disbursements Summary'!$C:$C,$C5,'Disbursements Summary'!$A:$A,"DPS")</f>
        <v>0</v>
      </c>
      <c r="BD5" s="55">
        <f>SUMIFS('Awards Summary'!$H:$H,'Awards Summary'!$B:$B,$C5,'Awards Summary'!$J:$J,"DOS")</f>
        <v>0</v>
      </c>
      <c r="BE5" s="55">
        <f>SUMIFS('Disbursements Summary'!$E:$E,'Disbursements Summary'!$C:$C,$C5,'Disbursements Summary'!$A:$A,"DOS")</f>
        <v>0</v>
      </c>
      <c r="BF5" s="55">
        <f>SUMIFS('Awards Summary'!$H:$H,'Awards Summary'!$B:$B,$C5,'Awards Summary'!$J:$J,"TAX")</f>
        <v>0</v>
      </c>
      <c r="BG5" s="55">
        <f>SUMIFS('Disbursements Summary'!$E:$E,'Disbursements Summary'!$C:$C,$C5,'Disbursements Summary'!$A:$A,"TAX")</f>
        <v>0</v>
      </c>
      <c r="BH5" s="55">
        <f>SUMIFS('Awards Summary'!$H:$H,'Awards Summary'!$B:$B,$C5,'Awards Summary'!$J:$J,"DOT")</f>
        <v>0</v>
      </c>
      <c r="BI5" s="55">
        <f>SUMIFS('Disbursements Summary'!$E:$E,'Disbursements Summary'!$C:$C,$C5,'Disbursements Summary'!$A:$A,"DOT")</f>
        <v>0</v>
      </c>
      <c r="BJ5" s="55">
        <f>SUMIFS('Awards Summary'!$H:$H,'Awards Summary'!$B:$B,$C5,'Awards Summary'!$J:$J,"DANC")</f>
        <v>0</v>
      </c>
      <c r="BK5" s="55">
        <f>SUMIFS('Disbursements Summary'!$E:$E,'Disbursements Summary'!$C:$C,$C5,'Disbursements Summary'!$A:$A,"DANC")</f>
        <v>0</v>
      </c>
      <c r="BL5" s="55">
        <f>SUMIFS('Awards Summary'!$H:$H,'Awards Summary'!$B:$B,$C5,'Awards Summary'!$J:$J,"DOB")</f>
        <v>0</v>
      </c>
      <c r="BM5" s="55">
        <f>SUMIFS('Disbursements Summary'!$E:$E,'Disbursements Summary'!$C:$C,$C5,'Disbursements Summary'!$A:$A,"DOB")</f>
        <v>0</v>
      </c>
      <c r="BN5" s="55">
        <f>SUMIFS('Awards Summary'!$H:$H,'Awards Summary'!$B:$B,$C5,'Awards Summary'!$J:$J,"DCJS")</f>
        <v>0</v>
      </c>
      <c r="BO5" s="55">
        <f>SUMIFS('Disbursements Summary'!$E:$E,'Disbursements Summary'!$C:$C,$C5,'Disbursements Summary'!$A:$A,"DCJS")</f>
        <v>0</v>
      </c>
      <c r="BP5" s="55">
        <f>SUMIFS('Awards Summary'!$H:$H,'Awards Summary'!$B:$B,$C5,'Awards Summary'!$J:$J,"DHSES")</f>
        <v>0</v>
      </c>
      <c r="BQ5" s="55">
        <f>SUMIFS('Disbursements Summary'!$E:$E,'Disbursements Summary'!$C:$C,$C5,'Disbursements Summary'!$A:$A,"DHSES")</f>
        <v>0</v>
      </c>
      <c r="BR5" s="55">
        <f>SUMIFS('Awards Summary'!$H:$H,'Awards Summary'!$B:$B,$C5,'Awards Summary'!$J:$J,"DHR")</f>
        <v>0</v>
      </c>
      <c r="BS5" s="55">
        <f>SUMIFS('Disbursements Summary'!$E:$E,'Disbursements Summary'!$C:$C,$C5,'Disbursements Summary'!$A:$A,"DHR")</f>
        <v>0</v>
      </c>
      <c r="BT5" s="55">
        <f>SUMIFS('Awards Summary'!$H:$H,'Awards Summary'!$B:$B,$C5,'Awards Summary'!$J:$J,"DMNA")</f>
        <v>0</v>
      </c>
      <c r="BU5" s="55">
        <f>SUMIFS('Disbursements Summary'!$E:$E,'Disbursements Summary'!$C:$C,$C5,'Disbursements Summary'!$A:$A,"DMNA")</f>
        <v>0</v>
      </c>
      <c r="BV5" s="55">
        <f>SUMIFS('Awards Summary'!$H:$H,'Awards Summary'!$B:$B,$C5,'Awards Summary'!$J:$J,"TROOPERS")</f>
        <v>0</v>
      </c>
      <c r="BW5" s="55">
        <f>SUMIFS('Disbursements Summary'!$E:$E,'Disbursements Summary'!$C:$C,$C5,'Disbursements Summary'!$A:$A,"TROOPERS")</f>
        <v>0</v>
      </c>
      <c r="BX5" s="55">
        <f>SUMIFS('Awards Summary'!$H:$H,'Awards Summary'!$B:$B,$C5,'Awards Summary'!$J:$J,"DVA")</f>
        <v>0</v>
      </c>
      <c r="BY5" s="55">
        <f>SUMIFS('Disbursements Summary'!$E:$E,'Disbursements Summary'!$C:$C,$C5,'Disbursements Summary'!$A:$A,"DVA")</f>
        <v>0</v>
      </c>
      <c r="BZ5" s="55">
        <f>SUMIFS('Awards Summary'!$H:$H,'Awards Summary'!$B:$B,$C5,'Awards Summary'!$J:$J,"DASNY")</f>
        <v>0</v>
      </c>
      <c r="CA5" s="55">
        <f>SUMIFS('Disbursements Summary'!$E:$E,'Disbursements Summary'!$C:$C,$C5,'Disbursements Summary'!$A:$A,"DASNY")</f>
        <v>0</v>
      </c>
      <c r="CB5" s="55">
        <f>SUMIFS('Awards Summary'!$H:$H,'Awards Summary'!$B:$B,$C5,'Awards Summary'!$J:$J,"EGG")</f>
        <v>0</v>
      </c>
      <c r="CC5" s="55">
        <f>SUMIFS('Disbursements Summary'!$E:$E,'Disbursements Summary'!$C:$C,$C5,'Disbursements Summary'!$A:$A,"EGG")</f>
        <v>0</v>
      </c>
      <c r="CD5" s="55">
        <f>SUMIFS('Awards Summary'!$H:$H,'Awards Summary'!$B:$B,$C5,'Awards Summary'!$J:$J,"ESD")</f>
        <v>0</v>
      </c>
      <c r="CE5" s="55">
        <f>SUMIFS('Disbursements Summary'!$E:$E,'Disbursements Summary'!$C:$C,$C5,'Disbursements Summary'!$A:$A,"ESD")</f>
        <v>0</v>
      </c>
      <c r="CF5" s="55">
        <f>SUMIFS('Awards Summary'!$H:$H,'Awards Summary'!$B:$B,$C5,'Awards Summary'!$J:$J,"EFC")</f>
        <v>0</v>
      </c>
      <c r="CG5" s="55">
        <f>SUMIFS('Disbursements Summary'!$E:$E,'Disbursements Summary'!$C:$C,$C5,'Disbursements Summary'!$A:$A,"EFC")</f>
        <v>0</v>
      </c>
      <c r="CH5" s="55">
        <f>SUMIFS('Awards Summary'!$H:$H,'Awards Summary'!$B:$B,$C5,'Awards Summary'!$J:$J,"ECFSA")</f>
        <v>0</v>
      </c>
      <c r="CI5" s="55">
        <f>SUMIFS('Disbursements Summary'!$E:$E,'Disbursements Summary'!$C:$C,$C5,'Disbursements Summary'!$A:$A,"ECFSA")</f>
        <v>0</v>
      </c>
      <c r="CJ5" s="55">
        <f>SUMIFS('Awards Summary'!$H:$H,'Awards Summary'!$B:$B,$C5,'Awards Summary'!$J:$J,"ECMC")</f>
        <v>0</v>
      </c>
      <c r="CK5" s="55">
        <f>SUMIFS('Disbursements Summary'!$E:$E,'Disbursements Summary'!$C:$C,$C5,'Disbursements Summary'!$A:$A,"ECMC")</f>
        <v>0</v>
      </c>
      <c r="CL5" s="55">
        <f>SUMIFS('Awards Summary'!$H:$H,'Awards Summary'!$B:$B,$C5,'Awards Summary'!$J:$J,"CHAMBER")</f>
        <v>0</v>
      </c>
      <c r="CM5" s="55">
        <f>SUMIFS('Disbursements Summary'!$E:$E,'Disbursements Summary'!$C:$C,$C5,'Disbursements Summary'!$A:$A,"CHAMBER")</f>
        <v>0</v>
      </c>
      <c r="CN5" s="55">
        <f>SUMIFS('Awards Summary'!$H:$H,'Awards Summary'!$B:$B,$C5,'Awards Summary'!$J:$J,"GAMING")</f>
        <v>0</v>
      </c>
      <c r="CO5" s="55">
        <f>SUMIFS('Disbursements Summary'!$E:$E,'Disbursements Summary'!$C:$C,$C5,'Disbursements Summary'!$A:$A,"GAMING")</f>
        <v>0</v>
      </c>
      <c r="CP5" s="55">
        <f>SUMIFS('Awards Summary'!$H:$H,'Awards Summary'!$B:$B,$C5,'Awards Summary'!$J:$J,"GOER")</f>
        <v>0</v>
      </c>
      <c r="CQ5" s="55">
        <f>SUMIFS('Disbursements Summary'!$E:$E,'Disbursements Summary'!$C:$C,$C5,'Disbursements Summary'!$A:$A,"GOER")</f>
        <v>0</v>
      </c>
      <c r="CR5" s="55">
        <f>SUMIFS('Awards Summary'!$H:$H,'Awards Summary'!$B:$B,$C5,'Awards Summary'!$J:$J,"HESC")</f>
        <v>0</v>
      </c>
      <c r="CS5" s="55">
        <f>SUMIFS('Disbursements Summary'!$E:$E,'Disbursements Summary'!$C:$C,$C5,'Disbursements Summary'!$A:$A,"HESC")</f>
        <v>0</v>
      </c>
      <c r="CT5" s="55">
        <f>SUMIFS('Awards Summary'!$H:$H,'Awards Summary'!$B:$B,$C5,'Awards Summary'!$J:$J,"GOSR")</f>
        <v>0</v>
      </c>
      <c r="CU5" s="55">
        <f>SUMIFS('Disbursements Summary'!$E:$E,'Disbursements Summary'!$C:$C,$C5,'Disbursements Summary'!$A:$A,"GOSR")</f>
        <v>0</v>
      </c>
      <c r="CV5" s="55">
        <f>SUMIFS('Awards Summary'!$H:$H,'Awards Summary'!$B:$B,$C5,'Awards Summary'!$J:$J,"HRPT")</f>
        <v>0</v>
      </c>
      <c r="CW5" s="55">
        <f>SUMIFS('Disbursements Summary'!$E:$E,'Disbursements Summary'!$C:$C,$C5,'Disbursements Summary'!$A:$A,"HRPT")</f>
        <v>0</v>
      </c>
      <c r="CX5" s="55">
        <f>SUMIFS('Awards Summary'!$H:$H,'Awards Summary'!$B:$B,$C5,'Awards Summary'!$J:$J,"HRBRRD")</f>
        <v>0</v>
      </c>
      <c r="CY5" s="55">
        <f>SUMIFS('Disbursements Summary'!$E:$E,'Disbursements Summary'!$C:$C,$C5,'Disbursements Summary'!$A:$A,"HRBRRD")</f>
        <v>0</v>
      </c>
      <c r="CZ5" s="55">
        <f>SUMIFS('Awards Summary'!$H:$H,'Awards Summary'!$B:$B,$C5,'Awards Summary'!$J:$J,"ITS")</f>
        <v>0</v>
      </c>
      <c r="DA5" s="55">
        <f>SUMIFS('Disbursements Summary'!$E:$E,'Disbursements Summary'!$C:$C,$C5,'Disbursements Summary'!$A:$A,"ITS")</f>
        <v>0</v>
      </c>
      <c r="DB5" s="55">
        <f>SUMIFS('Awards Summary'!$H:$H,'Awards Summary'!$B:$B,$C5,'Awards Summary'!$J:$J,"JAVITS")</f>
        <v>0</v>
      </c>
      <c r="DC5" s="55">
        <f>SUMIFS('Disbursements Summary'!$E:$E,'Disbursements Summary'!$C:$C,$C5,'Disbursements Summary'!$A:$A,"JAVITS")</f>
        <v>0</v>
      </c>
      <c r="DD5" s="55">
        <f>SUMIFS('Awards Summary'!$H:$H,'Awards Summary'!$B:$B,$C5,'Awards Summary'!$J:$J,"JCOPE")</f>
        <v>0</v>
      </c>
      <c r="DE5" s="55">
        <f>SUMIFS('Disbursements Summary'!$E:$E,'Disbursements Summary'!$C:$C,$C5,'Disbursements Summary'!$A:$A,"JCOPE")</f>
        <v>0</v>
      </c>
      <c r="DF5" s="55">
        <f>SUMIFS('Awards Summary'!$H:$H,'Awards Summary'!$B:$B,$C5,'Awards Summary'!$J:$J,"JUSTICE")</f>
        <v>0</v>
      </c>
      <c r="DG5" s="55">
        <f>SUMIFS('Disbursements Summary'!$E:$E,'Disbursements Summary'!$C:$C,$C5,'Disbursements Summary'!$A:$A,"JUSTICE")</f>
        <v>0</v>
      </c>
      <c r="DH5" s="55">
        <f>SUMIFS('Awards Summary'!$H:$H,'Awards Summary'!$B:$B,$C5,'Awards Summary'!$J:$J,"LCWSA")</f>
        <v>0</v>
      </c>
      <c r="DI5" s="55">
        <f>SUMIFS('Disbursements Summary'!$E:$E,'Disbursements Summary'!$C:$C,$C5,'Disbursements Summary'!$A:$A,"LCWSA")</f>
        <v>0</v>
      </c>
      <c r="DJ5" s="55">
        <f>SUMIFS('Awards Summary'!$H:$H,'Awards Summary'!$B:$B,$C5,'Awards Summary'!$J:$J,"LIPA")</f>
        <v>0</v>
      </c>
      <c r="DK5" s="55">
        <f>SUMIFS('Disbursements Summary'!$E:$E,'Disbursements Summary'!$C:$C,$C5,'Disbursements Summary'!$A:$A,"LIPA")</f>
        <v>0</v>
      </c>
      <c r="DL5" s="55">
        <f>SUMIFS('Awards Summary'!$H:$H,'Awards Summary'!$B:$B,$C5,'Awards Summary'!$J:$J,"MTA")</f>
        <v>0</v>
      </c>
      <c r="DM5" s="55">
        <f>SUMIFS('Disbursements Summary'!$E:$E,'Disbursements Summary'!$C:$C,$C5,'Disbursements Summary'!$A:$A,"MTA")</f>
        <v>0</v>
      </c>
      <c r="DN5" s="55">
        <f>SUMIFS('Awards Summary'!$H:$H,'Awards Summary'!$B:$B,$C5,'Awards Summary'!$J:$J,"NIFA")</f>
        <v>0</v>
      </c>
      <c r="DO5" s="55">
        <f>SUMIFS('Disbursements Summary'!$E:$E,'Disbursements Summary'!$C:$C,$C5,'Disbursements Summary'!$A:$A,"NIFA")</f>
        <v>0</v>
      </c>
      <c r="DP5" s="55">
        <f>SUMIFS('Awards Summary'!$H:$H,'Awards Summary'!$B:$B,$C5,'Awards Summary'!$J:$J,"NHCC")</f>
        <v>0</v>
      </c>
      <c r="DQ5" s="55">
        <f>SUMIFS('Disbursements Summary'!$E:$E,'Disbursements Summary'!$C:$C,$C5,'Disbursements Summary'!$A:$A,"NHCC")</f>
        <v>0</v>
      </c>
      <c r="DR5" s="55">
        <f>SUMIFS('Awards Summary'!$H:$H,'Awards Summary'!$B:$B,$C5,'Awards Summary'!$J:$J,"NHT")</f>
        <v>0</v>
      </c>
      <c r="DS5" s="55">
        <f>SUMIFS('Disbursements Summary'!$E:$E,'Disbursements Summary'!$C:$C,$C5,'Disbursements Summary'!$A:$A,"NHT")</f>
        <v>0</v>
      </c>
      <c r="DT5" s="55">
        <f>SUMIFS('Awards Summary'!$H:$H,'Awards Summary'!$B:$B,$C5,'Awards Summary'!$J:$J,"NYPA")</f>
        <v>0</v>
      </c>
      <c r="DU5" s="55">
        <f>SUMIFS('Disbursements Summary'!$E:$E,'Disbursements Summary'!$C:$C,$C5,'Disbursements Summary'!$A:$A,"NYPA")</f>
        <v>0</v>
      </c>
      <c r="DV5" s="55">
        <f>SUMIFS('Awards Summary'!$H:$H,'Awards Summary'!$B:$B,$C5,'Awards Summary'!$J:$J,"NYSBA")</f>
        <v>0</v>
      </c>
      <c r="DW5" s="55">
        <f>SUMIFS('Disbursements Summary'!$E:$E,'Disbursements Summary'!$C:$C,$C5,'Disbursements Summary'!$A:$A,"NYSBA")</f>
        <v>0</v>
      </c>
      <c r="DX5" s="55">
        <f>SUMIFS('Awards Summary'!$H:$H,'Awards Summary'!$B:$B,$C5,'Awards Summary'!$J:$J,"NYSERDA")</f>
        <v>0</v>
      </c>
      <c r="DY5" s="55">
        <f>SUMIFS('Disbursements Summary'!$E:$E,'Disbursements Summary'!$C:$C,$C5,'Disbursements Summary'!$A:$A,"NYSERDA")</f>
        <v>0</v>
      </c>
      <c r="DZ5" s="55">
        <f>SUMIFS('Awards Summary'!$H:$H,'Awards Summary'!$B:$B,$C5,'Awards Summary'!$J:$J,"DHCR")</f>
        <v>0</v>
      </c>
      <c r="EA5" s="55">
        <f>SUMIFS('Disbursements Summary'!$E:$E,'Disbursements Summary'!$C:$C,$C5,'Disbursements Summary'!$A:$A,"DHCR")</f>
        <v>0</v>
      </c>
      <c r="EB5" s="55">
        <f>SUMIFS('Awards Summary'!$H:$H,'Awards Summary'!$B:$B,$C5,'Awards Summary'!$J:$J,"HFA")</f>
        <v>0</v>
      </c>
      <c r="EC5" s="55">
        <f>SUMIFS('Disbursements Summary'!$E:$E,'Disbursements Summary'!$C:$C,$C5,'Disbursements Summary'!$A:$A,"HFA")</f>
        <v>0</v>
      </c>
      <c r="ED5" s="55">
        <f>SUMIFS('Awards Summary'!$H:$H,'Awards Summary'!$B:$B,$C5,'Awards Summary'!$J:$J,"NYSIF")</f>
        <v>0</v>
      </c>
      <c r="EE5" s="55">
        <f>SUMIFS('Disbursements Summary'!$E:$E,'Disbursements Summary'!$C:$C,$C5,'Disbursements Summary'!$A:$A,"NYSIF")</f>
        <v>0</v>
      </c>
      <c r="EF5" s="55">
        <f>SUMIFS('Awards Summary'!$H:$H,'Awards Summary'!$B:$B,$C5,'Awards Summary'!$J:$J,"NYBREDS")</f>
        <v>0</v>
      </c>
      <c r="EG5" s="55">
        <f>SUMIFS('Disbursements Summary'!$E:$E,'Disbursements Summary'!$C:$C,$C5,'Disbursements Summary'!$A:$A,"NYBREDS")</f>
        <v>0</v>
      </c>
      <c r="EH5" s="55">
        <f>SUMIFS('Awards Summary'!$H:$H,'Awards Summary'!$B:$B,$C5,'Awards Summary'!$J:$J,"NYSTA")</f>
        <v>0</v>
      </c>
      <c r="EI5" s="55">
        <f>SUMIFS('Disbursements Summary'!$E:$E,'Disbursements Summary'!$C:$C,$C5,'Disbursements Summary'!$A:$A,"NYSTA")</f>
        <v>0</v>
      </c>
      <c r="EJ5" s="55">
        <f>SUMIFS('Awards Summary'!$H:$H,'Awards Summary'!$B:$B,$C5,'Awards Summary'!$J:$J,"NFWB")</f>
        <v>0</v>
      </c>
      <c r="EK5" s="55">
        <f>SUMIFS('Disbursements Summary'!$E:$E,'Disbursements Summary'!$C:$C,$C5,'Disbursements Summary'!$A:$A,"NFWB")</f>
        <v>0</v>
      </c>
      <c r="EL5" s="55">
        <f>SUMIFS('Awards Summary'!$H:$H,'Awards Summary'!$B:$B,$C5,'Awards Summary'!$J:$J,"NFTA")</f>
        <v>0</v>
      </c>
      <c r="EM5" s="55">
        <f>SUMIFS('Disbursements Summary'!$E:$E,'Disbursements Summary'!$C:$C,$C5,'Disbursements Summary'!$A:$A,"NFTA")</f>
        <v>0</v>
      </c>
      <c r="EN5" s="55">
        <f>SUMIFS('Awards Summary'!$H:$H,'Awards Summary'!$B:$B,$C5,'Awards Summary'!$J:$J,"OPWDD")</f>
        <v>0</v>
      </c>
      <c r="EO5" s="55">
        <f>SUMIFS('Disbursements Summary'!$E:$E,'Disbursements Summary'!$C:$C,$C5,'Disbursements Summary'!$A:$A,"OPWDD")</f>
        <v>0</v>
      </c>
      <c r="EP5" s="55">
        <f>SUMIFS('Awards Summary'!$H:$H,'Awards Summary'!$B:$B,$C5,'Awards Summary'!$J:$J,"AGING")</f>
        <v>0</v>
      </c>
      <c r="EQ5" s="55">
        <f>SUMIFS('Disbursements Summary'!$E:$E,'Disbursements Summary'!$C:$C,$C5,'Disbursements Summary'!$A:$A,"AGING")</f>
        <v>0</v>
      </c>
      <c r="ER5" s="55">
        <f>SUMIFS('Awards Summary'!$H:$H,'Awards Summary'!$B:$B,$C5,'Awards Summary'!$J:$J,"OPDV")</f>
        <v>0</v>
      </c>
      <c r="ES5" s="55">
        <f>SUMIFS('Disbursements Summary'!$E:$E,'Disbursements Summary'!$C:$C,$C5,'Disbursements Summary'!$A:$A,"OPDV")</f>
        <v>0</v>
      </c>
      <c r="ET5" s="55">
        <f>SUMIFS('Awards Summary'!$H:$H,'Awards Summary'!$B:$B,$C5,'Awards Summary'!$J:$J,"OVS")</f>
        <v>0</v>
      </c>
      <c r="EU5" s="55">
        <f>SUMIFS('Disbursements Summary'!$E:$E,'Disbursements Summary'!$C:$C,$C5,'Disbursements Summary'!$A:$A,"OVS")</f>
        <v>0</v>
      </c>
      <c r="EV5" s="55">
        <f>SUMIFS('Awards Summary'!$H:$H,'Awards Summary'!$B:$B,$C5,'Awards Summary'!$J:$J,"OASAS")</f>
        <v>0</v>
      </c>
      <c r="EW5" s="55">
        <f>SUMIFS('Disbursements Summary'!$E:$E,'Disbursements Summary'!$C:$C,$C5,'Disbursements Summary'!$A:$A,"OASAS")</f>
        <v>0</v>
      </c>
      <c r="EX5" s="55">
        <f>SUMIFS('Awards Summary'!$H:$H,'Awards Summary'!$B:$B,$C5,'Awards Summary'!$J:$J,"OCFS")</f>
        <v>0</v>
      </c>
      <c r="EY5" s="55">
        <f>SUMIFS('Disbursements Summary'!$E:$E,'Disbursements Summary'!$C:$C,$C5,'Disbursements Summary'!$A:$A,"OCFS")</f>
        <v>0</v>
      </c>
      <c r="EZ5" s="55">
        <f>SUMIFS('Awards Summary'!$H:$H,'Awards Summary'!$B:$B,$C5,'Awards Summary'!$J:$J,"OGS")</f>
        <v>0</v>
      </c>
      <c r="FA5" s="55">
        <f>SUMIFS('Disbursements Summary'!$E:$E,'Disbursements Summary'!$C:$C,$C5,'Disbursements Summary'!$A:$A,"OGS")</f>
        <v>0</v>
      </c>
      <c r="FB5" s="55">
        <f>SUMIFS('Awards Summary'!$H:$H,'Awards Summary'!$B:$B,$C5,'Awards Summary'!$J:$J,"OMH")</f>
        <v>0</v>
      </c>
      <c r="FC5" s="55">
        <f>SUMIFS('Disbursements Summary'!$E:$E,'Disbursements Summary'!$C:$C,$C5,'Disbursements Summary'!$A:$A,"OMH")</f>
        <v>0</v>
      </c>
      <c r="FD5" s="55">
        <f>SUMIFS('Awards Summary'!$H:$H,'Awards Summary'!$B:$B,$C5,'Awards Summary'!$J:$J,"PARKS")</f>
        <v>0</v>
      </c>
      <c r="FE5" s="55">
        <f>SUMIFS('Disbursements Summary'!$E:$E,'Disbursements Summary'!$C:$C,$C5,'Disbursements Summary'!$A:$A,"PARKS")</f>
        <v>0</v>
      </c>
      <c r="FF5" s="55">
        <f>SUMIFS('Awards Summary'!$H:$H,'Awards Summary'!$B:$B,$C5,'Awards Summary'!$J:$J,"OTDA")</f>
        <v>0</v>
      </c>
      <c r="FG5" s="55">
        <f>SUMIFS('Disbursements Summary'!$E:$E,'Disbursements Summary'!$C:$C,$C5,'Disbursements Summary'!$A:$A,"OTDA")</f>
        <v>0</v>
      </c>
      <c r="FH5" s="55">
        <f>SUMIFS('Awards Summary'!$H:$H,'Awards Summary'!$B:$B,$C5,'Awards Summary'!$J:$J,"OIG")</f>
        <v>0</v>
      </c>
      <c r="FI5" s="55">
        <f>SUMIFS('Disbursements Summary'!$E:$E,'Disbursements Summary'!$C:$C,$C5,'Disbursements Summary'!$A:$A,"OIG")</f>
        <v>0</v>
      </c>
      <c r="FJ5" s="55">
        <f>SUMIFS('Awards Summary'!$H:$H,'Awards Summary'!$B:$B,$C5,'Awards Summary'!$J:$J,"OMIG")</f>
        <v>0</v>
      </c>
      <c r="FK5" s="55">
        <f>SUMIFS('Disbursements Summary'!$E:$E,'Disbursements Summary'!$C:$C,$C5,'Disbursements Summary'!$A:$A,"OMIG")</f>
        <v>0</v>
      </c>
      <c r="FL5" s="55">
        <f>SUMIFS('Awards Summary'!$H:$H,'Awards Summary'!$B:$B,$C5,'Awards Summary'!$J:$J,"OSC")</f>
        <v>0</v>
      </c>
      <c r="FM5" s="55">
        <f>SUMIFS('Disbursements Summary'!$E:$E,'Disbursements Summary'!$C:$C,$C5,'Disbursements Summary'!$A:$A,"OSC")</f>
        <v>0</v>
      </c>
      <c r="FN5" s="55">
        <f>SUMIFS('Awards Summary'!$H:$H,'Awards Summary'!$B:$B,$C5,'Awards Summary'!$J:$J,"OWIG")</f>
        <v>0</v>
      </c>
      <c r="FO5" s="55">
        <f>SUMIFS('Disbursements Summary'!$E:$E,'Disbursements Summary'!$C:$C,$C5,'Disbursements Summary'!$A:$A,"OWIG")</f>
        <v>0</v>
      </c>
      <c r="FP5" s="55">
        <f>SUMIFS('Awards Summary'!$H:$H,'Awards Summary'!$B:$B,$C5,'Awards Summary'!$J:$J,"OGDEN")</f>
        <v>0</v>
      </c>
      <c r="FQ5" s="55">
        <f>SUMIFS('Disbursements Summary'!$E:$E,'Disbursements Summary'!$C:$C,$C5,'Disbursements Summary'!$A:$A,"OGDEN")</f>
        <v>0</v>
      </c>
      <c r="FR5" s="55">
        <f>SUMIFS('Awards Summary'!$H:$H,'Awards Summary'!$B:$B,$C5,'Awards Summary'!$J:$J,"ORDA")</f>
        <v>0</v>
      </c>
      <c r="FS5" s="55">
        <f>SUMIFS('Disbursements Summary'!$E:$E,'Disbursements Summary'!$C:$C,$C5,'Disbursements Summary'!$A:$A,"ORDA")</f>
        <v>0</v>
      </c>
      <c r="FT5" s="55">
        <f>SUMIFS('Awards Summary'!$H:$H,'Awards Summary'!$B:$B,$C5,'Awards Summary'!$J:$J,"OSWEGO")</f>
        <v>0</v>
      </c>
      <c r="FU5" s="55">
        <f>SUMIFS('Disbursements Summary'!$E:$E,'Disbursements Summary'!$C:$C,$C5,'Disbursements Summary'!$A:$A,"OSWEGO")</f>
        <v>0</v>
      </c>
      <c r="FV5" s="55">
        <f>SUMIFS('Awards Summary'!$H:$H,'Awards Summary'!$B:$B,$C5,'Awards Summary'!$J:$J,"PERB")</f>
        <v>0</v>
      </c>
      <c r="FW5" s="55">
        <f>SUMIFS('Disbursements Summary'!$E:$E,'Disbursements Summary'!$C:$C,$C5,'Disbursements Summary'!$A:$A,"PERB")</f>
        <v>0</v>
      </c>
      <c r="FX5" s="55">
        <f>SUMIFS('Awards Summary'!$H:$H,'Awards Summary'!$B:$B,$C5,'Awards Summary'!$J:$J,"RGRTA")</f>
        <v>0</v>
      </c>
      <c r="FY5" s="55">
        <f>SUMIFS('Disbursements Summary'!$E:$E,'Disbursements Summary'!$C:$C,$C5,'Disbursements Summary'!$A:$A,"RGRTA")</f>
        <v>0</v>
      </c>
      <c r="FZ5" s="55">
        <f>SUMIFS('Awards Summary'!$H:$H,'Awards Summary'!$B:$B,$C5,'Awards Summary'!$J:$J,"RIOC")</f>
        <v>0</v>
      </c>
      <c r="GA5" s="55">
        <f>SUMIFS('Disbursements Summary'!$E:$E,'Disbursements Summary'!$C:$C,$C5,'Disbursements Summary'!$A:$A,"RIOC")</f>
        <v>0</v>
      </c>
      <c r="GB5" s="55">
        <f>SUMIFS('Awards Summary'!$H:$H,'Awards Summary'!$B:$B,$C5,'Awards Summary'!$J:$J,"RPCI")</f>
        <v>0</v>
      </c>
      <c r="GC5" s="55">
        <f>SUMIFS('Disbursements Summary'!$E:$E,'Disbursements Summary'!$C:$C,$C5,'Disbursements Summary'!$A:$A,"RPCI")</f>
        <v>0</v>
      </c>
      <c r="GD5" s="55">
        <f>SUMIFS('Awards Summary'!$H:$H,'Awards Summary'!$B:$B,$C5,'Awards Summary'!$J:$J,"SMDA")</f>
        <v>0</v>
      </c>
      <c r="GE5" s="55">
        <f>SUMIFS('Disbursements Summary'!$E:$E,'Disbursements Summary'!$C:$C,$C5,'Disbursements Summary'!$A:$A,"SMDA")</f>
        <v>0</v>
      </c>
      <c r="GF5" s="55">
        <f>SUMIFS('Awards Summary'!$H:$H,'Awards Summary'!$B:$B,$C5,'Awards Summary'!$J:$J,"SCOC")</f>
        <v>0</v>
      </c>
      <c r="GG5" s="55">
        <f>SUMIFS('Disbursements Summary'!$E:$E,'Disbursements Summary'!$C:$C,$C5,'Disbursements Summary'!$A:$A,"SCOC")</f>
        <v>0</v>
      </c>
      <c r="GH5" s="55">
        <f>SUMIFS('Awards Summary'!$H:$H,'Awards Summary'!$B:$B,$C5,'Awards Summary'!$J:$J,"SUCF")</f>
        <v>0</v>
      </c>
      <c r="GI5" s="55">
        <f>SUMIFS('Disbursements Summary'!$E:$E,'Disbursements Summary'!$C:$C,$C5,'Disbursements Summary'!$A:$A,"SUCF")</f>
        <v>0</v>
      </c>
      <c r="GJ5" s="55">
        <f>SUMIFS('Awards Summary'!$H:$H,'Awards Summary'!$B:$B,$C5,'Awards Summary'!$J:$J,"SUNY")</f>
        <v>0</v>
      </c>
      <c r="GK5" s="55">
        <f>SUMIFS('Disbursements Summary'!$E:$E,'Disbursements Summary'!$C:$C,$C5,'Disbursements Summary'!$A:$A,"SUNY")</f>
        <v>0</v>
      </c>
      <c r="GL5" s="55">
        <f>SUMIFS('Awards Summary'!$H:$H,'Awards Summary'!$B:$B,$C5,'Awards Summary'!$J:$J,"SRAA")</f>
        <v>0</v>
      </c>
      <c r="GM5" s="55">
        <f>SUMIFS('Disbursements Summary'!$E:$E,'Disbursements Summary'!$C:$C,$C5,'Disbursements Summary'!$A:$A,"SRAA")</f>
        <v>0</v>
      </c>
      <c r="GN5" s="55">
        <f>SUMIFS('Awards Summary'!$H:$H,'Awards Summary'!$B:$B,$C5,'Awards Summary'!$J:$J,"UNDC")</f>
        <v>0</v>
      </c>
      <c r="GO5" s="55">
        <f>SUMIFS('Disbursements Summary'!$E:$E,'Disbursements Summary'!$C:$C,$C5,'Disbursements Summary'!$A:$A,"UNDC")</f>
        <v>0</v>
      </c>
      <c r="GP5" s="55">
        <f>SUMIFS('Awards Summary'!$H:$H,'Awards Summary'!$B:$B,$C5,'Awards Summary'!$J:$J,"MVWA")</f>
        <v>0</v>
      </c>
      <c r="GQ5" s="55">
        <f>SUMIFS('Disbursements Summary'!$E:$E,'Disbursements Summary'!$C:$C,$C5,'Disbursements Summary'!$A:$A,"MVWA")</f>
        <v>0</v>
      </c>
      <c r="GR5" s="55">
        <f>SUMIFS('Awards Summary'!$H:$H,'Awards Summary'!$B:$B,$C5,'Awards Summary'!$J:$J,"WMC")</f>
        <v>0</v>
      </c>
      <c r="GS5" s="55">
        <f>SUMIFS('Disbursements Summary'!$E:$E,'Disbursements Summary'!$C:$C,$C5,'Disbursements Summary'!$A:$A,"WMC")</f>
        <v>0</v>
      </c>
      <c r="GT5" s="55">
        <f>SUMIFS('Awards Summary'!$H:$H,'Awards Summary'!$B:$B,$C5,'Awards Summary'!$J:$J,"WCB")</f>
        <v>0</v>
      </c>
      <c r="GU5" s="55">
        <f>SUMIFS('Disbursements Summary'!$E:$E,'Disbursements Summary'!$C:$C,$C5,'Disbursements Summary'!$A:$A,"WCB")</f>
        <v>0</v>
      </c>
      <c r="GV5" s="32">
        <f t="shared" si="1"/>
        <v>0</v>
      </c>
      <c r="GW5" s="32">
        <f t="shared" si="2"/>
        <v>0</v>
      </c>
      <c r="GX5" s="30" t="b">
        <f t="shared" si="3"/>
        <v>1</v>
      </c>
      <c r="GY5" s="30" t="b">
        <f t="shared" si="4"/>
        <v>1</v>
      </c>
    </row>
    <row r="6" spans="1:207" s="30" customFormat="1">
      <c r="A6" s="22" t="str">
        <f t="shared" si="0"/>
        <v/>
      </c>
      <c r="B6" s="40" t="s">
        <v>215</v>
      </c>
      <c r="C6" s="16">
        <v>141009</v>
      </c>
      <c r="D6" s="26">
        <f>COUNTIF('Awards Summary'!B:B,"141009")</f>
        <v>0</v>
      </c>
      <c r="E6" s="45">
        <f>SUMIFS('Awards Summary'!H:H,'Awards Summary'!B:B,"141009")</f>
        <v>0</v>
      </c>
      <c r="F6" s="46">
        <f>SUMIFS('Disbursements Summary'!E:E,'Disbursements Summary'!C:C, "141009")</f>
        <v>0</v>
      </c>
      <c r="H6" s="55">
        <f>SUMIFS('Awards Summary'!$H:$H,'Awards Summary'!$B:$B,$C6,'Awards Summary'!$J:$J,"APA")</f>
        <v>0</v>
      </c>
      <c r="I6" s="55">
        <f>SUMIFS('Disbursements Summary'!$E:$E,'Disbursements Summary'!$C:$C,$C6,'Disbursements Summary'!$A:$A,"APA")</f>
        <v>0</v>
      </c>
      <c r="J6" s="55">
        <f>SUMIFS('Awards Summary'!$H:$H,'Awards Summary'!$B:$B,$C6,'Awards Summary'!$J:$J,"Ag&amp;Horse")</f>
        <v>0</v>
      </c>
      <c r="K6" s="55">
        <f>SUMIFS('Disbursements Summary'!$E:$E,'Disbursements Summary'!$C:$C,$C6,'Disbursements Summary'!$A:$A,"Ag&amp;Horse")</f>
        <v>0</v>
      </c>
      <c r="L6" s="55">
        <f>SUMIFS('Awards Summary'!$H:$H,'Awards Summary'!$B:$B,$C6,'Awards Summary'!$J:$J,"ACAA")</f>
        <v>0</v>
      </c>
      <c r="M6" s="55">
        <f>SUMIFS('Disbursements Summary'!$E:$E,'Disbursements Summary'!$C:$C,$C6,'Disbursements Summary'!$A:$A,"ACAA")</f>
        <v>0</v>
      </c>
      <c r="N6" s="55">
        <f>SUMIFS('Awards Summary'!$H:$H,'Awards Summary'!$B:$B,$C6,'Awards Summary'!$J:$J,"PortAlbany")</f>
        <v>0</v>
      </c>
      <c r="O6" s="55">
        <f>SUMIFS('Disbursements Summary'!$E:$E,'Disbursements Summary'!$C:$C,$C6,'Disbursements Summary'!$A:$A,"PortAlbany")</f>
        <v>0</v>
      </c>
      <c r="P6" s="55">
        <f>SUMIFS('Awards Summary'!$H:$H,'Awards Summary'!$B:$B,$C6,'Awards Summary'!$J:$J,"SLA")</f>
        <v>0</v>
      </c>
      <c r="Q6" s="55">
        <f>SUMIFS('Disbursements Summary'!$E:$E,'Disbursements Summary'!$C:$C,$C6,'Disbursements Summary'!$A:$A,"SLA")</f>
        <v>0</v>
      </c>
      <c r="R6" s="55">
        <f>SUMIFS('Awards Summary'!$H:$H,'Awards Summary'!$B:$B,$C6,'Awards Summary'!$J:$J,"BPCA")</f>
        <v>0</v>
      </c>
      <c r="S6" s="55">
        <f>SUMIFS('Disbursements Summary'!$E:$E,'Disbursements Summary'!$C:$C,$C6,'Disbursements Summary'!$A:$A,"BPCA")</f>
        <v>0</v>
      </c>
      <c r="T6" s="55">
        <f>SUMIFS('Awards Summary'!$H:$H,'Awards Summary'!$B:$B,$C6,'Awards Summary'!$J:$J,"ELECTIONS")</f>
        <v>0</v>
      </c>
      <c r="U6" s="55">
        <f>SUMIFS('Disbursements Summary'!$E:$E,'Disbursements Summary'!$C:$C,$C6,'Disbursements Summary'!$A:$A,"ELECTIONS")</f>
        <v>0</v>
      </c>
      <c r="V6" s="55">
        <f>SUMIFS('Awards Summary'!$H:$H,'Awards Summary'!$B:$B,$C6,'Awards Summary'!$J:$J,"BFSA")</f>
        <v>0</v>
      </c>
      <c r="W6" s="55">
        <f>SUMIFS('Disbursements Summary'!$E:$E,'Disbursements Summary'!$C:$C,$C6,'Disbursements Summary'!$A:$A,"BFSA")</f>
        <v>0</v>
      </c>
      <c r="X6" s="55">
        <f>SUMIFS('Awards Summary'!$H:$H,'Awards Summary'!$B:$B,$C6,'Awards Summary'!$J:$J,"CDTA")</f>
        <v>0</v>
      </c>
      <c r="Y6" s="55">
        <f>SUMIFS('Disbursements Summary'!$E:$E,'Disbursements Summary'!$C:$C,$C6,'Disbursements Summary'!$A:$A,"CDTA")</f>
        <v>0</v>
      </c>
      <c r="Z6" s="55">
        <f>SUMIFS('Awards Summary'!$H:$H,'Awards Summary'!$B:$B,$C6,'Awards Summary'!$J:$J,"CCWSA")</f>
        <v>0</v>
      </c>
      <c r="AA6" s="55">
        <f>SUMIFS('Disbursements Summary'!$E:$E,'Disbursements Summary'!$C:$C,$C6,'Disbursements Summary'!$A:$A,"CCWSA")</f>
        <v>0</v>
      </c>
      <c r="AB6" s="55">
        <f>SUMIFS('Awards Summary'!$H:$H,'Awards Summary'!$B:$B,$C6,'Awards Summary'!$J:$J,"CNYRTA")</f>
        <v>0</v>
      </c>
      <c r="AC6" s="55">
        <f>SUMIFS('Disbursements Summary'!$E:$E,'Disbursements Summary'!$C:$C,$C6,'Disbursements Summary'!$A:$A,"CNYRTA")</f>
        <v>0</v>
      </c>
      <c r="AD6" s="55">
        <f>SUMIFS('Awards Summary'!$H:$H,'Awards Summary'!$B:$B,$C6,'Awards Summary'!$J:$J,"CUCF")</f>
        <v>0</v>
      </c>
      <c r="AE6" s="55">
        <f>SUMIFS('Disbursements Summary'!$E:$E,'Disbursements Summary'!$C:$C,$C6,'Disbursements Summary'!$A:$A,"CUCF")</f>
        <v>0</v>
      </c>
      <c r="AF6" s="55">
        <f>SUMIFS('Awards Summary'!$H:$H,'Awards Summary'!$B:$B,$C6,'Awards Summary'!$J:$J,"CUNY")</f>
        <v>0</v>
      </c>
      <c r="AG6" s="55">
        <f>SUMIFS('Disbursements Summary'!$E:$E,'Disbursements Summary'!$C:$C,$C6,'Disbursements Summary'!$A:$A,"CUNY")</f>
        <v>0</v>
      </c>
      <c r="AH6" s="55">
        <f>SUMIFS('Awards Summary'!$H:$H,'Awards Summary'!$B:$B,$C6,'Awards Summary'!$J:$J,"ARTS")</f>
        <v>0</v>
      </c>
      <c r="AI6" s="55">
        <f>SUMIFS('Disbursements Summary'!$E:$E,'Disbursements Summary'!$C:$C,$C6,'Disbursements Summary'!$A:$A,"ARTS")</f>
        <v>0</v>
      </c>
      <c r="AJ6" s="55">
        <f>SUMIFS('Awards Summary'!$H:$H,'Awards Summary'!$B:$B,$C6,'Awards Summary'!$J:$J,"AG&amp;MKTS")</f>
        <v>0</v>
      </c>
      <c r="AK6" s="55">
        <f>SUMIFS('Disbursements Summary'!$E:$E,'Disbursements Summary'!$C:$C,$C6,'Disbursements Summary'!$A:$A,"AG&amp;MKTS")</f>
        <v>0</v>
      </c>
      <c r="AL6" s="55">
        <f>SUMIFS('Awards Summary'!$H:$H,'Awards Summary'!$B:$B,$C6,'Awards Summary'!$J:$J,"CS")</f>
        <v>0</v>
      </c>
      <c r="AM6" s="55">
        <f>SUMIFS('Disbursements Summary'!$E:$E,'Disbursements Summary'!$C:$C,$C6,'Disbursements Summary'!$A:$A,"CS")</f>
        <v>0</v>
      </c>
      <c r="AN6" s="55">
        <f>SUMIFS('Awards Summary'!$H:$H,'Awards Summary'!$B:$B,$C6,'Awards Summary'!$J:$J,"DOCCS")</f>
        <v>0</v>
      </c>
      <c r="AO6" s="55">
        <f>SUMIFS('Disbursements Summary'!$E:$E,'Disbursements Summary'!$C:$C,$C6,'Disbursements Summary'!$A:$A,"DOCCS")</f>
        <v>0</v>
      </c>
      <c r="AP6" s="55">
        <f>SUMIFS('Awards Summary'!$H:$H,'Awards Summary'!$B:$B,$C6,'Awards Summary'!$J:$J,"DED")</f>
        <v>0</v>
      </c>
      <c r="AQ6" s="55">
        <f>SUMIFS('Disbursements Summary'!$E:$E,'Disbursements Summary'!$C:$C,$C6,'Disbursements Summary'!$A:$A,"DED")</f>
        <v>0</v>
      </c>
      <c r="AR6" s="55">
        <f>SUMIFS('Awards Summary'!$H:$H,'Awards Summary'!$B:$B,$C6,'Awards Summary'!$J:$J,"DEC")</f>
        <v>0</v>
      </c>
      <c r="AS6" s="55">
        <f>SUMIFS('Disbursements Summary'!$E:$E,'Disbursements Summary'!$C:$C,$C6,'Disbursements Summary'!$A:$A,"DEC")</f>
        <v>0</v>
      </c>
      <c r="AT6" s="55">
        <f>SUMIFS('Awards Summary'!$H:$H,'Awards Summary'!$B:$B,$C6,'Awards Summary'!$J:$J,"DFS")</f>
        <v>0</v>
      </c>
      <c r="AU6" s="55">
        <f>SUMIFS('Disbursements Summary'!$E:$E,'Disbursements Summary'!$C:$C,$C6,'Disbursements Summary'!$A:$A,"DFS")</f>
        <v>0</v>
      </c>
      <c r="AV6" s="55">
        <f>SUMIFS('Awards Summary'!$H:$H,'Awards Summary'!$B:$B,$C6,'Awards Summary'!$J:$J,"DOH")</f>
        <v>0</v>
      </c>
      <c r="AW6" s="55">
        <f>SUMIFS('Disbursements Summary'!$E:$E,'Disbursements Summary'!$C:$C,$C6,'Disbursements Summary'!$A:$A,"DOH")</f>
        <v>0</v>
      </c>
      <c r="AX6" s="55">
        <f>SUMIFS('Awards Summary'!$H:$H,'Awards Summary'!$B:$B,$C6,'Awards Summary'!$J:$J,"DOL")</f>
        <v>0</v>
      </c>
      <c r="AY6" s="55">
        <f>SUMIFS('Disbursements Summary'!$E:$E,'Disbursements Summary'!$C:$C,$C6,'Disbursements Summary'!$A:$A,"DOL")</f>
        <v>0</v>
      </c>
      <c r="AZ6" s="55">
        <f>SUMIFS('Awards Summary'!$H:$H,'Awards Summary'!$B:$B,$C6,'Awards Summary'!$J:$J,"DMV")</f>
        <v>0</v>
      </c>
      <c r="BA6" s="55">
        <f>SUMIFS('Disbursements Summary'!$E:$E,'Disbursements Summary'!$C:$C,$C6,'Disbursements Summary'!$A:$A,"DMV")</f>
        <v>0</v>
      </c>
      <c r="BB6" s="55">
        <f>SUMIFS('Awards Summary'!$H:$H,'Awards Summary'!$B:$B,$C6,'Awards Summary'!$J:$J,"DPS")</f>
        <v>0</v>
      </c>
      <c r="BC6" s="55">
        <f>SUMIFS('Disbursements Summary'!$E:$E,'Disbursements Summary'!$C:$C,$C6,'Disbursements Summary'!$A:$A,"DPS")</f>
        <v>0</v>
      </c>
      <c r="BD6" s="55">
        <f>SUMIFS('Awards Summary'!$H:$H,'Awards Summary'!$B:$B,$C6,'Awards Summary'!$J:$J,"DOS")</f>
        <v>0</v>
      </c>
      <c r="BE6" s="55">
        <f>SUMIFS('Disbursements Summary'!$E:$E,'Disbursements Summary'!$C:$C,$C6,'Disbursements Summary'!$A:$A,"DOS")</f>
        <v>0</v>
      </c>
      <c r="BF6" s="55">
        <f>SUMIFS('Awards Summary'!$H:$H,'Awards Summary'!$B:$B,$C6,'Awards Summary'!$J:$J,"TAX")</f>
        <v>0</v>
      </c>
      <c r="BG6" s="55">
        <f>SUMIFS('Disbursements Summary'!$E:$E,'Disbursements Summary'!$C:$C,$C6,'Disbursements Summary'!$A:$A,"TAX")</f>
        <v>0</v>
      </c>
      <c r="BH6" s="55">
        <f>SUMIFS('Awards Summary'!$H:$H,'Awards Summary'!$B:$B,$C6,'Awards Summary'!$J:$J,"DOT")</f>
        <v>0</v>
      </c>
      <c r="BI6" s="55">
        <f>SUMIFS('Disbursements Summary'!$E:$E,'Disbursements Summary'!$C:$C,$C6,'Disbursements Summary'!$A:$A,"DOT")</f>
        <v>0</v>
      </c>
      <c r="BJ6" s="55">
        <f>SUMIFS('Awards Summary'!$H:$H,'Awards Summary'!$B:$B,$C6,'Awards Summary'!$J:$J,"DANC")</f>
        <v>0</v>
      </c>
      <c r="BK6" s="55">
        <f>SUMIFS('Disbursements Summary'!$E:$E,'Disbursements Summary'!$C:$C,$C6,'Disbursements Summary'!$A:$A,"DANC")</f>
        <v>0</v>
      </c>
      <c r="BL6" s="55">
        <f>SUMIFS('Awards Summary'!$H:$H,'Awards Summary'!$B:$B,$C6,'Awards Summary'!$J:$J,"DOB")</f>
        <v>0</v>
      </c>
      <c r="BM6" s="55">
        <f>SUMIFS('Disbursements Summary'!$E:$E,'Disbursements Summary'!$C:$C,$C6,'Disbursements Summary'!$A:$A,"DOB")</f>
        <v>0</v>
      </c>
      <c r="BN6" s="55">
        <f>SUMIFS('Awards Summary'!$H:$H,'Awards Summary'!$B:$B,$C6,'Awards Summary'!$J:$J,"DCJS")</f>
        <v>0</v>
      </c>
      <c r="BO6" s="55">
        <f>SUMIFS('Disbursements Summary'!$E:$E,'Disbursements Summary'!$C:$C,$C6,'Disbursements Summary'!$A:$A,"DCJS")</f>
        <v>0</v>
      </c>
      <c r="BP6" s="55">
        <f>SUMIFS('Awards Summary'!$H:$H,'Awards Summary'!$B:$B,$C6,'Awards Summary'!$J:$J,"DHSES")</f>
        <v>0</v>
      </c>
      <c r="BQ6" s="55">
        <f>SUMIFS('Disbursements Summary'!$E:$E,'Disbursements Summary'!$C:$C,$C6,'Disbursements Summary'!$A:$A,"DHSES")</f>
        <v>0</v>
      </c>
      <c r="BR6" s="55">
        <f>SUMIFS('Awards Summary'!$H:$H,'Awards Summary'!$B:$B,$C6,'Awards Summary'!$J:$J,"DHR")</f>
        <v>0</v>
      </c>
      <c r="BS6" s="55">
        <f>SUMIFS('Disbursements Summary'!$E:$E,'Disbursements Summary'!$C:$C,$C6,'Disbursements Summary'!$A:$A,"DHR")</f>
        <v>0</v>
      </c>
      <c r="BT6" s="55">
        <f>SUMIFS('Awards Summary'!$H:$H,'Awards Summary'!$B:$B,$C6,'Awards Summary'!$J:$J,"DMNA")</f>
        <v>0</v>
      </c>
      <c r="BU6" s="55">
        <f>SUMIFS('Disbursements Summary'!$E:$E,'Disbursements Summary'!$C:$C,$C6,'Disbursements Summary'!$A:$A,"DMNA")</f>
        <v>0</v>
      </c>
      <c r="BV6" s="55">
        <f>SUMIFS('Awards Summary'!$H:$H,'Awards Summary'!$B:$B,$C6,'Awards Summary'!$J:$J,"TROOPERS")</f>
        <v>0</v>
      </c>
      <c r="BW6" s="55">
        <f>SUMIFS('Disbursements Summary'!$E:$E,'Disbursements Summary'!$C:$C,$C6,'Disbursements Summary'!$A:$A,"TROOPERS")</f>
        <v>0</v>
      </c>
      <c r="BX6" s="55">
        <f>SUMIFS('Awards Summary'!$H:$H,'Awards Summary'!$B:$B,$C6,'Awards Summary'!$J:$J,"DVA")</f>
        <v>0</v>
      </c>
      <c r="BY6" s="55">
        <f>SUMIFS('Disbursements Summary'!$E:$E,'Disbursements Summary'!$C:$C,$C6,'Disbursements Summary'!$A:$A,"DVA")</f>
        <v>0</v>
      </c>
      <c r="BZ6" s="55">
        <f>SUMIFS('Awards Summary'!$H:$H,'Awards Summary'!$B:$B,$C6,'Awards Summary'!$J:$J,"DASNY")</f>
        <v>0</v>
      </c>
      <c r="CA6" s="55">
        <f>SUMIFS('Disbursements Summary'!$E:$E,'Disbursements Summary'!$C:$C,$C6,'Disbursements Summary'!$A:$A,"DASNY")</f>
        <v>0</v>
      </c>
      <c r="CB6" s="55">
        <f>SUMIFS('Awards Summary'!$H:$H,'Awards Summary'!$B:$B,$C6,'Awards Summary'!$J:$J,"EGG")</f>
        <v>0</v>
      </c>
      <c r="CC6" s="55">
        <f>SUMIFS('Disbursements Summary'!$E:$E,'Disbursements Summary'!$C:$C,$C6,'Disbursements Summary'!$A:$A,"EGG")</f>
        <v>0</v>
      </c>
      <c r="CD6" s="55">
        <f>SUMIFS('Awards Summary'!$H:$H,'Awards Summary'!$B:$B,$C6,'Awards Summary'!$J:$J,"ESD")</f>
        <v>0</v>
      </c>
      <c r="CE6" s="55">
        <f>SUMIFS('Disbursements Summary'!$E:$E,'Disbursements Summary'!$C:$C,$C6,'Disbursements Summary'!$A:$A,"ESD")</f>
        <v>0</v>
      </c>
      <c r="CF6" s="55">
        <f>SUMIFS('Awards Summary'!$H:$H,'Awards Summary'!$B:$B,$C6,'Awards Summary'!$J:$J,"EFC")</f>
        <v>0</v>
      </c>
      <c r="CG6" s="55">
        <f>SUMIFS('Disbursements Summary'!$E:$E,'Disbursements Summary'!$C:$C,$C6,'Disbursements Summary'!$A:$A,"EFC")</f>
        <v>0</v>
      </c>
      <c r="CH6" s="55">
        <f>SUMIFS('Awards Summary'!$H:$H,'Awards Summary'!$B:$B,$C6,'Awards Summary'!$J:$J,"ECFSA")</f>
        <v>0</v>
      </c>
      <c r="CI6" s="55">
        <f>SUMIFS('Disbursements Summary'!$E:$E,'Disbursements Summary'!$C:$C,$C6,'Disbursements Summary'!$A:$A,"ECFSA")</f>
        <v>0</v>
      </c>
      <c r="CJ6" s="55">
        <f>SUMIFS('Awards Summary'!$H:$H,'Awards Summary'!$B:$B,$C6,'Awards Summary'!$J:$J,"ECMC")</f>
        <v>0</v>
      </c>
      <c r="CK6" s="55">
        <f>SUMIFS('Disbursements Summary'!$E:$E,'Disbursements Summary'!$C:$C,$C6,'Disbursements Summary'!$A:$A,"ECMC")</f>
        <v>0</v>
      </c>
      <c r="CL6" s="55">
        <f>SUMIFS('Awards Summary'!$H:$H,'Awards Summary'!$B:$B,$C6,'Awards Summary'!$J:$J,"CHAMBER")</f>
        <v>0</v>
      </c>
      <c r="CM6" s="55">
        <f>SUMIFS('Disbursements Summary'!$E:$E,'Disbursements Summary'!$C:$C,$C6,'Disbursements Summary'!$A:$A,"CHAMBER")</f>
        <v>0</v>
      </c>
      <c r="CN6" s="55">
        <f>SUMIFS('Awards Summary'!$H:$H,'Awards Summary'!$B:$B,$C6,'Awards Summary'!$J:$J,"GAMING")</f>
        <v>0</v>
      </c>
      <c r="CO6" s="55">
        <f>SUMIFS('Disbursements Summary'!$E:$E,'Disbursements Summary'!$C:$C,$C6,'Disbursements Summary'!$A:$A,"GAMING")</f>
        <v>0</v>
      </c>
      <c r="CP6" s="55">
        <f>SUMIFS('Awards Summary'!$H:$H,'Awards Summary'!$B:$B,$C6,'Awards Summary'!$J:$J,"GOER")</f>
        <v>0</v>
      </c>
      <c r="CQ6" s="55">
        <f>SUMIFS('Disbursements Summary'!$E:$E,'Disbursements Summary'!$C:$C,$C6,'Disbursements Summary'!$A:$A,"GOER")</f>
        <v>0</v>
      </c>
      <c r="CR6" s="55">
        <f>SUMIFS('Awards Summary'!$H:$H,'Awards Summary'!$B:$B,$C6,'Awards Summary'!$J:$J,"HESC")</f>
        <v>0</v>
      </c>
      <c r="CS6" s="55">
        <f>SUMIFS('Disbursements Summary'!$E:$E,'Disbursements Summary'!$C:$C,$C6,'Disbursements Summary'!$A:$A,"HESC")</f>
        <v>0</v>
      </c>
      <c r="CT6" s="55">
        <f>SUMIFS('Awards Summary'!$H:$H,'Awards Summary'!$B:$B,$C6,'Awards Summary'!$J:$J,"GOSR")</f>
        <v>0</v>
      </c>
      <c r="CU6" s="55">
        <f>SUMIFS('Disbursements Summary'!$E:$E,'Disbursements Summary'!$C:$C,$C6,'Disbursements Summary'!$A:$A,"GOSR")</f>
        <v>0</v>
      </c>
      <c r="CV6" s="55">
        <f>SUMIFS('Awards Summary'!$H:$H,'Awards Summary'!$B:$B,$C6,'Awards Summary'!$J:$J,"HRPT")</f>
        <v>0</v>
      </c>
      <c r="CW6" s="55">
        <f>SUMIFS('Disbursements Summary'!$E:$E,'Disbursements Summary'!$C:$C,$C6,'Disbursements Summary'!$A:$A,"HRPT")</f>
        <v>0</v>
      </c>
      <c r="CX6" s="55">
        <f>SUMIFS('Awards Summary'!$H:$H,'Awards Summary'!$B:$B,$C6,'Awards Summary'!$J:$J,"HRBRRD")</f>
        <v>0</v>
      </c>
      <c r="CY6" s="55">
        <f>SUMIFS('Disbursements Summary'!$E:$E,'Disbursements Summary'!$C:$C,$C6,'Disbursements Summary'!$A:$A,"HRBRRD")</f>
        <v>0</v>
      </c>
      <c r="CZ6" s="55">
        <f>SUMIFS('Awards Summary'!$H:$H,'Awards Summary'!$B:$B,$C6,'Awards Summary'!$J:$J,"ITS")</f>
        <v>0</v>
      </c>
      <c r="DA6" s="55">
        <f>SUMIFS('Disbursements Summary'!$E:$E,'Disbursements Summary'!$C:$C,$C6,'Disbursements Summary'!$A:$A,"ITS")</f>
        <v>0</v>
      </c>
      <c r="DB6" s="55">
        <f>SUMIFS('Awards Summary'!$H:$H,'Awards Summary'!$B:$B,$C6,'Awards Summary'!$J:$J,"JAVITS")</f>
        <v>0</v>
      </c>
      <c r="DC6" s="55">
        <f>SUMIFS('Disbursements Summary'!$E:$E,'Disbursements Summary'!$C:$C,$C6,'Disbursements Summary'!$A:$A,"JAVITS")</f>
        <v>0</v>
      </c>
      <c r="DD6" s="55">
        <f>SUMIFS('Awards Summary'!$H:$H,'Awards Summary'!$B:$B,$C6,'Awards Summary'!$J:$J,"JCOPE")</f>
        <v>0</v>
      </c>
      <c r="DE6" s="55">
        <f>SUMIFS('Disbursements Summary'!$E:$E,'Disbursements Summary'!$C:$C,$C6,'Disbursements Summary'!$A:$A,"JCOPE")</f>
        <v>0</v>
      </c>
      <c r="DF6" s="55">
        <f>SUMIFS('Awards Summary'!$H:$H,'Awards Summary'!$B:$B,$C6,'Awards Summary'!$J:$J,"JUSTICE")</f>
        <v>0</v>
      </c>
      <c r="DG6" s="55">
        <f>SUMIFS('Disbursements Summary'!$E:$E,'Disbursements Summary'!$C:$C,$C6,'Disbursements Summary'!$A:$A,"JUSTICE")</f>
        <v>0</v>
      </c>
      <c r="DH6" s="55">
        <f>SUMIFS('Awards Summary'!$H:$H,'Awards Summary'!$B:$B,$C6,'Awards Summary'!$J:$J,"LCWSA")</f>
        <v>0</v>
      </c>
      <c r="DI6" s="55">
        <f>SUMIFS('Disbursements Summary'!$E:$E,'Disbursements Summary'!$C:$C,$C6,'Disbursements Summary'!$A:$A,"LCWSA")</f>
        <v>0</v>
      </c>
      <c r="DJ6" s="55">
        <f>SUMIFS('Awards Summary'!$H:$H,'Awards Summary'!$B:$B,$C6,'Awards Summary'!$J:$J,"LIPA")</f>
        <v>0</v>
      </c>
      <c r="DK6" s="55">
        <f>SUMIFS('Disbursements Summary'!$E:$E,'Disbursements Summary'!$C:$C,$C6,'Disbursements Summary'!$A:$A,"LIPA")</f>
        <v>0</v>
      </c>
      <c r="DL6" s="55">
        <f>SUMIFS('Awards Summary'!$H:$H,'Awards Summary'!$B:$B,$C6,'Awards Summary'!$J:$J,"MTA")</f>
        <v>0</v>
      </c>
      <c r="DM6" s="55">
        <f>SUMIFS('Disbursements Summary'!$E:$E,'Disbursements Summary'!$C:$C,$C6,'Disbursements Summary'!$A:$A,"MTA")</f>
        <v>0</v>
      </c>
      <c r="DN6" s="55">
        <f>SUMIFS('Awards Summary'!$H:$H,'Awards Summary'!$B:$B,$C6,'Awards Summary'!$J:$J,"NIFA")</f>
        <v>0</v>
      </c>
      <c r="DO6" s="55">
        <f>SUMIFS('Disbursements Summary'!$E:$E,'Disbursements Summary'!$C:$C,$C6,'Disbursements Summary'!$A:$A,"NIFA")</f>
        <v>0</v>
      </c>
      <c r="DP6" s="55">
        <f>SUMIFS('Awards Summary'!$H:$H,'Awards Summary'!$B:$B,$C6,'Awards Summary'!$J:$J,"NHCC")</f>
        <v>0</v>
      </c>
      <c r="DQ6" s="55">
        <f>SUMIFS('Disbursements Summary'!$E:$E,'Disbursements Summary'!$C:$C,$C6,'Disbursements Summary'!$A:$A,"NHCC")</f>
        <v>0</v>
      </c>
      <c r="DR6" s="55">
        <f>SUMIFS('Awards Summary'!$H:$H,'Awards Summary'!$B:$B,$C6,'Awards Summary'!$J:$J,"NHT")</f>
        <v>0</v>
      </c>
      <c r="DS6" s="55">
        <f>SUMIFS('Disbursements Summary'!$E:$E,'Disbursements Summary'!$C:$C,$C6,'Disbursements Summary'!$A:$A,"NHT")</f>
        <v>0</v>
      </c>
      <c r="DT6" s="55">
        <f>SUMIFS('Awards Summary'!$H:$H,'Awards Summary'!$B:$B,$C6,'Awards Summary'!$J:$J,"NYPA")</f>
        <v>0</v>
      </c>
      <c r="DU6" s="55">
        <f>SUMIFS('Disbursements Summary'!$E:$E,'Disbursements Summary'!$C:$C,$C6,'Disbursements Summary'!$A:$A,"NYPA")</f>
        <v>0</v>
      </c>
      <c r="DV6" s="55">
        <f>SUMIFS('Awards Summary'!$H:$H,'Awards Summary'!$B:$B,$C6,'Awards Summary'!$J:$J,"NYSBA")</f>
        <v>0</v>
      </c>
      <c r="DW6" s="55">
        <f>SUMIFS('Disbursements Summary'!$E:$E,'Disbursements Summary'!$C:$C,$C6,'Disbursements Summary'!$A:$A,"NYSBA")</f>
        <v>0</v>
      </c>
      <c r="DX6" s="55">
        <f>SUMIFS('Awards Summary'!$H:$H,'Awards Summary'!$B:$B,$C6,'Awards Summary'!$J:$J,"NYSERDA")</f>
        <v>0</v>
      </c>
      <c r="DY6" s="55">
        <f>SUMIFS('Disbursements Summary'!$E:$E,'Disbursements Summary'!$C:$C,$C6,'Disbursements Summary'!$A:$A,"NYSERDA")</f>
        <v>0</v>
      </c>
      <c r="DZ6" s="55">
        <f>SUMIFS('Awards Summary'!$H:$H,'Awards Summary'!$B:$B,$C6,'Awards Summary'!$J:$J,"DHCR")</f>
        <v>0</v>
      </c>
      <c r="EA6" s="55">
        <f>SUMIFS('Disbursements Summary'!$E:$E,'Disbursements Summary'!$C:$C,$C6,'Disbursements Summary'!$A:$A,"DHCR")</f>
        <v>0</v>
      </c>
      <c r="EB6" s="55">
        <f>SUMIFS('Awards Summary'!$H:$H,'Awards Summary'!$B:$B,$C6,'Awards Summary'!$J:$J,"HFA")</f>
        <v>0</v>
      </c>
      <c r="EC6" s="55">
        <f>SUMIFS('Disbursements Summary'!$E:$E,'Disbursements Summary'!$C:$C,$C6,'Disbursements Summary'!$A:$A,"HFA")</f>
        <v>0</v>
      </c>
      <c r="ED6" s="55">
        <f>SUMIFS('Awards Summary'!$H:$H,'Awards Summary'!$B:$B,$C6,'Awards Summary'!$J:$J,"NYSIF")</f>
        <v>0</v>
      </c>
      <c r="EE6" s="55">
        <f>SUMIFS('Disbursements Summary'!$E:$E,'Disbursements Summary'!$C:$C,$C6,'Disbursements Summary'!$A:$A,"NYSIF")</f>
        <v>0</v>
      </c>
      <c r="EF6" s="55">
        <f>SUMIFS('Awards Summary'!$H:$H,'Awards Summary'!$B:$B,$C6,'Awards Summary'!$J:$J,"NYBREDS")</f>
        <v>0</v>
      </c>
      <c r="EG6" s="55">
        <f>SUMIFS('Disbursements Summary'!$E:$E,'Disbursements Summary'!$C:$C,$C6,'Disbursements Summary'!$A:$A,"NYBREDS")</f>
        <v>0</v>
      </c>
      <c r="EH6" s="55">
        <f>SUMIFS('Awards Summary'!$H:$H,'Awards Summary'!$B:$B,$C6,'Awards Summary'!$J:$J,"NYSTA")</f>
        <v>0</v>
      </c>
      <c r="EI6" s="55">
        <f>SUMIFS('Disbursements Summary'!$E:$E,'Disbursements Summary'!$C:$C,$C6,'Disbursements Summary'!$A:$A,"NYSTA")</f>
        <v>0</v>
      </c>
      <c r="EJ6" s="55">
        <f>SUMIFS('Awards Summary'!$H:$H,'Awards Summary'!$B:$B,$C6,'Awards Summary'!$J:$J,"NFWB")</f>
        <v>0</v>
      </c>
      <c r="EK6" s="55">
        <f>SUMIFS('Disbursements Summary'!$E:$E,'Disbursements Summary'!$C:$C,$C6,'Disbursements Summary'!$A:$A,"NFWB")</f>
        <v>0</v>
      </c>
      <c r="EL6" s="55">
        <f>SUMIFS('Awards Summary'!$H:$H,'Awards Summary'!$B:$B,$C6,'Awards Summary'!$J:$J,"NFTA")</f>
        <v>0</v>
      </c>
      <c r="EM6" s="55">
        <f>SUMIFS('Disbursements Summary'!$E:$E,'Disbursements Summary'!$C:$C,$C6,'Disbursements Summary'!$A:$A,"NFTA")</f>
        <v>0</v>
      </c>
      <c r="EN6" s="55">
        <f>SUMIFS('Awards Summary'!$H:$H,'Awards Summary'!$B:$B,$C6,'Awards Summary'!$J:$J,"OPWDD")</f>
        <v>0</v>
      </c>
      <c r="EO6" s="55">
        <f>SUMIFS('Disbursements Summary'!$E:$E,'Disbursements Summary'!$C:$C,$C6,'Disbursements Summary'!$A:$A,"OPWDD")</f>
        <v>0</v>
      </c>
      <c r="EP6" s="55">
        <f>SUMIFS('Awards Summary'!$H:$H,'Awards Summary'!$B:$B,$C6,'Awards Summary'!$J:$J,"AGING")</f>
        <v>0</v>
      </c>
      <c r="EQ6" s="55">
        <f>SUMIFS('Disbursements Summary'!$E:$E,'Disbursements Summary'!$C:$C,$C6,'Disbursements Summary'!$A:$A,"AGING")</f>
        <v>0</v>
      </c>
      <c r="ER6" s="55">
        <f>SUMIFS('Awards Summary'!$H:$H,'Awards Summary'!$B:$B,$C6,'Awards Summary'!$J:$J,"OPDV")</f>
        <v>0</v>
      </c>
      <c r="ES6" s="55">
        <f>SUMIFS('Disbursements Summary'!$E:$E,'Disbursements Summary'!$C:$C,$C6,'Disbursements Summary'!$A:$A,"OPDV")</f>
        <v>0</v>
      </c>
      <c r="ET6" s="55">
        <f>SUMIFS('Awards Summary'!$H:$H,'Awards Summary'!$B:$B,$C6,'Awards Summary'!$J:$J,"OVS")</f>
        <v>0</v>
      </c>
      <c r="EU6" s="55">
        <f>SUMIFS('Disbursements Summary'!$E:$E,'Disbursements Summary'!$C:$C,$C6,'Disbursements Summary'!$A:$A,"OVS")</f>
        <v>0</v>
      </c>
      <c r="EV6" s="55">
        <f>SUMIFS('Awards Summary'!$H:$H,'Awards Summary'!$B:$B,$C6,'Awards Summary'!$J:$J,"OASAS")</f>
        <v>0</v>
      </c>
      <c r="EW6" s="55">
        <f>SUMIFS('Disbursements Summary'!$E:$E,'Disbursements Summary'!$C:$C,$C6,'Disbursements Summary'!$A:$A,"OASAS")</f>
        <v>0</v>
      </c>
      <c r="EX6" s="55">
        <f>SUMIFS('Awards Summary'!$H:$H,'Awards Summary'!$B:$B,$C6,'Awards Summary'!$J:$J,"OCFS")</f>
        <v>0</v>
      </c>
      <c r="EY6" s="55">
        <f>SUMIFS('Disbursements Summary'!$E:$E,'Disbursements Summary'!$C:$C,$C6,'Disbursements Summary'!$A:$A,"OCFS")</f>
        <v>0</v>
      </c>
      <c r="EZ6" s="55">
        <f>SUMIFS('Awards Summary'!$H:$H,'Awards Summary'!$B:$B,$C6,'Awards Summary'!$J:$J,"OGS")</f>
        <v>0</v>
      </c>
      <c r="FA6" s="55">
        <f>SUMIFS('Disbursements Summary'!$E:$E,'Disbursements Summary'!$C:$C,$C6,'Disbursements Summary'!$A:$A,"OGS")</f>
        <v>0</v>
      </c>
      <c r="FB6" s="55">
        <f>SUMIFS('Awards Summary'!$H:$H,'Awards Summary'!$B:$B,$C6,'Awards Summary'!$J:$J,"OMH")</f>
        <v>0</v>
      </c>
      <c r="FC6" s="55">
        <f>SUMIFS('Disbursements Summary'!$E:$E,'Disbursements Summary'!$C:$C,$C6,'Disbursements Summary'!$A:$A,"OMH")</f>
        <v>0</v>
      </c>
      <c r="FD6" s="55">
        <f>SUMIFS('Awards Summary'!$H:$H,'Awards Summary'!$B:$B,$C6,'Awards Summary'!$J:$J,"PARKS")</f>
        <v>0</v>
      </c>
      <c r="FE6" s="55">
        <f>SUMIFS('Disbursements Summary'!$E:$E,'Disbursements Summary'!$C:$C,$C6,'Disbursements Summary'!$A:$A,"PARKS")</f>
        <v>0</v>
      </c>
      <c r="FF6" s="55">
        <f>SUMIFS('Awards Summary'!$H:$H,'Awards Summary'!$B:$B,$C6,'Awards Summary'!$J:$J,"OTDA")</f>
        <v>0</v>
      </c>
      <c r="FG6" s="55">
        <f>SUMIFS('Disbursements Summary'!$E:$E,'Disbursements Summary'!$C:$C,$C6,'Disbursements Summary'!$A:$A,"OTDA")</f>
        <v>0</v>
      </c>
      <c r="FH6" s="55">
        <f>SUMIFS('Awards Summary'!$H:$H,'Awards Summary'!$B:$B,$C6,'Awards Summary'!$J:$J,"OIG")</f>
        <v>0</v>
      </c>
      <c r="FI6" s="55">
        <f>SUMIFS('Disbursements Summary'!$E:$E,'Disbursements Summary'!$C:$C,$C6,'Disbursements Summary'!$A:$A,"OIG")</f>
        <v>0</v>
      </c>
      <c r="FJ6" s="55">
        <f>SUMIFS('Awards Summary'!$H:$H,'Awards Summary'!$B:$B,$C6,'Awards Summary'!$J:$J,"OMIG")</f>
        <v>0</v>
      </c>
      <c r="FK6" s="55">
        <f>SUMIFS('Disbursements Summary'!$E:$E,'Disbursements Summary'!$C:$C,$C6,'Disbursements Summary'!$A:$A,"OMIG")</f>
        <v>0</v>
      </c>
      <c r="FL6" s="55">
        <f>SUMIFS('Awards Summary'!$H:$H,'Awards Summary'!$B:$B,$C6,'Awards Summary'!$J:$J,"OSC")</f>
        <v>0</v>
      </c>
      <c r="FM6" s="55">
        <f>SUMIFS('Disbursements Summary'!$E:$E,'Disbursements Summary'!$C:$C,$C6,'Disbursements Summary'!$A:$A,"OSC")</f>
        <v>0</v>
      </c>
      <c r="FN6" s="55">
        <f>SUMIFS('Awards Summary'!$H:$H,'Awards Summary'!$B:$B,$C6,'Awards Summary'!$J:$J,"OWIG")</f>
        <v>0</v>
      </c>
      <c r="FO6" s="55">
        <f>SUMIFS('Disbursements Summary'!$E:$E,'Disbursements Summary'!$C:$C,$C6,'Disbursements Summary'!$A:$A,"OWIG")</f>
        <v>0</v>
      </c>
      <c r="FP6" s="55">
        <f>SUMIFS('Awards Summary'!$H:$H,'Awards Summary'!$B:$B,$C6,'Awards Summary'!$J:$J,"OGDEN")</f>
        <v>0</v>
      </c>
      <c r="FQ6" s="55">
        <f>SUMIFS('Disbursements Summary'!$E:$E,'Disbursements Summary'!$C:$C,$C6,'Disbursements Summary'!$A:$A,"OGDEN")</f>
        <v>0</v>
      </c>
      <c r="FR6" s="55">
        <f>SUMIFS('Awards Summary'!$H:$H,'Awards Summary'!$B:$B,$C6,'Awards Summary'!$J:$J,"ORDA")</f>
        <v>0</v>
      </c>
      <c r="FS6" s="55">
        <f>SUMIFS('Disbursements Summary'!$E:$E,'Disbursements Summary'!$C:$C,$C6,'Disbursements Summary'!$A:$A,"ORDA")</f>
        <v>0</v>
      </c>
      <c r="FT6" s="55">
        <f>SUMIFS('Awards Summary'!$H:$H,'Awards Summary'!$B:$B,$C6,'Awards Summary'!$J:$J,"OSWEGO")</f>
        <v>0</v>
      </c>
      <c r="FU6" s="55">
        <f>SUMIFS('Disbursements Summary'!$E:$E,'Disbursements Summary'!$C:$C,$C6,'Disbursements Summary'!$A:$A,"OSWEGO")</f>
        <v>0</v>
      </c>
      <c r="FV6" s="55">
        <f>SUMIFS('Awards Summary'!$H:$H,'Awards Summary'!$B:$B,$C6,'Awards Summary'!$J:$J,"PERB")</f>
        <v>0</v>
      </c>
      <c r="FW6" s="55">
        <f>SUMIFS('Disbursements Summary'!$E:$E,'Disbursements Summary'!$C:$C,$C6,'Disbursements Summary'!$A:$A,"PERB")</f>
        <v>0</v>
      </c>
      <c r="FX6" s="55">
        <f>SUMIFS('Awards Summary'!$H:$H,'Awards Summary'!$B:$B,$C6,'Awards Summary'!$J:$J,"RGRTA")</f>
        <v>0</v>
      </c>
      <c r="FY6" s="55">
        <f>SUMIFS('Disbursements Summary'!$E:$E,'Disbursements Summary'!$C:$C,$C6,'Disbursements Summary'!$A:$A,"RGRTA")</f>
        <v>0</v>
      </c>
      <c r="FZ6" s="55">
        <f>SUMIFS('Awards Summary'!$H:$H,'Awards Summary'!$B:$B,$C6,'Awards Summary'!$J:$J,"RIOC")</f>
        <v>0</v>
      </c>
      <c r="GA6" s="55">
        <f>SUMIFS('Disbursements Summary'!$E:$E,'Disbursements Summary'!$C:$C,$C6,'Disbursements Summary'!$A:$A,"RIOC")</f>
        <v>0</v>
      </c>
      <c r="GB6" s="55">
        <f>SUMIFS('Awards Summary'!$H:$H,'Awards Summary'!$B:$B,$C6,'Awards Summary'!$J:$J,"RPCI")</f>
        <v>0</v>
      </c>
      <c r="GC6" s="55">
        <f>SUMIFS('Disbursements Summary'!$E:$E,'Disbursements Summary'!$C:$C,$C6,'Disbursements Summary'!$A:$A,"RPCI")</f>
        <v>0</v>
      </c>
      <c r="GD6" s="55">
        <f>SUMIFS('Awards Summary'!$H:$H,'Awards Summary'!$B:$B,$C6,'Awards Summary'!$J:$J,"SMDA")</f>
        <v>0</v>
      </c>
      <c r="GE6" s="55">
        <f>SUMIFS('Disbursements Summary'!$E:$E,'Disbursements Summary'!$C:$C,$C6,'Disbursements Summary'!$A:$A,"SMDA")</f>
        <v>0</v>
      </c>
      <c r="GF6" s="55">
        <f>SUMIFS('Awards Summary'!$H:$H,'Awards Summary'!$B:$B,$C6,'Awards Summary'!$J:$J,"SCOC")</f>
        <v>0</v>
      </c>
      <c r="GG6" s="55">
        <f>SUMIFS('Disbursements Summary'!$E:$E,'Disbursements Summary'!$C:$C,$C6,'Disbursements Summary'!$A:$A,"SCOC")</f>
        <v>0</v>
      </c>
      <c r="GH6" s="55">
        <f>SUMIFS('Awards Summary'!$H:$H,'Awards Summary'!$B:$B,$C6,'Awards Summary'!$J:$J,"SUCF")</f>
        <v>0</v>
      </c>
      <c r="GI6" s="55">
        <f>SUMIFS('Disbursements Summary'!$E:$E,'Disbursements Summary'!$C:$C,$C6,'Disbursements Summary'!$A:$A,"SUCF")</f>
        <v>0</v>
      </c>
      <c r="GJ6" s="55">
        <f>SUMIFS('Awards Summary'!$H:$H,'Awards Summary'!$B:$B,$C6,'Awards Summary'!$J:$J,"SUNY")</f>
        <v>0</v>
      </c>
      <c r="GK6" s="55">
        <f>SUMIFS('Disbursements Summary'!$E:$E,'Disbursements Summary'!$C:$C,$C6,'Disbursements Summary'!$A:$A,"SUNY")</f>
        <v>0</v>
      </c>
      <c r="GL6" s="55">
        <f>SUMIFS('Awards Summary'!$H:$H,'Awards Summary'!$B:$B,$C6,'Awards Summary'!$J:$J,"SRAA")</f>
        <v>0</v>
      </c>
      <c r="GM6" s="55">
        <f>SUMIFS('Disbursements Summary'!$E:$E,'Disbursements Summary'!$C:$C,$C6,'Disbursements Summary'!$A:$A,"SRAA")</f>
        <v>0</v>
      </c>
      <c r="GN6" s="55">
        <f>SUMIFS('Awards Summary'!$H:$H,'Awards Summary'!$B:$B,$C6,'Awards Summary'!$J:$J,"UNDC")</f>
        <v>0</v>
      </c>
      <c r="GO6" s="55">
        <f>SUMIFS('Disbursements Summary'!$E:$E,'Disbursements Summary'!$C:$C,$C6,'Disbursements Summary'!$A:$A,"UNDC")</f>
        <v>0</v>
      </c>
      <c r="GP6" s="55">
        <f>SUMIFS('Awards Summary'!$H:$H,'Awards Summary'!$B:$B,$C6,'Awards Summary'!$J:$J,"MVWA")</f>
        <v>0</v>
      </c>
      <c r="GQ6" s="55">
        <f>SUMIFS('Disbursements Summary'!$E:$E,'Disbursements Summary'!$C:$C,$C6,'Disbursements Summary'!$A:$A,"MVWA")</f>
        <v>0</v>
      </c>
      <c r="GR6" s="55">
        <f>SUMIFS('Awards Summary'!$H:$H,'Awards Summary'!$B:$B,$C6,'Awards Summary'!$J:$J,"WMC")</f>
        <v>0</v>
      </c>
      <c r="GS6" s="55">
        <f>SUMIFS('Disbursements Summary'!$E:$E,'Disbursements Summary'!$C:$C,$C6,'Disbursements Summary'!$A:$A,"WMC")</f>
        <v>0</v>
      </c>
      <c r="GT6" s="55">
        <f>SUMIFS('Awards Summary'!$H:$H,'Awards Summary'!$B:$B,$C6,'Awards Summary'!$J:$J,"WCB")</f>
        <v>0</v>
      </c>
      <c r="GU6" s="55">
        <f>SUMIFS('Disbursements Summary'!$E:$E,'Disbursements Summary'!$C:$C,$C6,'Disbursements Summary'!$A:$A,"WCB")</f>
        <v>0</v>
      </c>
      <c r="GV6" s="32">
        <f t="shared" si="1"/>
        <v>0</v>
      </c>
      <c r="GW6" s="32">
        <f t="shared" si="2"/>
        <v>0</v>
      </c>
      <c r="GX6" s="30" t="b">
        <f t="shared" si="3"/>
        <v>1</v>
      </c>
      <c r="GY6" s="30" t="b">
        <f t="shared" si="4"/>
        <v>1</v>
      </c>
    </row>
    <row r="7" spans="1:207" s="30" customFormat="1">
      <c r="A7" s="22" t="str">
        <f t="shared" si="0"/>
        <v/>
      </c>
      <c r="B7" s="40" t="s">
        <v>76</v>
      </c>
      <c r="C7" s="16">
        <v>141012</v>
      </c>
      <c r="D7" s="26">
        <f>COUNTIF('Awards Summary'!B:B,"141012")</f>
        <v>0</v>
      </c>
      <c r="E7" s="45">
        <f>SUMIFS('Awards Summary'!H:H,'Awards Summary'!B:B,"141012")</f>
        <v>0</v>
      </c>
      <c r="F7" s="46">
        <f>SUMIFS('Disbursements Summary'!E:E,'Disbursements Summary'!C:C, "141012")</f>
        <v>0</v>
      </c>
      <c r="H7" s="55">
        <f>SUMIFS('Awards Summary'!$H:$H,'Awards Summary'!$B:$B,$C7,'Awards Summary'!$J:$J,"APA")</f>
        <v>0</v>
      </c>
      <c r="I7" s="55">
        <f>SUMIFS('Disbursements Summary'!$E:$E,'Disbursements Summary'!$C:$C,$C7,'Disbursements Summary'!$A:$A,"APA")</f>
        <v>0</v>
      </c>
      <c r="J7" s="55">
        <f>SUMIFS('Awards Summary'!$H:$H,'Awards Summary'!$B:$B,$C7,'Awards Summary'!$J:$J,"Ag&amp;Horse")</f>
        <v>0</v>
      </c>
      <c r="K7" s="55">
        <f>SUMIFS('Disbursements Summary'!$E:$E,'Disbursements Summary'!$C:$C,$C7,'Disbursements Summary'!$A:$A,"Ag&amp;Horse")</f>
        <v>0</v>
      </c>
      <c r="L7" s="55">
        <f>SUMIFS('Awards Summary'!$H:$H,'Awards Summary'!$B:$B,$C7,'Awards Summary'!$J:$J,"ACAA")</f>
        <v>0</v>
      </c>
      <c r="M7" s="55">
        <f>SUMIFS('Disbursements Summary'!$E:$E,'Disbursements Summary'!$C:$C,$C7,'Disbursements Summary'!$A:$A,"ACAA")</f>
        <v>0</v>
      </c>
      <c r="N7" s="55">
        <f>SUMIFS('Awards Summary'!$H:$H,'Awards Summary'!$B:$B,$C7,'Awards Summary'!$J:$J,"PortAlbany")</f>
        <v>0</v>
      </c>
      <c r="O7" s="55">
        <f>SUMIFS('Disbursements Summary'!$E:$E,'Disbursements Summary'!$C:$C,$C7,'Disbursements Summary'!$A:$A,"PortAlbany")</f>
        <v>0</v>
      </c>
      <c r="P7" s="55">
        <f>SUMIFS('Awards Summary'!$H:$H,'Awards Summary'!$B:$B,$C7,'Awards Summary'!$J:$J,"SLA")</f>
        <v>0</v>
      </c>
      <c r="Q7" s="55">
        <f>SUMIFS('Disbursements Summary'!$E:$E,'Disbursements Summary'!$C:$C,$C7,'Disbursements Summary'!$A:$A,"SLA")</f>
        <v>0</v>
      </c>
      <c r="R7" s="55">
        <f>SUMIFS('Awards Summary'!$H:$H,'Awards Summary'!$B:$B,$C7,'Awards Summary'!$J:$J,"BPCA")</f>
        <v>0</v>
      </c>
      <c r="S7" s="55">
        <f>SUMIFS('Disbursements Summary'!$E:$E,'Disbursements Summary'!$C:$C,$C7,'Disbursements Summary'!$A:$A,"BPCA")</f>
        <v>0</v>
      </c>
      <c r="T7" s="55">
        <f>SUMIFS('Awards Summary'!$H:$H,'Awards Summary'!$B:$B,$C7,'Awards Summary'!$J:$J,"ELECTIONS")</f>
        <v>0</v>
      </c>
      <c r="U7" s="55">
        <f>SUMIFS('Disbursements Summary'!$E:$E,'Disbursements Summary'!$C:$C,$C7,'Disbursements Summary'!$A:$A,"ELECTIONS")</f>
        <v>0</v>
      </c>
      <c r="V7" s="55">
        <f>SUMIFS('Awards Summary'!$H:$H,'Awards Summary'!$B:$B,$C7,'Awards Summary'!$J:$J,"BFSA")</f>
        <v>0</v>
      </c>
      <c r="W7" s="55">
        <f>SUMIFS('Disbursements Summary'!$E:$E,'Disbursements Summary'!$C:$C,$C7,'Disbursements Summary'!$A:$A,"BFSA")</f>
        <v>0</v>
      </c>
      <c r="X7" s="55">
        <f>SUMIFS('Awards Summary'!$H:$H,'Awards Summary'!$B:$B,$C7,'Awards Summary'!$J:$J,"CDTA")</f>
        <v>0</v>
      </c>
      <c r="Y7" s="55">
        <f>SUMIFS('Disbursements Summary'!$E:$E,'Disbursements Summary'!$C:$C,$C7,'Disbursements Summary'!$A:$A,"CDTA")</f>
        <v>0</v>
      </c>
      <c r="Z7" s="55">
        <f>SUMIFS('Awards Summary'!$H:$H,'Awards Summary'!$B:$B,$C7,'Awards Summary'!$J:$J,"CCWSA")</f>
        <v>0</v>
      </c>
      <c r="AA7" s="55">
        <f>SUMIFS('Disbursements Summary'!$E:$E,'Disbursements Summary'!$C:$C,$C7,'Disbursements Summary'!$A:$A,"CCWSA")</f>
        <v>0</v>
      </c>
      <c r="AB7" s="55">
        <f>SUMIFS('Awards Summary'!$H:$H,'Awards Summary'!$B:$B,$C7,'Awards Summary'!$J:$J,"CNYRTA")</f>
        <v>0</v>
      </c>
      <c r="AC7" s="55">
        <f>SUMIFS('Disbursements Summary'!$E:$E,'Disbursements Summary'!$C:$C,$C7,'Disbursements Summary'!$A:$A,"CNYRTA")</f>
        <v>0</v>
      </c>
      <c r="AD7" s="55">
        <f>SUMIFS('Awards Summary'!$H:$H,'Awards Summary'!$B:$B,$C7,'Awards Summary'!$J:$J,"CUCF")</f>
        <v>0</v>
      </c>
      <c r="AE7" s="55">
        <f>SUMIFS('Disbursements Summary'!$E:$E,'Disbursements Summary'!$C:$C,$C7,'Disbursements Summary'!$A:$A,"CUCF")</f>
        <v>0</v>
      </c>
      <c r="AF7" s="55">
        <f>SUMIFS('Awards Summary'!$H:$H,'Awards Summary'!$B:$B,$C7,'Awards Summary'!$J:$J,"CUNY")</f>
        <v>0</v>
      </c>
      <c r="AG7" s="55">
        <f>SUMIFS('Disbursements Summary'!$E:$E,'Disbursements Summary'!$C:$C,$C7,'Disbursements Summary'!$A:$A,"CUNY")</f>
        <v>0</v>
      </c>
      <c r="AH7" s="55">
        <f>SUMIFS('Awards Summary'!$H:$H,'Awards Summary'!$B:$B,$C7,'Awards Summary'!$J:$J,"ARTS")</f>
        <v>0</v>
      </c>
      <c r="AI7" s="55">
        <f>SUMIFS('Disbursements Summary'!$E:$E,'Disbursements Summary'!$C:$C,$C7,'Disbursements Summary'!$A:$A,"ARTS")</f>
        <v>0</v>
      </c>
      <c r="AJ7" s="55">
        <f>SUMIFS('Awards Summary'!$H:$H,'Awards Summary'!$B:$B,$C7,'Awards Summary'!$J:$J,"AG&amp;MKTS")</f>
        <v>0</v>
      </c>
      <c r="AK7" s="55">
        <f>SUMIFS('Disbursements Summary'!$E:$E,'Disbursements Summary'!$C:$C,$C7,'Disbursements Summary'!$A:$A,"AG&amp;MKTS")</f>
        <v>0</v>
      </c>
      <c r="AL7" s="55">
        <f>SUMIFS('Awards Summary'!$H:$H,'Awards Summary'!$B:$B,$C7,'Awards Summary'!$J:$J,"CS")</f>
        <v>0</v>
      </c>
      <c r="AM7" s="55">
        <f>SUMIFS('Disbursements Summary'!$E:$E,'Disbursements Summary'!$C:$C,$C7,'Disbursements Summary'!$A:$A,"CS")</f>
        <v>0</v>
      </c>
      <c r="AN7" s="55">
        <f>SUMIFS('Awards Summary'!$H:$H,'Awards Summary'!$B:$B,$C7,'Awards Summary'!$J:$J,"DOCCS")</f>
        <v>0</v>
      </c>
      <c r="AO7" s="55">
        <f>SUMIFS('Disbursements Summary'!$E:$E,'Disbursements Summary'!$C:$C,$C7,'Disbursements Summary'!$A:$A,"DOCCS")</f>
        <v>0</v>
      </c>
      <c r="AP7" s="55">
        <f>SUMIFS('Awards Summary'!$H:$H,'Awards Summary'!$B:$B,$C7,'Awards Summary'!$J:$J,"DED")</f>
        <v>0</v>
      </c>
      <c r="AQ7" s="55">
        <f>SUMIFS('Disbursements Summary'!$E:$E,'Disbursements Summary'!$C:$C,$C7,'Disbursements Summary'!$A:$A,"DED")</f>
        <v>0</v>
      </c>
      <c r="AR7" s="55">
        <f>SUMIFS('Awards Summary'!$H:$H,'Awards Summary'!$B:$B,$C7,'Awards Summary'!$J:$J,"DEC")</f>
        <v>0</v>
      </c>
      <c r="AS7" s="55">
        <f>SUMIFS('Disbursements Summary'!$E:$E,'Disbursements Summary'!$C:$C,$C7,'Disbursements Summary'!$A:$A,"DEC")</f>
        <v>0</v>
      </c>
      <c r="AT7" s="55">
        <f>SUMIFS('Awards Summary'!$H:$H,'Awards Summary'!$B:$B,$C7,'Awards Summary'!$J:$J,"DFS")</f>
        <v>0</v>
      </c>
      <c r="AU7" s="55">
        <f>SUMIFS('Disbursements Summary'!$E:$E,'Disbursements Summary'!$C:$C,$C7,'Disbursements Summary'!$A:$A,"DFS")</f>
        <v>0</v>
      </c>
      <c r="AV7" s="55">
        <f>SUMIFS('Awards Summary'!$H:$H,'Awards Summary'!$B:$B,$C7,'Awards Summary'!$J:$J,"DOH")</f>
        <v>0</v>
      </c>
      <c r="AW7" s="55">
        <f>SUMIFS('Disbursements Summary'!$E:$E,'Disbursements Summary'!$C:$C,$C7,'Disbursements Summary'!$A:$A,"DOH")</f>
        <v>0</v>
      </c>
      <c r="AX7" s="55">
        <f>SUMIFS('Awards Summary'!$H:$H,'Awards Summary'!$B:$B,$C7,'Awards Summary'!$J:$J,"DOL")</f>
        <v>0</v>
      </c>
      <c r="AY7" s="55">
        <f>SUMIFS('Disbursements Summary'!$E:$E,'Disbursements Summary'!$C:$C,$C7,'Disbursements Summary'!$A:$A,"DOL")</f>
        <v>0</v>
      </c>
      <c r="AZ7" s="55">
        <f>SUMIFS('Awards Summary'!$H:$H,'Awards Summary'!$B:$B,$C7,'Awards Summary'!$J:$J,"DMV")</f>
        <v>0</v>
      </c>
      <c r="BA7" s="55">
        <f>SUMIFS('Disbursements Summary'!$E:$E,'Disbursements Summary'!$C:$C,$C7,'Disbursements Summary'!$A:$A,"DMV")</f>
        <v>0</v>
      </c>
      <c r="BB7" s="55">
        <f>SUMIFS('Awards Summary'!$H:$H,'Awards Summary'!$B:$B,$C7,'Awards Summary'!$J:$J,"DPS")</f>
        <v>0</v>
      </c>
      <c r="BC7" s="55">
        <f>SUMIFS('Disbursements Summary'!$E:$E,'Disbursements Summary'!$C:$C,$C7,'Disbursements Summary'!$A:$A,"DPS")</f>
        <v>0</v>
      </c>
      <c r="BD7" s="55">
        <f>SUMIFS('Awards Summary'!$H:$H,'Awards Summary'!$B:$B,$C7,'Awards Summary'!$J:$J,"DOS")</f>
        <v>0</v>
      </c>
      <c r="BE7" s="55">
        <f>SUMIFS('Disbursements Summary'!$E:$E,'Disbursements Summary'!$C:$C,$C7,'Disbursements Summary'!$A:$A,"DOS")</f>
        <v>0</v>
      </c>
      <c r="BF7" s="55">
        <f>SUMIFS('Awards Summary'!$H:$H,'Awards Summary'!$B:$B,$C7,'Awards Summary'!$J:$J,"TAX")</f>
        <v>0</v>
      </c>
      <c r="BG7" s="55">
        <f>SUMIFS('Disbursements Summary'!$E:$E,'Disbursements Summary'!$C:$C,$C7,'Disbursements Summary'!$A:$A,"TAX")</f>
        <v>0</v>
      </c>
      <c r="BH7" s="55">
        <f>SUMIFS('Awards Summary'!$H:$H,'Awards Summary'!$B:$B,$C7,'Awards Summary'!$J:$J,"DOT")</f>
        <v>0</v>
      </c>
      <c r="BI7" s="55">
        <f>SUMIFS('Disbursements Summary'!$E:$E,'Disbursements Summary'!$C:$C,$C7,'Disbursements Summary'!$A:$A,"DOT")</f>
        <v>0</v>
      </c>
      <c r="BJ7" s="55">
        <f>SUMIFS('Awards Summary'!$H:$H,'Awards Summary'!$B:$B,$C7,'Awards Summary'!$J:$J,"DANC")</f>
        <v>0</v>
      </c>
      <c r="BK7" s="55">
        <f>SUMIFS('Disbursements Summary'!$E:$E,'Disbursements Summary'!$C:$C,$C7,'Disbursements Summary'!$A:$A,"DANC")</f>
        <v>0</v>
      </c>
      <c r="BL7" s="55">
        <f>SUMIFS('Awards Summary'!$H:$H,'Awards Summary'!$B:$B,$C7,'Awards Summary'!$J:$J,"DOB")</f>
        <v>0</v>
      </c>
      <c r="BM7" s="55">
        <f>SUMIFS('Disbursements Summary'!$E:$E,'Disbursements Summary'!$C:$C,$C7,'Disbursements Summary'!$A:$A,"DOB")</f>
        <v>0</v>
      </c>
      <c r="BN7" s="55">
        <f>SUMIFS('Awards Summary'!$H:$H,'Awards Summary'!$B:$B,$C7,'Awards Summary'!$J:$J,"DCJS")</f>
        <v>0</v>
      </c>
      <c r="BO7" s="55">
        <f>SUMIFS('Disbursements Summary'!$E:$E,'Disbursements Summary'!$C:$C,$C7,'Disbursements Summary'!$A:$A,"DCJS")</f>
        <v>0</v>
      </c>
      <c r="BP7" s="55">
        <f>SUMIFS('Awards Summary'!$H:$H,'Awards Summary'!$B:$B,$C7,'Awards Summary'!$J:$J,"DHSES")</f>
        <v>0</v>
      </c>
      <c r="BQ7" s="55">
        <f>SUMIFS('Disbursements Summary'!$E:$E,'Disbursements Summary'!$C:$C,$C7,'Disbursements Summary'!$A:$A,"DHSES")</f>
        <v>0</v>
      </c>
      <c r="BR7" s="55">
        <f>SUMIFS('Awards Summary'!$H:$H,'Awards Summary'!$B:$B,$C7,'Awards Summary'!$J:$J,"DHR")</f>
        <v>0</v>
      </c>
      <c r="BS7" s="55">
        <f>SUMIFS('Disbursements Summary'!$E:$E,'Disbursements Summary'!$C:$C,$C7,'Disbursements Summary'!$A:$A,"DHR")</f>
        <v>0</v>
      </c>
      <c r="BT7" s="55">
        <f>SUMIFS('Awards Summary'!$H:$H,'Awards Summary'!$B:$B,$C7,'Awards Summary'!$J:$J,"DMNA")</f>
        <v>0</v>
      </c>
      <c r="BU7" s="55">
        <f>SUMIFS('Disbursements Summary'!$E:$E,'Disbursements Summary'!$C:$C,$C7,'Disbursements Summary'!$A:$A,"DMNA")</f>
        <v>0</v>
      </c>
      <c r="BV7" s="55">
        <f>SUMIFS('Awards Summary'!$H:$H,'Awards Summary'!$B:$B,$C7,'Awards Summary'!$J:$J,"TROOPERS")</f>
        <v>0</v>
      </c>
      <c r="BW7" s="55">
        <f>SUMIFS('Disbursements Summary'!$E:$E,'Disbursements Summary'!$C:$C,$C7,'Disbursements Summary'!$A:$A,"TROOPERS")</f>
        <v>0</v>
      </c>
      <c r="BX7" s="55">
        <f>SUMIFS('Awards Summary'!$H:$H,'Awards Summary'!$B:$B,$C7,'Awards Summary'!$J:$J,"DVA")</f>
        <v>0</v>
      </c>
      <c r="BY7" s="55">
        <f>SUMIFS('Disbursements Summary'!$E:$E,'Disbursements Summary'!$C:$C,$C7,'Disbursements Summary'!$A:$A,"DVA")</f>
        <v>0</v>
      </c>
      <c r="BZ7" s="55">
        <f>SUMIFS('Awards Summary'!$H:$H,'Awards Summary'!$B:$B,$C7,'Awards Summary'!$J:$J,"DASNY")</f>
        <v>0</v>
      </c>
      <c r="CA7" s="55">
        <f>SUMIFS('Disbursements Summary'!$E:$E,'Disbursements Summary'!$C:$C,$C7,'Disbursements Summary'!$A:$A,"DASNY")</f>
        <v>0</v>
      </c>
      <c r="CB7" s="55">
        <f>SUMIFS('Awards Summary'!$H:$H,'Awards Summary'!$B:$B,$C7,'Awards Summary'!$J:$J,"EGG")</f>
        <v>0</v>
      </c>
      <c r="CC7" s="55">
        <f>SUMIFS('Disbursements Summary'!$E:$E,'Disbursements Summary'!$C:$C,$C7,'Disbursements Summary'!$A:$A,"EGG")</f>
        <v>0</v>
      </c>
      <c r="CD7" s="55">
        <f>SUMIFS('Awards Summary'!$H:$H,'Awards Summary'!$B:$B,$C7,'Awards Summary'!$J:$J,"ESD")</f>
        <v>0</v>
      </c>
      <c r="CE7" s="55">
        <f>SUMIFS('Disbursements Summary'!$E:$E,'Disbursements Summary'!$C:$C,$C7,'Disbursements Summary'!$A:$A,"ESD")</f>
        <v>0</v>
      </c>
      <c r="CF7" s="55">
        <f>SUMIFS('Awards Summary'!$H:$H,'Awards Summary'!$B:$B,$C7,'Awards Summary'!$J:$J,"EFC")</f>
        <v>0</v>
      </c>
      <c r="CG7" s="55">
        <f>SUMIFS('Disbursements Summary'!$E:$E,'Disbursements Summary'!$C:$C,$C7,'Disbursements Summary'!$A:$A,"EFC")</f>
        <v>0</v>
      </c>
      <c r="CH7" s="55">
        <f>SUMIFS('Awards Summary'!$H:$H,'Awards Summary'!$B:$B,$C7,'Awards Summary'!$J:$J,"ECFSA")</f>
        <v>0</v>
      </c>
      <c r="CI7" s="55">
        <f>SUMIFS('Disbursements Summary'!$E:$E,'Disbursements Summary'!$C:$C,$C7,'Disbursements Summary'!$A:$A,"ECFSA")</f>
        <v>0</v>
      </c>
      <c r="CJ7" s="55">
        <f>SUMIFS('Awards Summary'!$H:$H,'Awards Summary'!$B:$B,$C7,'Awards Summary'!$J:$J,"ECMC")</f>
        <v>0</v>
      </c>
      <c r="CK7" s="55">
        <f>SUMIFS('Disbursements Summary'!$E:$E,'Disbursements Summary'!$C:$C,$C7,'Disbursements Summary'!$A:$A,"ECMC")</f>
        <v>0</v>
      </c>
      <c r="CL7" s="55">
        <f>SUMIFS('Awards Summary'!$H:$H,'Awards Summary'!$B:$B,$C7,'Awards Summary'!$J:$J,"CHAMBER")</f>
        <v>0</v>
      </c>
      <c r="CM7" s="55">
        <f>SUMIFS('Disbursements Summary'!$E:$E,'Disbursements Summary'!$C:$C,$C7,'Disbursements Summary'!$A:$A,"CHAMBER")</f>
        <v>0</v>
      </c>
      <c r="CN7" s="55">
        <f>SUMIFS('Awards Summary'!$H:$H,'Awards Summary'!$B:$B,$C7,'Awards Summary'!$J:$J,"GAMING")</f>
        <v>0</v>
      </c>
      <c r="CO7" s="55">
        <f>SUMIFS('Disbursements Summary'!$E:$E,'Disbursements Summary'!$C:$C,$C7,'Disbursements Summary'!$A:$A,"GAMING")</f>
        <v>0</v>
      </c>
      <c r="CP7" s="55">
        <f>SUMIFS('Awards Summary'!$H:$H,'Awards Summary'!$B:$B,$C7,'Awards Summary'!$J:$J,"GOER")</f>
        <v>0</v>
      </c>
      <c r="CQ7" s="55">
        <f>SUMIFS('Disbursements Summary'!$E:$E,'Disbursements Summary'!$C:$C,$C7,'Disbursements Summary'!$A:$A,"GOER")</f>
        <v>0</v>
      </c>
      <c r="CR7" s="55">
        <f>SUMIFS('Awards Summary'!$H:$H,'Awards Summary'!$B:$B,$C7,'Awards Summary'!$J:$J,"HESC")</f>
        <v>0</v>
      </c>
      <c r="CS7" s="55">
        <f>SUMIFS('Disbursements Summary'!$E:$E,'Disbursements Summary'!$C:$C,$C7,'Disbursements Summary'!$A:$A,"HESC")</f>
        <v>0</v>
      </c>
      <c r="CT7" s="55">
        <f>SUMIFS('Awards Summary'!$H:$H,'Awards Summary'!$B:$B,$C7,'Awards Summary'!$J:$J,"GOSR")</f>
        <v>0</v>
      </c>
      <c r="CU7" s="55">
        <f>SUMIFS('Disbursements Summary'!$E:$E,'Disbursements Summary'!$C:$C,$C7,'Disbursements Summary'!$A:$A,"GOSR")</f>
        <v>0</v>
      </c>
      <c r="CV7" s="55">
        <f>SUMIFS('Awards Summary'!$H:$H,'Awards Summary'!$B:$B,$C7,'Awards Summary'!$J:$J,"HRPT")</f>
        <v>0</v>
      </c>
      <c r="CW7" s="55">
        <f>SUMIFS('Disbursements Summary'!$E:$E,'Disbursements Summary'!$C:$C,$C7,'Disbursements Summary'!$A:$A,"HRPT")</f>
        <v>0</v>
      </c>
      <c r="CX7" s="55">
        <f>SUMIFS('Awards Summary'!$H:$H,'Awards Summary'!$B:$B,$C7,'Awards Summary'!$J:$J,"HRBRRD")</f>
        <v>0</v>
      </c>
      <c r="CY7" s="55">
        <f>SUMIFS('Disbursements Summary'!$E:$E,'Disbursements Summary'!$C:$C,$C7,'Disbursements Summary'!$A:$A,"HRBRRD")</f>
        <v>0</v>
      </c>
      <c r="CZ7" s="55">
        <f>SUMIFS('Awards Summary'!$H:$H,'Awards Summary'!$B:$B,$C7,'Awards Summary'!$J:$J,"ITS")</f>
        <v>0</v>
      </c>
      <c r="DA7" s="55">
        <f>SUMIFS('Disbursements Summary'!$E:$E,'Disbursements Summary'!$C:$C,$C7,'Disbursements Summary'!$A:$A,"ITS")</f>
        <v>0</v>
      </c>
      <c r="DB7" s="55">
        <f>SUMIFS('Awards Summary'!$H:$H,'Awards Summary'!$B:$B,$C7,'Awards Summary'!$J:$J,"JAVITS")</f>
        <v>0</v>
      </c>
      <c r="DC7" s="55">
        <f>SUMIFS('Disbursements Summary'!$E:$E,'Disbursements Summary'!$C:$C,$C7,'Disbursements Summary'!$A:$A,"JAVITS")</f>
        <v>0</v>
      </c>
      <c r="DD7" s="55">
        <f>SUMIFS('Awards Summary'!$H:$H,'Awards Summary'!$B:$B,$C7,'Awards Summary'!$J:$J,"JCOPE")</f>
        <v>0</v>
      </c>
      <c r="DE7" s="55">
        <f>SUMIFS('Disbursements Summary'!$E:$E,'Disbursements Summary'!$C:$C,$C7,'Disbursements Summary'!$A:$A,"JCOPE")</f>
        <v>0</v>
      </c>
      <c r="DF7" s="55">
        <f>SUMIFS('Awards Summary'!$H:$H,'Awards Summary'!$B:$B,$C7,'Awards Summary'!$J:$J,"JUSTICE")</f>
        <v>0</v>
      </c>
      <c r="DG7" s="55">
        <f>SUMIFS('Disbursements Summary'!$E:$E,'Disbursements Summary'!$C:$C,$C7,'Disbursements Summary'!$A:$A,"JUSTICE")</f>
        <v>0</v>
      </c>
      <c r="DH7" s="55">
        <f>SUMIFS('Awards Summary'!$H:$H,'Awards Summary'!$B:$B,$C7,'Awards Summary'!$J:$J,"LCWSA")</f>
        <v>0</v>
      </c>
      <c r="DI7" s="55">
        <f>SUMIFS('Disbursements Summary'!$E:$E,'Disbursements Summary'!$C:$C,$C7,'Disbursements Summary'!$A:$A,"LCWSA")</f>
        <v>0</v>
      </c>
      <c r="DJ7" s="55">
        <f>SUMIFS('Awards Summary'!$H:$H,'Awards Summary'!$B:$B,$C7,'Awards Summary'!$J:$J,"LIPA")</f>
        <v>0</v>
      </c>
      <c r="DK7" s="55">
        <f>SUMIFS('Disbursements Summary'!$E:$E,'Disbursements Summary'!$C:$C,$C7,'Disbursements Summary'!$A:$A,"LIPA")</f>
        <v>0</v>
      </c>
      <c r="DL7" s="55">
        <f>SUMIFS('Awards Summary'!$H:$H,'Awards Summary'!$B:$B,$C7,'Awards Summary'!$J:$J,"MTA")</f>
        <v>0</v>
      </c>
      <c r="DM7" s="55">
        <f>SUMIFS('Disbursements Summary'!$E:$E,'Disbursements Summary'!$C:$C,$C7,'Disbursements Summary'!$A:$A,"MTA")</f>
        <v>0</v>
      </c>
      <c r="DN7" s="55">
        <f>SUMIFS('Awards Summary'!$H:$H,'Awards Summary'!$B:$B,$C7,'Awards Summary'!$J:$J,"NIFA")</f>
        <v>0</v>
      </c>
      <c r="DO7" s="55">
        <f>SUMIFS('Disbursements Summary'!$E:$E,'Disbursements Summary'!$C:$C,$C7,'Disbursements Summary'!$A:$A,"NIFA")</f>
        <v>0</v>
      </c>
      <c r="DP7" s="55">
        <f>SUMIFS('Awards Summary'!$H:$H,'Awards Summary'!$B:$B,$C7,'Awards Summary'!$J:$J,"NHCC")</f>
        <v>0</v>
      </c>
      <c r="DQ7" s="55">
        <f>SUMIFS('Disbursements Summary'!$E:$E,'Disbursements Summary'!$C:$C,$C7,'Disbursements Summary'!$A:$A,"NHCC")</f>
        <v>0</v>
      </c>
      <c r="DR7" s="55">
        <f>SUMIFS('Awards Summary'!$H:$H,'Awards Summary'!$B:$B,$C7,'Awards Summary'!$J:$J,"NHT")</f>
        <v>0</v>
      </c>
      <c r="DS7" s="55">
        <f>SUMIFS('Disbursements Summary'!$E:$E,'Disbursements Summary'!$C:$C,$C7,'Disbursements Summary'!$A:$A,"NHT")</f>
        <v>0</v>
      </c>
      <c r="DT7" s="55">
        <f>SUMIFS('Awards Summary'!$H:$H,'Awards Summary'!$B:$B,$C7,'Awards Summary'!$J:$J,"NYPA")</f>
        <v>0</v>
      </c>
      <c r="DU7" s="55">
        <f>SUMIFS('Disbursements Summary'!$E:$E,'Disbursements Summary'!$C:$C,$C7,'Disbursements Summary'!$A:$A,"NYPA")</f>
        <v>0</v>
      </c>
      <c r="DV7" s="55">
        <f>SUMIFS('Awards Summary'!$H:$H,'Awards Summary'!$B:$B,$C7,'Awards Summary'!$J:$J,"NYSBA")</f>
        <v>0</v>
      </c>
      <c r="DW7" s="55">
        <f>SUMIFS('Disbursements Summary'!$E:$E,'Disbursements Summary'!$C:$C,$C7,'Disbursements Summary'!$A:$A,"NYSBA")</f>
        <v>0</v>
      </c>
      <c r="DX7" s="55">
        <f>SUMIFS('Awards Summary'!$H:$H,'Awards Summary'!$B:$B,$C7,'Awards Summary'!$J:$J,"NYSERDA")</f>
        <v>0</v>
      </c>
      <c r="DY7" s="55">
        <f>SUMIFS('Disbursements Summary'!$E:$E,'Disbursements Summary'!$C:$C,$C7,'Disbursements Summary'!$A:$A,"NYSERDA")</f>
        <v>0</v>
      </c>
      <c r="DZ7" s="55">
        <f>SUMIFS('Awards Summary'!$H:$H,'Awards Summary'!$B:$B,$C7,'Awards Summary'!$J:$J,"DHCR")</f>
        <v>0</v>
      </c>
      <c r="EA7" s="55">
        <f>SUMIFS('Disbursements Summary'!$E:$E,'Disbursements Summary'!$C:$C,$C7,'Disbursements Summary'!$A:$A,"DHCR")</f>
        <v>0</v>
      </c>
      <c r="EB7" s="55">
        <f>SUMIFS('Awards Summary'!$H:$H,'Awards Summary'!$B:$B,$C7,'Awards Summary'!$J:$J,"HFA")</f>
        <v>0</v>
      </c>
      <c r="EC7" s="55">
        <f>SUMIFS('Disbursements Summary'!$E:$E,'Disbursements Summary'!$C:$C,$C7,'Disbursements Summary'!$A:$A,"HFA")</f>
        <v>0</v>
      </c>
      <c r="ED7" s="55">
        <f>SUMIFS('Awards Summary'!$H:$H,'Awards Summary'!$B:$B,$C7,'Awards Summary'!$J:$J,"NYSIF")</f>
        <v>0</v>
      </c>
      <c r="EE7" s="55">
        <f>SUMIFS('Disbursements Summary'!$E:$E,'Disbursements Summary'!$C:$C,$C7,'Disbursements Summary'!$A:$A,"NYSIF")</f>
        <v>0</v>
      </c>
      <c r="EF7" s="55">
        <f>SUMIFS('Awards Summary'!$H:$H,'Awards Summary'!$B:$B,$C7,'Awards Summary'!$J:$J,"NYBREDS")</f>
        <v>0</v>
      </c>
      <c r="EG7" s="55">
        <f>SUMIFS('Disbursements Summary'!$E:$E,'Disbursements Summary'!$C:$C,$C7,'Disbursements Summary'!$A:$A,"NYBREDS")</f>
        <v>0</v>
      </c>
      <c r="EH7" s="55">
        <f>SUMIFS('Awards Summary'!$H:$H,'Awards Summary'!$B:$B,$C7,'Awards Summary'!$J:$J,"NYSTA")</f>
        <v>0</v>
      </c>
      <c r="EI7" s="55">
        <f>SUMIFS('Disbursements Summary'!$E:$E,'Disbursements Summary'!$C:$C,$C7,'Disbursements Summary'!$A:$A,"NYSTA")</f>
        <v>0</v>
      </c>
      <c r="EJ7" s="55">
        <f>SUMIFS('Awards Summary'!$H:$H,'Awards Summary'!$B:$B,$C7,'Awards Summary'!$J:$J,"NFWB")</f>
        <v>0</v>
      </c>
      <c r="EK7" s="55">
        <f>SUMIFS('Disbursements Summary'!$E:$E,'Disbursements Summary'!$C:$C,$C7,'Disbursements Summary'!$A:$A,"NFWB")</f>
        <v>0</v>
      </c>
      <c r="EL7" s="55">
        <f>SUMIFS('Awards Summary'!$H:$H,'Awards Summary'!$B:$B,$C7,'Awards Summary'!$J:$J,"NFTA")</f>
        <v>0</v>
      </c>
      <c r="EM7" s="55">
        <f>SUMIFS('Disbursements Summary'!$E:$E,'Disbursements Summary'!$C:$C,$C7,'Disbursements Summary'!$A:$A,"NFTA")</f>
        <v>0</v>
      </c>
      <c r="EN7" s="55">
        <f>SUMIFS('Awards Summary'!$H:$H,'Awards Summary'!$B:$B,$C7,'Awards Summary'!$J:$J,"OPWDD")</f>
        <v>0</v>
      </c>
      <c r="EO7" s="55">
        <f>SUMIFS('Disbursements Summary'!$E:$E,'Disbursements Summary'!$C:$C,$C7,'Disbursements Summary'!$A:$A,"OPWDD")</f>
        <v>0</v>
      </c>
      <c r="EP7" s="55">
        <f>SUMIFS('Awards Summary'!$H:$H,'Awards Summary'!$B:$B,$C7,'Awards Summary'!$J:$J,"AGING")</f>
        <v>0</v>
      </c>
      <c r="EQ7" s="55">
        <f>SUMIFS('Disbursements Summary'!$E:$E,'Disbursements Summary'!$C:$C,$C7,'Disbursements Summary'!$A:$A,"AGING")</f>
        <v>0</v>
      </c>
      <c r="ER7" s="55">
        <f>SUMIFS('Awards Summary'!$H:$H,'Awards Summary'!$B:$B,$C7,'Awards Summary'!$J:$J,"OPDV")</f>
        <v>0</v>
      </c>
      <c r="ES7" s="55">
        <f>SUMIFS('Disbursements Summary'!$E:$E,'Disbursements Summary'!$C:$C,$C7,'Disbursements Summary'!$A:$A,"OPDV")</f>
        <v>0</v>
      </c>
      <c r="ET7" s="55">
        <f>SUMIFS('Awards Summary'!$H:$H,'Awards Summary'!$B:$B,$C7,'Awards Summary'!$J:$J,"OVS")</f>
        <v>0</v>
      </c>
      <c r="EU7" s="55">
        <f>SUMIFS('Disbursements Summary'!$E:$E,'Disbursements Summary'!$C:$C,$C7,'Disbursements Summary'!$A:$A,"OVS")</f>
        <v>0</v>
      </c>
      <c r="EV7" s="55">
        <f>SUMIFS('Awards Summary'!$H:$H,'Awards Summary'!$B:$B,$C7,'Awards Summary'!$J:$J,"OASAS")</f>
        <v>0</v>
      </c>
      <c r="EW7" s="55">
        <f>SUMIFS('Disbursements Summary'!$E:$E,'Disbursements Summary'!$C:$C,$C7,'Disbursements Summary'!$A:$A,"OASAS")</f>
        <v>0</v>
      </c>
      <c r="EX7" s="55">
        <f>SUMIFS('Awards Summary'!$H:$H,'Awards Summary'!$B:$B,$C7,'Awards Summary'!$J:$J,"OCFS")</f>
        <v>0</v>
      </c>
      <c r="EY7" s="55">
        <f>SUMIFS('Disbursements Summary'!$E:$E,'Disbursements Summary'!$C:$C,$C7,'Disbursements Summary'!$A:$A,"OCFS")</f>
        <v>0</v>
      </c>
      <c r="EZ7" s="55">
        <f>SUMIFS('Awards Summary'!$H:$H,'Awards Summary'!$B:$B,$C7,'Awards Summary'!$J:$J,"OGS")</f>
        <v>0</v>
      </c>
      <c r="FA7" s="55">
        <f>SUMIFS('Disbursements Summary'!$E:$E,'Disbursements Summary'!$C:$C,$C7,'Disbursements Summary'!$A:$A,"OGS")</f>
        <v>0</v>
      </c>
      <c r="FB7" s="55">
        <f>SUMIFS('Awards Summary'!$H:$H,'Awards Summary'!$B:$B,$C7,'Awards Summary'!$J:$J,"OMH")</f>
        <v>0</v>
      </c>
      <c r="FC7" s="55">
        <f>SUMIFS('Disbursements Summary'!$E:$E,'Disbursements Summary'!$C:$C,$C7,'Disbursements Summary'!$A:$A,"OMH")</f>
        <v>0</v>
      </c>
      <c r="FD7" s="55">
        <f>SUMIFS('Awards Summary'!$H:$H,'Awards Summary'!$B:$B,$C7,'Awards Summary'!$J:$J,"PARKS")</f>
        <v>0</v>
      </c>
      <c r="FE7" s="55">
        <f>SUMIFS('Disbursements Summary'!$E:$E,'Disbursements Summary'!$C:$C,$C7,'Disbursements Summary'!$A:$A,"PARKS")</f>
        <v>0</v>
      </c>
      <c r="FF7" s="55">
        <f>SUMIFS('Awards Summary'!$H:$H,'Awards Summary'!$B:$B,$C7,'Awards Summary'!$J:$J,"OTDA")</f>
        <v>0</v>
      </c>
      <c r="FG7" s="55">
        <f>SUMIFS('Disbursements Summary'!$E:$E,'Disbursements Summary'!$C:$C,$C7,'Disbursements Summary'!$A:$A,"OTDA")</f>
        <v>0</v>
      </c>
      <c r="FH7" s="55">
        <f>SUMIFS('Awards Summary'!$H:$H,'Awards Summary'!$B:$B,$C7,'Awards Summary'!$J:$J,"OIG")</f>
        <v>0</v>
      </c>
      <c r="FI7" s="55">
        <f>SUMIFS('Disbursements Summary'!$E:$E,'Disbursements Summary'!$C:$C,$C7,'Disbursements Summary'!$A:$A,"OIG")</f>
        <v>0</v>
      </c>
      <c r="FJ7" s="55">
        <f>SUMIFS('Awards Summary'!$H:$H,'Awards Summary'!$B:$B,$C7,'Awards Summary'!$J:$J,"OMIG")</f>
        <v>0</v>
      </c>
      <c r="FK7" s="55">
        <f>SUMIFS('Disbursements Summary'!$E:$E,'Disbursements Summary'!$C:$C,$C7,'Disbursements Summary'!$A:$A,"OMIG")</f>
        <v>0</v>
      </c>
      <c r="FL7" s="55">
        <f>SUMIFS('Awards Summary'!$H:$H,'Awards Summary'!$B:$B,$C7,'Awards Summary'!$J:$J,"OSC")</f>
        <v>0</v>
      </c>
      <c r="FM7" s="55">
        <f>SUMIFS('Disbursements Summary'!$E:$E,'Disbursements Summary'!$C:$C,$C7,'Disbursements Summary'!$A:$A,"OSC")</f>
        <v>0</v>
      </c>
      <c r="FN7" s="55">
        <f>SUMIFS('Awards Summary'!$H:$H,'Awards Summary'!$B:$B,$C7,'Awards Summary'!$J:$J,"OWIG")</f>
        <v>0</v>
      </c>
      <c r="FO7" s="55">
        <f>SUMIFS('Disbursements Summary'!$E:$E,'Disbursements Summary'!$C:$C,$C7,'Disbursements Summary'!$A:$A,"OWIG")</f>
        <v>0</v>
      </c>
      <c r="FP7" s="55">
        <f>SUMIFS('Awards Summary'!$H:$H,'Awards Summary'!$B:$B,$C7,'Awards Summary'!$J:$J,"OGDEN")</f>
        <v>0</v>
      </c>
      <c r="FQ7" s="55">
        <f>SUMIFS('Disbursements Summary'!$E:$E,'Disbursements Summary'!$C:$C,$C7,'Disbursements Summary'!$A:$A,"OGDEN")</f>
        <v>0</v>
      </c>
      <c r="FR7" s="55">
        <f>SUMIFS('Awards Summary'!$H:$H,'Awards Summary'!$B:$B,$C7,'Awards Summary'!$J:$J,"ORDA")</f>
        <v>0</v>
      </c>
      <c r="FS7" s="55">
        <f>SUMIFS('Disbursements Summary'!$E:$E,'Disbursements Summary'!$C:$C,$C7,'Disbursements Summary'!$A:$A,"ORDA")</f>
        <v>0</v>
      </c>
      <c r="FT7" s="55">
        <f>SUMIFS('Awards Summary'!$H:$H,'Awards Summary'!$B:$B,$C7,'Awards Summary'!$J:$J,"OSWEGO")</f>
        <v>0</v>
      </c>
      <c r="FU7" s="55">
        <f>SUMIFS('Disbursements Summary'!$E:$E,'Disbursements Summary'!$C:$C,$C7,'Disbursements Summary'!$A:$A,"OSWEGO")</f>
        <v>0</v>
      </c>
      <c r="FV7" s="55">
        <f>SUMIFS('Awards Summary'!$H:$H,'Awards Summary'!$B:$B,$C7,'Awards Summary'!$J:$J,"PERB")</f>
        <v>0</v>
      </c>
      <c r="FW7" s="55">
        <f>SUMIFS('Disbursements Summary'!$E:$E,'Disbursements Summary'!$C:$C,$C7,'Disbursements Summary'!$A:$A,"PERB")</f>
        <v>0</v>
      </c>
      <c r="FX7" s="55">
        <f>SUMIFS('Awards Summary'!$H:$H,'Awards Summary'!$B:$B,$C7,'Awards Summary'!$J:$J,"RGRTA")</f>
        <v>0</v>
      </c>
      <c r="FY7" s="55">
        <f>SUMIFS('Disbursements Summary'!$E:$E,'Disbursements Summary'!$C:$C,$C7,'Disbursements Summary'!$A:$A,"RGRTA")</f>
        <v>0</v>
      </c>
      <c r="FZ7" s="55">
        <f>SUMIFS('Awards Summary'!$H:$H,'Awards Summary'!$B:$B,$C7,'Awards Summary'!$J:$J,"RIOC")</f>
        <v>0</v>
      </c>
      <c r="GA7" s="55">
        <f>SUMIFS('Disbursements Summary'!$E:$E,'Disbursements Summary'!$C:$C,$C7,'Disbursements Summary'!$A:$A,"RIOC")</f>
        <v>0</v>
      </c>
      <c r="GB7" s="55">
        <f>SUMIFS('Awards Summary'!$H:$H,'Awards Summary'!$B:$B,$C7,'Awards Summary'!$J:$J,"RPCI")</f>
        <v>0</v>
      </c>
      <c r="GC7" s="55">
        <f>SUMIFS('Disbursements Summary'!$E:$E,'Disbursements Summary'!$C:$C,$C7,'Disbursements Summary'!$A:$A,"RPCI")</f>
        <v>0</v>
      </c>
      <c r="GD7" s="55">
        <f>SUMIFS('Awards Summary'!$H:$H,'Awards Summary'!$B:$B,$C7,'Awards Summary'!$J:$J,"SMDA")</f>
        <v>0</v>
      </c>
      <c r="GE7" s="55">
        <f>SUMIFS('Disbursements Summary'!$E:$E,'Disbursements Summary'!$C:$C,$C7,'Disbursements Summary'!$A:$A,"SMDA")</f>
        <v>0</v>
      </c>
      <c r="GF7" s="55">
        <f>SUMIFS('Awards Summary'!$H:$H,'Awards Summary'!$B:$B,$C7,'Awards Summary'!$J:$J,"SCOC")</f>
        <v>0</v>
      </c>
      <c r="GG7" s="55">
        <f>SUMIFS('Disbursements Summary'!$E:$E,'Disbursements Summary'!$C:$C,$C7,'Disbursements Summary'!$A:$A,"SCOC")</f>
        <v>0</v>
      </c>
      <c r="GH7" s="55">
        <f>SUMIFS('Awards Summary'!$H:$H,'Awards Summary'!$B:$B,$C7,'Awards Summary'!$J:$J,"SUCF")</f>
        <v>0</v>
      </c>
      <c r="GI7" s="55">
        <f>SUMIFS('Disbursements Summary'!$E:$E,'Disbursements Summary'!$C:$C,$C7,'Disbursements Summary'!$A:$A,"SUCF")</f>
        <v>0</v>
      </c>
      <c r="GJ7" s="55">
        <f>SUMIFS('Awards Summary'!$H:$H,'Awards Summary'!$B:$B,$C7,'Awards Summary'!$J:$J,"SUNY")</f>
        <v>0</v>
      </c>
      <c r="GK7" s="55">
        <f>SUMIFS('Disbursements Summary'!$E:$E,'Disbursements Summary'!$C:$C,$C7,'Disbursements Summary'!$A:$A,"SUNY")</f>
        <v>0</v>
      </c>
      <c r="GL7" s="55">
        <f>SUMIFS('Awards Summary'!$H:$H,'Awards Summary'!$B:$B,$C7,'Awards Summary'!$J:$J,"SRAA")</f>
        <v>0</v>
      </c>
      <c r="GM7" s="55">
        <f>SUMIFS('Disbursements Summary'!$E:$E,'Disbursements Summary'!$C:$C,$C7,'Disbursements Summary'!$A:$A,"SRAA")</f>
        <v>0</v>
      </c>
      <c r="GN7" s="55">
        <f>SUMIFS('Awards Summary'!$H:$H,'Awards Summary'!$B:$B,$C7,'Awards Summary'!$J:$J,"UNDC")</f>
        <v>0</v>
      </c>
      <c r="GO7" s="55">
        <f>SUMIFS('Disbursements Summary'!$E:$E,'Disbursements Summary'!$C:$C,$C7,'Disbursements Summary'!$A:$A,"UNDC")</f>
        <v>0</v>
      </c>
      <c r="GP7" s="55">
        <f>SUMIFS('Awards Summary'!$H:$H,'Awards Summary'!$B:$B,$C7,'Awards Summary'!$J:$J,"MVWA")</f>
        <v>0</v>
      </c>
      <c r="GQ7" s="55">
        <f>SUMIFS('Disbursements Summary'!$E:$E,'Disbursements Summary'!$C:$C,$C7,'Disbursements Summary'!$A:$A,"MVWA")</f>
        <v>0</v>
      </c>
      <c r="GR7" s="55">
        <f>SUMIFS('Awards Summary'!$H:$H,'Awards Summary'!$B:$B,$C7,'Awards Summary'!$J:$J,"WMC")</f>
        <v>0</v>
      </c>
      <c r="GS7" s="55">
        <f>SUMIFS('Disbursements Summary'!$E:$E,'Disbursements Summary'!$C:$C,$C7,'Disbursements Summary'!$A:$A,"WMC")</f>
        <v>0</v>
      </c>
      <c r="GT7" s="55">
        <f>SUMIFS('Awards Summary'!$H:$H,'Awards Summary'!$B:$B,$C7,'Awards Summary'!$J:$J,"WCB")</f>
        <v>0</v>
      </c>
      <c r="GU7" s="55">
        <f>SUMIFS('Disbursements Summary'!$E:$E,'Disbursements Summary'!$C:$C,$C7,'Disbursements Summary'!$A:$A,"WCB")</f>
        <v>0</v>
      </c>
      <c r="GV7" s="32">
        <f t="shared" si="1"/>
        <v>0</v>
      </c>
      <c r="GW7" s="32">
        <f t="shared" si="2"/>
        <v>0</v>
      </c>
      <c r="GX7" s="30" t="b">
        <f t="shared" si="3"/>
        <v>1</v>
      </c>
      <c r="GY7" s="30" t="b">
        <f t="shared" si="4"/>
        <v>1</v>
      </c>
    </row>
    <row r="8" spans="1:207" s="118" customFormat="1">
      <c r="A8" s="117" t="str">
        <f t="shared" si="0"/>
        <v/>
      </c>
      <c r="B8" s="40" t="s">
        <v>82</v>
      </c>
      <c r="C8" s="16">
        <v>141013</v>
      </c>
      <c r="D8" s="26">
        <f>COUNTIF('Awards Summary'!B:B,"141013")</f>
        <v>0</v>
      </c>
      <c r="E8" s="45">
        <f>SUMIFS('Awards Summary'!H:H,'Awards Summary'!B:B,"141013")</f>
        <v>0</v>
      </c>
      <c r="F8" s="46">
        <f>SUMIFS('Disbursements Summary'!E:E,'Disbursements Summary'!C:C, "141013")</f>
        <v>0</v>
      </c>
      <c r="H8" s="55">
        <f>SUMIFS('Awards Summary'!$H:$H,'Awards Summary'!$B:$B,$C8,'Awards Summary'!$J:$J,"APA")</f>
        <v>0</v>
      </c>
      <c r="I8" s="55">
        <f>SUMIFS('Disbursements Summary'!$E:$E,'Disbursements Summary'!$C:$C,$C8,'Disbursements Summary'!$A:$A,"APA")</f>
        <v>0</v>
      </c>
      <c r="J8" s="55">
        <f>SUMIFS('Awards Summary'!$H:$H,'Awards Summary'!$B:$B,$C8,'Awards Summary'!$J:$J,"Ag&amp;Horse")</f>
        <v>0</v>
      </c>
      <c r="K8" s="55">
        <f>SUMIFS('Disbursements Summary'!$E:$E,'Disbursements Summary'!$C:$C,$C8,'Disbursements Summary'!$A:$A,"Ag&amp;Horse")</f>
        <v>0</v>
      </c>
      <c r="L8" s="55">
        <f>SUMIFS('Awards Summary'!$H:$H,'Awards Summary'!$B:$B,$C8,'Awards Summary'!$J:$J,"ACAA")</f>
        <v>0</v>
      </c>
      <c r="M8" s="55">
        <f>SUMIFS('Disbursements Summary'!$E:$E,'Disbursements Summary'!$C:$C,$C8,'Disbursements Summary'!$A:$A,"ACAA")</f>
        <v>0</v>
      </c>
      <c r="N8" s="55">
        <f>SUMIFS('Awards Summary'!$H:$H,'Awards Summary'!$B:$B,$C8,'Awards Summary'!$J:$J,"PortAlbany")</f>
        <v>0</v>
      </c>
      <c r="O8" s="55">
        <f>SUMIFS('Disbursements Summary'!$E:$E,'Disbursements Summary'!$C:$C,$C8,'Disbursements Summary'!$A:$A,"PortAlbany")</f>
        <v>0</v>
      </c>
      <c r="P8" s="55">
        <f>SUMIFS('Awards Summary'!$H:$H,'Awards Summary'!$B:$B,$C8,'Awards Summary'!$J:$J,"SLA")</f>
        <v>0</v>
      </c>
      <c r="Q8" s="55">
        <f>SUMIFS('Disbursements Summary'!$E:$E,'Disbursements Summary'!$C:$C,$C8,'Disbursements Summary'!$A:$A,"SLA")</f>
        <v>0</v>
      </c>
      <c r="R8" s="55">
        <f>SUMIFS('Awards Summary'!$H:$H,'Awards Summary'!$B:$B,$C8,'Awards Summary'!$J:$J,"BPCA")</f>
        <v>0</v>
      </c>
      <c r="S8" s="55">
        <f>SUMIFS('Disbursements Summary'!$E:$E,'Disbursements Summary'!$C:$C,$C8,'Disbursements Summary'!$A:$A,"BPCA")</f>
        <v>0</v>
      </c>
      <c r="T8" s="55">
        <f>SUMIFS('Awards Summary'!$H:$H,'Awards Summary'!$B:$B,$C8,'Awards Summary'!$J:$J,"ELECTIONS")</f>
        <v>0</v>
      </c>
      <c r="U8" s="55">
        <f>SUMIFS('Disbursements Summary'!$E:$E,'Disbursements Summary'!$C:$C,$C8,'Disbursements Summary'!$A:$A,"ELECTIONS")</f>
        <v>0</v>
      </c>
      <c r="V8" s="55">
        <f>SUMIFS('Awards Summary'!$H:$H,'Awards Summary'!$B:$B,$C8,'Awards Summary'!$J:$J,"BFSA")</f>
        <v>0</v>
      </c>
      <c r="W8" s="55">
        <f>SUMIFS('Disbursements Summary'!$E:$E,'Disbursements Summary'!$C:$C,$C8,'Disbursements Summary'!$A:$A,"BFSA")</f>
        <v>0</v>
      </c>
      <c r="X8" s="55">
        <f>SUMIFS('Awards Summary'!$H:$H,'Awards Summary'!$B:$B,$C8,'Awards Summary'!$J:$J,"CDTA")</f>
        <v>0</v>
      </c>
      <c r="Y8" s="55">
        <f>SUMIFS('Disbursements Summary'!$E:$E,'Disbursements Summary'!$C:$C,$C8,'Disbursements Summary'!$A:$A,"CDTA")</f>
        <v>0</v>
      </c>
      <c r="Z8" s="55">
        <f>SUMIFS('Awards Summary'!$H:$H,'Awards Summary'!$B:$B,$C8,'Awards Summary'!$J:$J,"CCWSA")</f>
        <v>0</v>
      </c>
      <c r="AA8" s="55">
        <f>SUMIFS('Disbursements Summary'!$E:$E,'Disbursements Summary'!$C:$C,$C8,'Disbursements Summary'!$A:$A,"CCWSA")</f>
        <v>0</v>
      </c>
      <c r="AB8" s="55">
        <f>SUMIFS('Awards Summary'!$H:$H,'Awards Summary'!$B:$B,$C8,'Awards Summary'!$J:$J,"CNYRTA")</f>
        <v>0</v>
      </c>
      <c r="AC8" s="55">
        <f>SUMIFS('Disbursements Summary'!$E:$E,'Disbursements Summary'!$C:$C,$C8,'Disbursements Summary'!$A:$A,"CNYRTA")</f>
        <v>0</v>
      </c>
      <c r="AD8" s="55">
        <f>SUMIFS('Awards Summary'!$H:$H,'Awards Summary'!$B:$B,$C8,'Awards Summary'!$J:$J,"CUCF")</f>
        <v>0</v>
      </c>
      <c r="AE8" s="55">
        <f>SUMIFS('Disbursements Summary'!$E:$E,'Disbursements Summary'!$C:$C,$C8,'Disbursements Summary'!$A:$A,"CUCF")</f>
        <v>0</v>
      </c>
      <c r="AF8" s="55">
        <f>SUMIFS('Awards Summary'!$H:$H,'Awards Summary'!$B:$B,$C8,'Awards Summary'!$J:$J,"CUNY")</f>
        <v>0</v>
      </c>
      <c r="AG8" s="55">
        <f>SUMIFS('Disbursements Summary'!$E:$E,'Disbursements Summary'!$C:$C,$C8,'Disbursements Summary'!$A:$A,"CUNY")</f>
        <v>0</v>
      </c>
      <c r="AH8" s="55">
        <f>SUMIFS('Awards Summary'!$H:$H,'Awards Summary'!$B:$B,$C8,'Awards Summary'!$J:$J,"ARTS")</f>
        <v>0</v>
      </c>
      <c r="AI8" s="55">
        <f>SUMIFS('Disbursements Summary'!$E:$E,'Disbursements Summary'!$C:$C,$C8,'Disbursements Summary'!$A:$A,"ARTS")</f>
        <v>0</v>
      </c>
      <c r="AJ8" s="55">
        <f>SUMIFS('Awards Summary'!$H:$H,'Awards Summary'!$B:$B,$C8,'Awards Summary'!$J:$J,"AG&amp;MKTS")</f>
        <v>0</v>
      </c>
      <c r="AK8" s="55">
        <f>SUMIFS('Disbursements Summary'!$E:$E,'Disbursements Summary'!$C:$C,$C8,'Disbursements Summary'!$A:$A,"AG&amp;MKTS")</f>
        <v>0</v>
      </c>
      <c r="AL8" s="55">
        <f>SUMIFS('Awards Summary'!$H:$H,'Awards Summary'!$B:$B,$C8,'Awards Summary'!$J:$J,"CS")</f>
        <v>0</v>
      </c>
      <c r="AM8" s="55">
        <f>SUMIFS('Disbursements Summary'!$E:$E,'Disbursements Summary'!$C:$C,$C8,'Disbursements Summary'!$A:$A,"CS")</f>
        <v>0</v>
      </c>
      <c r="AN8" s="55">
        <f>SUMIFS('Awards Summary'!$H:$H,'Awards Summary'!$B:$B,$C8,'Awards Summary'!$J:$J,"DOCCS")</f>
        <v>0</v>
      </c>
      <c r="AO8" s="55">
        <f>SUMIFS('Disbursements Summary'!$E:$E,'Disbursements Summary'!$C:$C,$C8,'Disbursements Summary'!$A:$A,"DOCCS")</f>
        <v>0</v>
      </c>
      <c r="AP8" s="55">
        <f>SUMIFS('Awards Summary'!$H:$H,'Awards Summary'!$B:$B,$C8,'Awards Summary'!$J:$J,"DED")</f>
        <v>0</v>
      </c>
      <c r="AQ8" s="55">
        <f>SUMIFS('Disbursements Summary'!$E:$E,'Disbursements Summary'!$C:$C,$C8,'Disbursements Summary'!$A:$A,"DED")</f>
        <v>0</v>
      </c>
      <c r="AR8" s="55">
        <f>SUMIFS('Awards Summary'!$H:$H,'Awards Summary'!$B:$B,$C8,'Awards Summary'!$J:$J,"DEC")</f>
        <v>0</v>
      </c>
      <c r="AS8" s="55">
        <f>SUMIFS('Disbursements Summary'!$E:$E,'Disbursements Summary'!$C:$C,$C8,'Disbursements Summary'!$A:$A,"DEC")</f>
        <v>0</v>
      </c>
      <c r="AT8" s="55">
        <f>SUMIFS('Awards Summary'!$H:$H,'Awards Summary'!$B:$B,$C8,'Awards Summary'!$J:$J,"DFS")</f>
        <v>0</v>
      </c>
      <c r="AU8" s="55">
        <f>SUMIFS('Disbursements Summary'!$E:$E,'Disbursements Summary'!$C:$C,$C8,'Disbursements Summary'!$A:$A,"DFS")</f>
        <v>0</v>
      </c>
      <c r="AV8" s="55">
        <f>SUMIFS('Awards Summary'!$H:$H,'Awards Summary'!$B:$B,$C8,'Awards Summary'!$J:$J,"DOH")</f>
        <v>0</v>
      </c>
      <c r="AW8" s="55">
        <f>SUMIFS('Disbursements Summary'!$E:$E,'Disbursements Summary'!$C:$C,$C8,'Disbursements Summary'!$A:$A,"DOH")</f>
        <v>0</v>
      </c>
      <c r="AX8" s="55">
        <f>SUMIFS('Awards Summary'!$H:$H,'Awards Summary'!$B:$B,$C8,'Awards Summary'!$J:$J,"DOL")</f>
        <v>0</v>
      </c>
      <c r="AY8" s="55">
        <f>SUMIFS('Disbursements Summary'!$E:$E,'Disbursements Summary'!$C:$C,$C8,'Disbursements Summary'!$A:$A,"DOL")</f>
        <v>0</v>
      </c>
      <c r="AZ8" s="55">
        <f>SUMIFS('Awards Summary'!$H:$H,'Awards Summary'!$B:$B,$C8,'Awards Summary'!$J:$J,"DMV")</f>
        <v>0</v>
      </c>
      <c r="BA8" s="55">
        <f>SUMIFS('Disbursements Summary'!$E:$E,'Disbursements Summary'!$C:$C,$C8,'Disbursements Summary'!$A:$A,"DMV")</f>
        <v>0</v>
      </c>
      <c r="BB8" s="55">
        <f>SUMIFS('Awards Summary'!$H:$H,'Awards Summary'!$B:$B,$C8,'Awards Summary'!$J:$J,"DPS")</f>
        <v>0</v>
      </c>
      <c r="BC8" s="55">
        <f>SUMIFS('Disbursements Summary'!$E:$E,'Disbursements Summary'!$C:$C,$C8,'Disbursements Summary'!$A:$A,"DPS")</f>
        <v>0</v>
      </c>
      <c r="BD8" s="55">
        <f>SUMIFS('Awards Summary'!$H:$H,'Awards Summary'!$B:$B,$C8,'Awards Summary'!$J:$J,"DOS")</f>
        <v>0</v>
      </c>
      <c r="BE8" s="55">
        <f>SUMIFS('Disbursements Summary'!$E:$E,'Disbursements Summary'!$C:$C,$C8,'Disbursements Summary'!$A:$A,"DOS")</f>
        <v>0</v>
      </c>
      <c r="BF8" s="55">
        <f>SUMIFS('Awards Summary'!$H:$H,'Awards Summary'!$B:$B,$C8,'Awards Summary'!$J:$J,"TAX")</f>
        <v>0</v>
      </c>
      <c r="BG8" s="55">
        <f>SUMIFS('Disbursements Summary'!$E:$E,'Disbursements Summary'!$C:$C,$C8,'Disbursements Summary'!$A:$A,"TAX")</f>
        <v>0</v>
      </c>
      <c r="BH8" s="55">
        <f>SUMIFS('Awards Summary'!$H:$H,'Awards Summary'!$B:$B,$C8,'Awards Summary'!$J:$J,"DOT")</f>
        <v>0</v>
      </c>
      <c r="BI8" s="55">
        <f>SUMIFS('Disbursements Summary'!$E:$E,'Disbursements Summary'!$C:$C,$C8,'Disbursements Summary'!$A:$A,"DOT")</f>
        <v>0</v>
      </c>
      <c r="BJ8" s="55">
        <f>SUMIFS('Awards Summary'!$H:$H,'Awards Summary'!$B:$B,$C8,'Awards Summary'!$J:$J,"DANC")</f>
        <v>0</v>
      </c>
      <c r="BK8" s="55">
        <f>SUMIFS('Disbursements Summary'!$E:$E,'Disbursements Summary'!$C:$C,$C8,'Disbursements Summary'!$A:$A,"DANC")</f>
        <v>0</v>
      </c>
      <c r="BL8" s="55">
        <f>SUMIFS('Awards Summary'!$H:$H,'Awards Summary'!$B:$B,$C8,'Awards Summary'!$J:$J,"DOB")</f>
        <v>0</v>
      </c>
      <c r="BM8" s="55">
        <f>SUMIFS('Disbursements Summary'!$E:$E,'Disbursements Summary'!$C:$C,$C8,'Disbursements Summary'!$A:$A,"DOB")</f>
        <v>0</v>
      </c>
      <c r="BN8" s="55">
        <f>SUMIFS('Awards Summary'!$H:$H,'Awards Summary'!$B:$B,$C8,'Awards Summary'!$J:$J,"DCJS")</f>
        <v>0</v>
      </c>
      <c r="BO8" s="55">
        <f>SUMIFS('Disbursements Summary'!$E:$E,'Disbursements Summary'!$C:$C,$C8,'Disbursements Summary'!$A:$A,"DCJS")</f>
        <v>0</v>
      </c>
      <c r="BP8" s="55">
        <f>SUMIFS('Awards Summary'!$H:$H,'Awards Summary'!$B:$B,$C8,'Awards Summary'!$J:$J,"DHSES")</f>
        <v>0</v>
      </c>
      <c r="BQ8" s="55">
        <f>SUMIFS('Disbursements Summary'!$E:$E,'Disbursements Summary'!$C:$C,$C8,'Disbursements Summary'!$A:$A,"DHSES")</f>
        <v>0</v>
      </c>
      <c r="BR8" s="55">
        <f>SUMIFS('Awards Summary'!$H:$H,'Awards Summary'!$B:$B,$C8,'Awards Summary'!$J:$J,"DHR")</f>
        <v>0</v>
      </c>
      <c r="BS8" s="55">
        <f>SUMIFS('Disbursements Summary'!$E:$E,'Disbursements Summary'!$C:$C,$C8,'Disbursements Summary'!$A:$A,"DHR")</f>
        <v>0</v>
      </c>
      <c r="BT8" s="55">
        <f>SUMIFS('Awards Summary'!$H:$H,'Awards Summary'!$B:$B,$C8,'Awards Summary'!$J:$J,"DMNA")</f>
        <v>0</v>
      </c>
      <c r="BU8" s="55">
        <f>SUMIFS('Disbursements Summary'!$E:$E,'Disbursements Summary'!$C:$C,$C8,'Disbursements Summary'!$A:$A,"DMNA")</f>
        <v>0</v>
      </c>
      <c r="BV8" s="55">
        <f>SUMIFS('Awards Summary'!$H:$H,'Awards Summary'!$B:$B,$C8,'Awards Summary'!$J:$J,"TROOPERS")</f>
        <v>0</v>
      </c>
      <c r="BW8" s="55">
        <f>SUMIFS('Disbursements Summary'!$E:$E,'Disbursements Summary'!$C:$C,$C8,'Disbursements Summary'!$A:$A,"TROOPERS")</f>
        <v>0</v>
      </c>
      <c r="BX8" s="55">
        <f>SUMIFS('Awards Summary'!$H:$H,'Awards Summary'!$B:$B,$C8,'Awards Summary'!$J:$J,"DVA")</f>
        <v>0</v>
      </c>
      <c r="BY8" s="55">
        <f>SUMIFS('Disbursements Summary'!$E:$E,'Disbursements Summary'!$C:$C,$C8,'Disbursements Summary'!$A:$A,"DVA")</f>
        <v>0</v>
      </c>
      <c r="BZ8" s="55">
        <f>SUMIFS('Awards Summary'!$H:$H,'Awards Summary'!$B:$B,$C8,'Awards Summary'!$J:$J,"DASNY")</f>
        <v>0</v>
      </c>
      <c r="CA8" s="55">
        <f>SUMIFS('Disbursements Summary'!$E:$E,'Disbursements Summary'!$C:$C,$C8,'Disbursements Summary'!$A:$A,"DASNY")</f>
        <v>0</v>
      </c>
      <c r="CB8" s="55">
        <f>SUMIFS('Awards Summary'!$H:$H,'Awards Summary'!$B:$B,$C8,'Awards Summary'!$J:$J,"EGG")</f>
        <v>0</v>
      </c>
      <c r="CC8" s="55">
        <f>SUMIFS('Disbursements Summary'!$E:$E,'Disbursements Summary'!$C:$C,$C8,'Disbursements Summary'!$A:$A,"EGG")</f>
        <v>0</v>
      </c>
      <c r="CD8" s="55">
        <f>SUMIFS('Awards Summary'!$H:$H,'Awards Summary'!$B:$B,$C8,'Awards Summary'!$J:$J,"ESD")</f>
        <v>0</v>
      </c>
      <c r="CE8" s="55">
        <f>SUMIFS('Disbursements Summary'!$E:$E,'Disbursements Summary'!$C:$C,$C8,'Disbursements Summary'!$A:$A,"ESD")</f>
        <v>0</v>
      </c>
      <c r="CF8" s="55">
        <f>SUMIFS('Awards Summary'!$H:$H,'Awards Summary'!$B:$B,$C8,'Awards Summary'!$J:$J,"EFC")</f>
        <v>0</v>
      </c>
      <c r="CG8" s="55">
        <f>SUMIFS('Disbursements Summary'!$E:$E,'Disbursements Summary'!$C:$C,$C8,'Disbursements Summary'!$A:$A,"EFC")</f>
        <v>0</v>
      </c>
      <c r="CH8" s="55">
        <f>SUMIFS('Awards Summary'!$H:$H,'Awards Summary'!$B:$B,$C8,'Awards Summary'!$J:$J,"ECFSA")</f>
        <v>0</v>
      </c>
      <c r="CI8" s="55">
        <f>SUMIFS('Disbursements Summary'!$E:$E,'Disbursements Summary'!$C:$C,$C8,'Disbursements Summary'!$A:$A,"ECFSA")</f>
        <v>0</v>
      </c>
      <c r="CJ8" s="55">
        <f>SUMIFS('Awards Summary'!$H:$H,'Awards Summary'!$B:$B,$C8,'Awards Summary'!$J:$J,"ECMC")</f>
        <v>0</v>
      </c>
      <c r="CK8" s="55">
        <f>SUMIFS('Disbursements Summary'!$E:$E,'Disbursements Summary'!$C:$C,$C8,'Disbursements Summary'!$A:$A,"ECMC")</f>
        <v>0</v>
      </c>
      <c r="CL8" s="55">
        <f>SUMIFS('Awards Summary'!$H:$H,'Awards Summary'!$B:$B,$C8,'Awards Summary'!$J:$J,"CHAMBER")</f>
        <v>0</v>
      </c>
      <c r="CM8" s="55">
        <f>SUMIFS('Disbursements Summary'!$E:$E,'Disbursements Summary'!$C:$C,$C8,'Disbursements Summary'!$A:$A,"CHAMBER")</f>
        <v>0</v>
      </c>
      <c r="CN8" s="55">
        <f>SUMIFS('Awards Summary'!$H:$H,'Awards Summary'!$B:$B,$C8,'Awards Summary'!$J:$J,"GAMING")</f>
        <v>0</v>
      </c>
      <c r="CO8" s="55">
        <f>SUMIFS('Disbursements Summary'!$E:$E,'Disbursements Summary'!$C:$C,$C8,'Disbursements Summary'!$A:$A,"GAMING")</f>
        <v>0</v>
      </c>
      <c r="CP8" s="55">
        <f>SUMIFS('Awards Summary'!$H:$H,'Awards Summary'!$B:$B,$C8,'Awards Summary'!$J:$J,"GOER")</f>
        <v>0</v>
      </c>
      <c r="CQ8" s="55">
        <f>SUMIFS('Disbursements Summary'!$E:$E,'Disbursements Summary'!$C:$C,$C8,'Disbursements Summary'!$A:$A,"GOER")</f>
        <v>0</v>
      </c>
      <c r="CR8" s="55">
        <f>SUMIFS('Awards Summary'!$H:$H,'Awards Summary'!$B:$B,$C8,'Awards Summary'!$J:$J,"HESC")</f>
        <v>0</v>
      </c>
      <c r="CS8" s="55">
        <f>SUMIFS('Disbursements Summary'!$E:$E,'Disbursements Summary'!$C:$C,$C8,'Disbursements Summary'!$A:$A,"HESC")</f>
        <v>0</v>
      </c>
      <c r="CT8" s="55">
        <f>SUMIFS('Awards Summary'!$H:$H,'Awards Summary'!$B:$B,$C8,'Awards Summary'!$J:$J,"GOSR")</f>
        <v>0</v>
      </c>
      <c r="CU8" s="55">
        <f>SUMIFS('Disbursements Summary'!$E:$E,'Disbursements Summary'!$C:$C,$C8,'Disbursements Summary'!$A:$A,"GOSR")</f>
        <v>0</v>
      </c>
      <c r="CV8" s="55">
        <f>SUMIFS('Awards Summary'!$H:$H,'Awards Summary'!$B:$B,$C8,'Awards Summary'!$J:$J,"HRPT")</f>
        <v>0</v>
      </c>
      <c r="CW8" s="55">
        <f>SUMIFS('Disbursements Summary'!$E:$E,'Disbursements Summary'!$C:$C,$C8,'Disbursements Summary'!$A:$A,"HRPT")</f>
        <v>0</v>
      </c>
      <c r="CX8" s="55">
        <f>SUMIFS('Awards Summary'!$H:$H,'Awards Summary'!$B:$B,$C8,'Awards Summary'!$J:$J,"HRBRRD")</f>
        <v>0</v>
      </c>
      <c r="CY8" s="55">
        <f>SUMIFS('Disbursements Summary'!$E:$E,'Disbursements Summary'!$C:$C,$C8,'Disbursements Summary'!$A:$A,"HRBRRD")</f>
        <v>0</v>
      </c>
      <c r="CZ8" s="55">
        <f>SUMIFS('Awards Summary'!$H:$H,'Awards Summary'!$B:$B,$C8,'Awards Summary'!$J:$J,"ITS")</f>
        <v>0</v>
      </c>
      <c r="DA8" s="55">
        <f>SUMIFS('Disbursements Summary'!$E:$E,'Disbursements Summary'!$C:$C,$C8,'Disbursements Summary'!$A:$A,"ITS")</f>
        <v>0</v>
      </c>
      <c r="DB8" s="55">
        <f>SUMIFS('Awards Summary'!$H:$H,'Awards Summary'!$B:$B,$C8,'Awards Summary'!$J:$J,"JAVITS")</f>
        <v>0</v>
      </c>
      <c r="DC8" s="55">
        <f>SUMIFS('Disbursements Summary'!$E:$E,'Disbursements Summary'!$C:$C,$C8,'Disbursements Summary'!$A:$A,"JAVITS")</f>
        <v>0</v>
      </c>
      <c r="DD8" s="55">
        <f>SUMIFS('Awards Summary'!$H:$H,'Awards Summary'!$B:$B,$C8,'Awards Summary'!$J:$J,"JCOPE")</f>
        <v>0</v>
      </c>
      <c r="DE8" s="55">
        <f>SUMIFS('Disbursements Summary'!$E:$E,'Disbursements Summary'!$C:$C,$C8,'Disbursements Summary'!$A:$A,"JCOPE")</f>
        <v>0</v>
      </c>
      <c r="DF8" s="55">
        <f>SUMIFS('Awards Summary'!$H:$H,'Awards Summary'!$B:$B,$C8,'Awards Summary'!$J:$J,"JUSTICE")</f>
        <v>0</v>
      </c>
      <c r="DG8" s="55">
        <f>SUMIFS('Disbursements Summary'!$E:$E,'Disbursements Summary'!$C:$C,$C8,'Disbursements Summary'!$A:$A,"JUSTICE")</f>
        <v>0</v>
      </c>
      <c r="DH8" s="55">
        <f>SUMIFS('Awards Summary'!$H:$H,'Awards Summary'!$B:$B,$C8,'Awards Summary'!$J:$J,"LCWSA")</f>
        <v>0</v>
      </c>
      <c r="DI8" s="55">
        <f>SUMIFS('Disbursements Summary'!$E:$E,'Disbursements Summary'!$C:$C,$C8,'Disbursements Summary'!$A:$A,"LCWSA")</f>
        <v>0</v>
      </c>
      <c r="DJ8" s="55">
        <f>SUMIFS('Awards Summary'!$H:$H,'Awards Summary'!$B:$B,$C8,'Awards Summary'!$J:$J,"LIPA")</f>
        <v>0</v>
      </c>
      <c r="DK8" s="55">
        <f>SUMIFS('Disbursements Summary'!$E:$E,'Disbursements Summary'!$C:$C,$C8,'Disbursements Summary'!$A:$A,"LIPA")</f>
        <v>0</v>
      </c>
      <c r="DL8" s="55">
        <f>SUMIFS('Awards Summary'!$H:$H,'Awards Summary'!$B:$B,$C8,'Awards Summary'!$J:$J,"MTA")</f>
        <v>0</v>
      </c>
      <c r="DM8" s="55">
        <f>SUMIFS('Disbursements Summary'!$E:$E,'Disbursements Summary'!$C:$C,$C8,'Disbursements Summary'!$A:$A,"MTA")</f>
        <v>0</v>
      </c>
      <c r="DN8" s="55">
        <f>SUMIFS('Awards Summary'!$H:$H,'Awards Summary'!$B:$B,$C8,'Awards Summary'!$J:$J,"NIFA")</f>
        <v>0</v>
      </c>
      <c r="DO8" s="55">
        <f>SUMIFS('Disbursements Summary'!$E:$E,'Disbursements Summary'!$C:$C,$C8,'Disbursements Summary'!$A:$A,"NIFA")</f>
        <v>0</v>
      </c>
      <c r="DP8" s="55">
        <f>SUMIFS('Awards Summary'!$H:$H,'Awards Summary'!$B:$B,$C8,'Awards Summary'!$J:$J,"NHCC")</f>
        <v>0</v>
      </c>
      <c r="DQ8" s="55">
        <f>SUMIFS('Disbursements Summary'!$E:$E,'Disbursements Summary'!$C:$C,$C8,'Disbursements Summary'!$A:$A,"NHCC")</f>
        <v>0</v>
      </c>
      <c r="DR8" s="55">
        <f>SUMIFS('Awards Summary'!$H:$H,'Awards Summary'!$B:$B,$C8,'Awards Summary'!$J:$J,"NHT")</f>
        <v>0</v>
      </c>
      <c r="DS8" s="55">
        <f>SUMIFS('Disbursements Summary'!$E:$E,'Disbursements Summary'!$C:$C,$C8,'Disbursements Summary'!$A:$A,"NHT")</f>
        <v>0</v>
      </c>
      <c r="DT8" s="55">
        <f>SUMIFS('Awards Summary'!$H:$H,'Awards Summary'!$B:$B,$C8,'Awards Summary'!$J:$J,"NYPA")</f>
        <v>0</v>
      </c>
      <c r="DU8" s="55">
        <f>SUMIFS('Disbursements Summary'!$E:$E,'Disbursements Summary'!$C:$C,$C8,'Disbursements Summary'!$A:$A,"NYPA")</f>
        <v>0</v>
      </c>
      <c r="DV8" s="55">
        <f>SUMIFS('Awards Summary'!$H:$H,'Awards Summary'!$B:$B,$C8,'Awards Summary'!$J:$J,"NYSBA")</f>
        <v>0</v>
      </c>
      <c r="DW8" s="55">
        <f>SUMIFS('Disbursements Summary'!$E:$E,'Disbursements Summary'!$C:$C,$C8,'Disbursements Summary'!$A:$A,"NYSBA")</f>
        <v>0</v>
      </c>
      <c r="DX8" s="55">
        <f>SUMIFS('Awards Summary'!$H:$H,'Awards Summary'!$B:$B,$C8,'Awards Summary'!$J:$J,"NYSERDA")</f>
        <v>0</v>
      </c>
      <c r="DY8" s="55">
        <f>SUMIFS('Disbursements Summary'!$E:$E,'Disbursements Summary'!$C:$C,$C8,'Disbursements Summary'!$A:$A,"NYSERDA")</f>
        <v>0</v>
      </c>
      <c r="DZ8" s="55">
        <f>SUMIFS('Awards Summary'!$H:$H,'Awards Summary'!$B:$B,$C8,'Awards Summary'!$J:$J,"DHCR")</f>
        <v>0</v>
      </c>
      <c r="EA8" s="55">
        <f>SUMIFS('Disbursements Summary'!$E:$E,'Disbursements Summary'!$C:$C,$C8,'Disbursements Summary'!$A:$A,"DHCR")</f>
        <v>0</v>
      </c>
      <c r="EB8" s="55">
        <f>SUMIFS('Awards Summary'!$H:$H,'Awards Summary'!$B:$B,$C8,'Awards Summary'!$J:$J,"HFA")</f>
        <v>0</v>
      </c>
      <c r="EC8" s="55">
        <f>SUMIFS('Disbursements Summary'!$E:$E,'Disbursements Summary'!$C:$C,$C8,'Disbursements Summary'!$A:$A,"HFA")</f>
        <v>0</v>
      </c>
      <c r="ED8" s="55">
        <f>SUMIFS('Awards Summary'!$H:$H,'Awards Summary'!$B:$B,$C8,'Awards Summary'!$J:$J,"NYSIF")</f>
        <v>0</v>
      </c>
      <c r="EE8" s="55">
        <f>SUMIFS('Disbursements Summary'!$E:$E,'Disbursements Summary'!$C:$C,$C8,'Disbursements Summary'!$A:$A,"NYSIF")</f>
        <v>0</v>
      </c>
      <c r="EF8" s="55">
        <f>SUMIFS('Awards Summary'!$H:$H,'Awards Summary'!$B:$B,$C8,'Awards Summary'!$J:$J,"NYBREDS")</f>
        <v>0</v>
      </c>
      <c r="EG8" s="55">
        <f>SUMIFS('Disbursements Summary'!$E:$E,'Disbursements Summary'!$C:$C,$C8,'Disbursements Summary'!$A:$A,"NYBREDS")</f>
        <v>0</v>
      </c>
      <c r="EH8" s="55">
        <f>SUMIFS('Awards Summary'!$H:$H,'Awards Summary'!$B:$B,$C8,'Awards Summary'!$J:$J,"NYSTA")</f>
        <v>0</v>
      </c>
      <c r="EI8" s="55">
        <f>SUMIFS('Disbursements Summary'!$E:$E,'Disbursements Summary'!$C:$C,$C8,'Disbursements Summary'!$A:$A,"NYSTA")</f>
        <v>0</v>
      </c>
      <c r="EJ8" s="55">
        <f>SUMIFS('Awards Summary'!$H:$H,'Awards Summary'!$B:$B,$C8,'Awards Summary'!$J:$J,"NFWB")</f>
        <v>0</v>
      </c>
      <c r="EK8" s="55">
        <f>SUMIFS('Disbursements Summary'!$E:$E,'Disbursements Summary'!$C:$C,$C8,'Disbursements Summary'!$A:$A,"NFWB")</f>
        <v>0</v>
      </c>
      <c r="EL8" s="55">
        <f>SUMIFS('Awards Summary'!$H:$H,'Awards Summary'!$B:$B,$C8,'Awards Summary'!$J:$J,"NFTA")</f>
        <v>0</v>
      </c>
      <c r="EM8" s="55">
        <f>SUMIFS('Disbursements Summary'!$E:$E,'Disbursements Summary'!$C:$C,$C8,'Disbursements Summary'!$A:$A,"NFTA")</f>
        <v>0</v>
      </c>
      <c r="EN8" s="55">
        <f>SUMIFS('Awards Summary'!$H:$H,'Awards Summary'!$B:$B,$C8,'Awards Summary'!$J:$J,"OPWDD")</f>
        <v>0</v>
      </c>
      <c r="EO8" s="55">
        <f>SUMIFS('Disbursements Summary'!$E:$E,'Disbursements Summary'!$C:$C,$C8,'Disbursements Summary'!$A:$A,"OPWDD")</f>
        <v>0</v>
      </c>
      <c r="EP8" s="55">
        <f>SUMIFS('Awards Summary'!$H:$H,'Awards Summary'!$B:$B,$C8,'Awards Summary'!$J:$J,"AGING")</f>
        <v>0</v>
      </c>
      <c r="EQ8" s="55">
        <f>SUMIFS('Disbursements Summary'!$E:$E,'Disbursements Summary'!$C:$C,$C8,'Disbursements Summary'!$A:$A,"AGING")</f>
        <v>0</v>
      </c>
      <c r="ER8" s="55">
        <f>SUMIFS('Awards Summary'!$H:$H,'Awards Summary'!$B:$B,$C8,'Awards Summary'!$J:$J,"OPDV")</f>
        <v>0</v>
      </c>
      <c r="ES8" s="55">
        <f>SUMIFS('Disbursements Summary'!$E:$E,'Disbursements Summary'!$C:$C,$C8,'Disbursements Summary'!$A:$A,"OPDV")</f>
        <v>0</v>
      </c>
      <c r="ET8" s="55">
        <f>SUMIFS('Awards Summary'!$H:$H,'Awards Summary'!$B:$B,$C8,'Awards Summary'!$J:$J,"OVS")</f>
        <v>0</v>
      </c>
      <c r="EU8" s="55">
        <f>SUMIFS('Disbursements Summary'!$E:$E,'Disbursements Summary'!$C:$C,$C8,'Disbursements Summary'!$A:$A,"OVS")</f>
        <v>0</v>
      </c>
      <c r="EV8" s="55">
        <f>SUMIFS('Awards Summary'!$H:$H,'Awards Summary'!$B:$B,$C8,'Awards Summary'!$J:$J,"OASAS")</f>
        <v>0</v>
      </c>
      <c r="EW8" s="55">
        <f>SUMIFS('Disbursements Summary'!$E:$E,'Disbursements Summary'!$C:$C,$C8,'Disbursements Summary'!$A:$A,"OASAS")</f>
        <v>0</v>
      </c>
      <c r="EX8" s="55">
        <f>SUMIFS('Awards Summary'!$H:$H,'Awards Summary'!$B:$B,$C8,'Awards Summary'!$J:$J,"OCFS")</f>
        <v>0</v>
      </c>
      <c r="EY8" s="55">
        <f>SUMIFS('Disbursements Summary'!$E:$E,'Disbursements Summary'!$C:$C,$C8,'Disbursements Summary'!$A:$A,"OCFS")</f>
        <v>0</v>
      </c>
      <c r="EZ8" s="55">
        <f>SUMIFS('Awards Summary'!$H:$H,'Awards Summary'!$B:$B,$C8,'Awards Summary'!$J:$J,"OGS")</f>
        <v>0</v>
      </c>
      <c r="FA8" s="55">
        <f>SUMIFS('Disbursements Summary'!$E:$E,'Disbursements Summary'!$C:$C,$C8,'Disbursements Summary'!$A:$A,"OGS")</f>
        <v>0</v>
      </c>
      <c r="FB8" s="55">
        <f>SUMIFS('Awards Summary'!$H:$H,'Awards Summary'!$B:$B,$C8,'Awards Summary'!$J:$J,"OMH")</f>
        <v>0</v>
      </c>
      <c r="FC8" s="55">
        <f>SUMIFS('Disbursements Summary'!$E:$E,'Disbursements Summary'!$C:$C,$C8,'Disbursements Summary'!$A:$A,"OMH")</f>
        <v>0</v>
      </c>
      <c r="FD8" s="55">
        <f>SUMIFS('Awards Summary'!$H:$H,'Awards Summary'!$B:$B,$C8,'Awards Summary'!$J:$J,"PARKS")</f>
        <v>0</v>
      </c>
      <c r="FE8" s="55">
        <f>SUMIFS('Disbursements Summary'!$E:$E,'Disbursements Summary'!$C:$C,$C8,'Disbursements Summary'!$A:$A,"PARKS")</f>
        <v>0</v>
      </c>
      <c r="FF8" s="55">
        <f>SUMIFS('Awards Summary'!$H:$H,'Awards Summary'!$B:$B,$C8,'Awards Summary'!$J:$J,"OTDA")</f>
        <v>0</v>
      </c>
      <c r="FG8" s="55">
        <f>SUMIFS('Disbursements Summary'!$E:$E,'Disbursements Summary'!$C:$C,$C8,'Disbursements Summary'!$A:$A,"OTDA")</f>
        <v>0</v>
      </c>
      <c r="FH8" s="55">
        <f>SUMIFS('Awards Summary'!$H:$H,'Awards Summary'!$B:$B,$C8,'Awards Summary'!$J:$J,"OIG")</f>
        <v>0</v>
      </c>
      <c r="FI8" s="55">
        <f>SUMIFS('Disbursements Summary'!$E:$E,'Disbursements Summary'!$C:$C,$C8,'Disbursements Summary'!$A:$A,"OIG")</f>
        <v>0</v>
      </c>
      <c r="FJ8" s="55">
        <f>SUMIFS('Awards Summary'!$H:$H,'Awards Summary'!$B:$B,$C8,'Awards Summary'!$J:$J,"OMIG")</f>
        <v>0</v>
      </c>
      <c r="FK8" s="55">
        <f>SUMIFS('Disbursements Summary'!$E:$E,'Disbursements Summary'!$C:$C,$C8,'Disbursements Summary'!$A:$A,"OMIG")</f>
        <v>0</v>
      </c>
      <c r="FL8" s="55">
        <f>SUMIFS('Awards Summary'!$H:$H,'Awards Summary'!$B:$B,$C8,'Awards Summary'!$J:$J,"OSC")</f>
        <v>0</v>
      </c>
      <c r="FM8" s="55">
        <f>SUMIFS('Disbursements Summary'!$E:$E,'Disbursements Summary'!$C:$C,$C8,'Disbursements Summary'!$A:$A,"OSC")</f>
        <v>0</v>
      </c>
      <c r="FN8" s="55">
        <f>SUMIFS('Awards Summary'!$H:$H,'Awards Summary'!$B:$B,$C8,'Awards Summary'!$J:$J,"OWIG")</f>
        <v>0</v>
      </c>
      <c r="FO8" s="55">
        <f>SUMIFS('Disbursements Summary'!$E:$E,'Disbursements Summary'!$C:$C,$C8,'Disbursements Summary'!$A:$A,"OWIG")</f>
        <v>0</v>
      </c>
      <c r="FP8" s="55">
        <f>SUMIFS('Awards Summary'!$H:$H,'Awards Summary'!$B:$B,$C8,'Awards Summary'!$J:$J,"OGDEN")</f>
        <v>0</v>
      </c>
      <c r="FQ8" s="55">
        <f>SUMIFS('Disbursements Summary'!$E:$E,'Disbursements Summary'!$C:$C,$C8,'Disbursements Summary'!$A:$A,"OGDEN")</f>
        <v>0</v>
      </c>
      <c r="FR8" s="55">
        <f>SUMIFS('Awards Summary'!$H:$H,'Awards Summary'!$B:$B,$C8,'Awards Summary'!$J:$J,"ORDA")</f>
        <v>0</v>
      </c>
      <c r="FS8" s="55">
        <f>SUMIFS('Disbursements Summary'!$E:$E,'Disbursements Summary'!$C:$C,$C8,'Disbursements Summary'!$A:$A,"ORDA")</f>
        <v>0</v>
      </c>
      <c r="FT8" s="55">
        <f>SUMIFS('Awards Summary'!$H:$H,'Awards Summary'!$B:$B,$C8,'Awards Summary'!$J:$J,"OSWEGO")</f>
        <v>0</v>
      </c>
      <c r="FU8" s="55">
        <f>SUMIFS('Disbursements Summary'!$E:$E,'Disbursements Summary'!$C:$C,$C8,'Disbursements Summary'!$A:$A,"OSWEGO")</f>
        <v>0</v>
      </c>
      <c r="FV8" s="55">
        <f>SUMIFS('Awards Summary'!$H:$H,'Awards Summary'!$B:$B,$C8,'Awards Summary'!$J:$J,"PERB")</f>
        <v>0</v>
      </c>
      <c r="FW8" s="55">
        <f>SUMIFS('Disbursements Summary'!$E:$E,'Disbursements Summary'!$C:$C,$C8,'Disbursements Summary'!$A:$A,"PERB")</f>
        <v>0</v>
      </c>
      <c r="FX8" s="55">
        <f>SUMIFS('Awards Summary'!$H:$H,'Awards Summary'!$B:$B,$C8,'Awards Summary'!$J:$J,"RGRTA")</f>
        <v>0</v>
      </c>
      <c r="FY8" s="55">
        <f>SUMIFS('Disbursements Summary'!$E:$E,'Disbursements Summary'!$C:$C,$C8,'Disbursements Summary'!$A:$A,"RGRTA")</f>
        <v>0</v>
      </c>
      <c r="FZ8" s="55">
        <f>SUMIFS('Awards Summary'!$H:$H,'Awards Summary'!$B:$B,$C8,'Awards Summary'!$J:$J,"RIOC")</f>
        <v>0</v>
      </c>
      <c r="GA8" s="55">
        <f>SUMIFS('Disbursements Summary'!$E:$E,'Disbursements Summary'!$C:$C,$C8,'Disbursements Summary'!$A:$A,"RIOC")</f>
        <v>0</v>
      </c>
      <c r="GB8" s="55">
        <f>SUMIFS('Awards Summary'!$H:$H,'Awards Summary'!$B:$B,$C8,'Awards Summary'!$J:$J,"RPCI")</f>
        <v>0</v>
      </c>
      <c r="GC8" s="55">
        <f>SUMIFS('Disbursements Summary'!$E:$E,'Disbursements Summary'!$C:$C,$C8,'Disbursements Summary'!$A:$A,"RPCI")</f>
        <v>0</v>
      </c>
      <c r="GD8" s="55">
        <f>SUMIFS('Awards Summary'!$H:$H,'Awards Summary'!$B:$B,$C8,'Awards Summary'!$J:$J,"SMDA")</f>
        <v>0</v>
      </c>
      <c r="GE8" s="55">
        <f>SUMIFS('Disbursements Summary'!$E:$E,'Disbursements Summary'!$C:$C,$C8,'Disbursements Summary'!$A:$A,"SMDA")</f>
        <v>0</v>
      </c>
      <c r="GF8" s="55">
        <f>SUMIFS('Awards Summary'!$H:$H,'Awards Summary'!$B:$B,$C8,'Awards Summary'!$J:$J,"SCOC")</f>
        <v>0</v>
      </c>
      <c r="GG8" s="55">
        <f>SUMIFS('Disbursements Summary'!$E:$E,'Disbursements Summary'!$C:$C,$C8,'Disbursements Summary'!$A:$A,"SCOC")</f>
        <v>0</v>
      </c>
      <c r="GH8" s="55">
        <f>SUMIFS('Awards Summary'!$H:$H,'Awards Summary'!$B:$B,$C8,'Awards Summary'!$J:$J,"SUCF")</f>
        <v>0</v>
      </c>
      <c r="GI8" s="55">
        <f>SUMIFS('Disbursements Summary'!$E:$E,'Disbursements Summary'!$C:$C,$C8,'Disbursements Summary'!$A:$A,"SUCF")</f>
        <v>0</v>
      </c>
      <c r="GJ8" s="55">
        <f>SUMIFS('Awards Summary'!$H:$H,'Awards Summary'!$B:$B,$C8,'Awards Summary'!$J:$J,"SUNY")</f>
        <v>0</v>
      </c>
      <c r="GK8" s="55">
        <f>SUMIFS('Disbursements Summary'!$E:$E,'Disbursements Summary'!$C:$C,$C8,'Disbursements Summary'!$A:$A,"SUNY")</f>
        <v>0</v>
      </c>
      <c r="GL8" s="55">
        <f>SUMIFS('Awards Summary'!$H:$H,'Awards Summary'!$B:$B,$C8,'Awards Summary'!$J:$J,"SRAA")</f>
        <v>0</v>
      </c>
      <c r="GM8" s="55">
        <f>SUMIFS('Disbursements Summary'!$E:$E,'Disbursements Summary'!$C:$C,$C8,'Disbursements Summary'!$A:$A,"SRAA")</f>
        <v>0</v>
      </c>
      <c r="GN8" s="55">
        <f>SUMIFS('Awards Summary'!$H:$H,'Awards Summary'!$B:$B,$C8,'Awards Summary'!$J:$J,"UNDC")</f>
        <v>0</v>
      </c>
      <c r="GO8" s="55">
        <f>SUMIFS('Disbursements Summary'!$E:$E,'Disbursements Summary'!$C:$C,$C8,'Disbursements Summary'!$A:$A,"UNDC")</f>
        <v>0</v>
      </c>
      <c r="GP8" s="55">
        <f>SUMIFS('Awards Summary'!$H:$H,'Awards Summary'!$B:$B,$C8,'Awards Summary'!$J:$J,"MVWA")</f>
        <v>0</v>
      </c>
      <c r="GQ8" s="55">
        <f>SUMIFS('Disbursements Summary'!$E:$E,'Disbursements Summary'!$C:$C,$C8,'Disbursements Summary'!$A:$A,"MVWA")</f>
        <v>0</v>
      </c>
      <c r="GR8" s="55">
        <f>SUMIFS('Awards Summary'!$H:$H,'Awards Summary'!$B:$B,$C8,'Awards Summary'!$J:$J,"WMC")</f>
        <v>0</v>
      </c>
      <c r="GS8" s="55">
        <f>SUMIFS('Disbursements Summary'!$E:$E,'Disbursements Summary'!$C:$C,$C8,'Disbursements Summary'!$A:$A,"WMC")</f>
        <v>0</v>
      </c>
      <c r="GT8" s="55">
        <f>SUMIFS('Awards Summary'!$H:$H,'Awards Summary'!$B:$B,$C8,'Awards Summary'!$J:$J,"WCB")</f>
        <v>0</v>
      </c>
      <c r="GU8" s="55">
        <f>SUMIFS('Disbursements Summary'!$E:$E,'Disbursements Summary'!$C:$C,$C8,'Disbursements Summary'!$A:$A,"WCB")</f>
        <v>0</v>
      </c>
      <c r="GV8" s="32">
        <f t="shared" si="1"/>
        <v>0</v>
      </c>
      <c r="GW8" s="32">
        <f t="shared" si="2"/>
        <v>0</v>
      </c>
      <c r="GX8" s="30" t="b">
        <f t="shared" si="3"/>
        <v>1</v>
      </c>
      <c r="GY8" s="30" t="b">
        <f t="shared" si="4"/>
        <v>1</v>
      </c>
    </row>
    <row r="9" spans="1:207" s="30" customFormat="1">
      <c r="A9" s="22" t="str">
        <f t="shared" si="0"/>
        <v/>
      </c>
      <c r="B9" s="40" t="s">
        <v>49</v>
      </c>
      <c r="C9" s="16">
        <v>141014</v>
      </c>
      <c r="D9" s="26">
        <f>COUNTIF('Awards Summary'!B:B,"141014")</f>
        <v>0</v>
      </c>
      <c r="E9" s="45">
        <f>SUMIFS('Awards Summary'!H:H,'Awards Summary'!B:B,"141014")</f>
        <v>0</v>
      </c>
      <c r="F9" s="46">
        <f>SUMIFS('Disbursements Summary'!E:E,'Disbursements Summary'!C:C, "141014")</f>
        <v>0</v>
      </c>
      <c r="H9" s="55">
        <f>SUMIFS('Awards Summary'!$H:$H,'Awards Summary'!$B:$B,$C9,'Awards Summary'!$J:$J,"APA")</f>
        <v>0</v>
      </c>
      <c r="I9" s="55">
        <f>SUMIFS('Disbursements Summary'!$E:$E,'Disbursements Summary'!$C:$C,$C9,'Disbursements Summary'!$A:$A,"APA")</f>
        <v>0</v>
      </c>
      <c r="J9" s="55">
        <f>SUMIFS('Awards Summary'!$H:$H,'Awards Summary'!$B:$B,$C9,'Awards Summary'!$J:$J,"Ag&amp;Horse")</f>
        <v>0</v>
      </c>
      <c r="K9" s="55">
        <f>SUMIFS('Disbursements Summary'!$E:$E,'Disbursements Summary'!$C:$C,$C9,'Disbursements Summary'!$A:$A,"Ag&amp;Horse")</f>
        <v>0</v>
      </c>
      <c r="L9" s="55">
        <f>SUMIFS('Awards Summary'!$H:$H,'Awards Summary'!$B:$B,$C9,'Awards Summary'!$J:$J,"ACAA")</f>
        <v>0</v>
      </c>
      <c r="M9" s="55">
        <f>SUMIFS('Disbursements Summary'!$E:$E,'Disbursements Summary'!$C:$C,$C9,'Disbursements Summary'!$A:$A,"ACAA")</f>
        <v>0</v>
      </c>
      <c r="N9" s="55">
        <f>SUMIFS('Awards Summary'!$H:$H,'Awards Summary'!$B:$B,$C9,'Awards Summary'!$J:$J,"PortAlbany")</f>
        <v>0</v>
      </c>
      <c r="O9" s="55">
        <f>SUMIFS('Disbursements Summary'!$E:$E,'Disbursements Summary'!$C:$C,$C9,'Disbursements Summary'!$A:$A,"PortAlbany")</f>
        <v>0</v>
      </c>
      <c r="P9" s="55">
        <f>SUMIFS('Awards Summary'!$H:$H,'Awards Summary'!$B:$B,$C9,'Awards Summary'!$J:$J,"SLA")</f>
        <v>0</v>
      </c>
      <c r="Q9" s="55">
        <f>SUMIFS('Disbursements Summary'!$E:$E,'Disbursements Summary'!$C:$C,$C9,'Disbursements Summary'!$A:$A,"SLA")</f>
        <v>0</v>
      </c>
      <c r="R9" s="55">
        <f>SUMIFS('Awards Summary'!$H:$H,'Awards Summary'!$B:$B,$C9,'Awards Summary'!$J:$J,"BPCA")</f>
        <v>0</v>
      </c>
      <c r="S9" s="55">
        <f>SUMIFS('Disbursements Summary'!$E:$E,'Disbursements Summary'!$C:$C,$C9,'Disbursements Summary'!$A:$A,"BPCA")</f>
        <v>0</v>
      </c>
      <c r="T9" s="55">
        <f>SUMIFS('Awards Summary'!$H:$H,'Awards Summary'!$B:$B,$C9,'Awards Summary'!$J:$J,"ELECTIONS")</f>
        <v>0</v>
      </c>
      <c r="U9" s="55">
        <f>SUMIFS('Disbursements Summary'!$E:$E,'Disbursements Summary'!$C:$C,$C9,'Disbursements Summary'!$A:$A,"ELECTIONS")</f>
        <v>0</v>
      </c>
      <c r="V9" s="55">
        <f>SUMIFS('Awards Summary'!$H:$H,'Awards Summary'!$B:$B,$C9,'Awards Summary'!$J:$J,"BFSA")</f>
        <v>0</v>
      </c>
      <c r="W9" s="55">
        <f>SUMIFS('Disbursements Summary'!$E:$E,'Disbursements Summary'!$C:$C,$C9,'Disbursements Summary'!$A:$A,"BFSA")</f>
        <v>0</v>
      </c>
      <c r="X9" s="55">
        <f>SUMIFS('Awards Summary'!$H:$H,'Awards Summary'!$B:$B,$C9,'Awards Summary'!$J:$J,"CDTA")</f>
        <v>0</v>
      </c>
      <c r="Y9" s="55">
        <f>SUMIFS('Disbursements Summary'!$E:$E,'Disbursements Summary'!$C:$C,$C9,'Disbursements Summary'!$A:$A,"CDTA")</f>
        <v>0</v>
      </c>
      <c r="Z9" s="55">
        <f>SUMIFS('Awards Summary'!$H:$H,'Awards Summary'!$B:$B,$C9,'Awards Summary'!$J:$J,"CCWSA")</f>
        <v>0</v>
      </c>
      <c r="AA9" s="55">
        <f>SUMIFS('Disbursements Summary'!$E:$E,'Disbursements Summary'!$C:$C,$C9,'Disbursements Summary'!$A:$A,"CCWSA")</f>
        <v>0</v>
      </c>
      <c r="AB9" s="55">
        <f>SUMIFS('Awards Summary'!$H:$H,'Awards Summary'!$B:$B,$C9,'Awards Summary'!$J:$J,"CNYRTA")</f>
        <v>0</v>
      </c>
      <c r="AC9" s="55">
        <f>SUMIFS('Disbursements Summary'!$E:$E,'Disbursements Summary'!$C:$C,$C9,'Disbursements Summary'!$A:$A,"CNYRTA")</f>
        <v>0</v>
      </c>
      <c r="AD9" s="55">
        <f>SUMIFS('Awards Summary'!$H:$H,'Awards Summary'!$B:$B,$C9,'Awards Summary'!$J:$J,"CUCF")</f>
        <v>0</v>
      </c>
      <c r="AE9" s="55">
        <f>SUMIFS('Disbursements Summary'!$E:$E,'Disbursements Summary'!$C:$C,$C9,'Disbursements Summary'!$A:$A,"CUCF")</f>
        <v>0</v>
      </c>
      <c r="AF9" s="55">
        <f>SUMIFS('Awards Summary'!$H:$H,'Awards Summary'!$B:$B,$C9,'Awards Summary'!$J:$J,"CUNY")</f>
        <v>0</v>
      </c>
      <c r="AG9" s="55">
        <f>SUMIFS('Disbursements Summary'!$E:$E,'Disbursements Summary'!$C:$C,$C9,'Disbursements Summary'!$A:$A,"CUNY")</f>
        <v>0</v>
      </c>
      <c r="AH9" s="55">
        <f>SUMIFS('Awards Summary'!$H:$H,'Awards Summary'!$B:$B,$C9,'Awards Summary'!$J:$J,"ARTS")</f>
        <v>0</v>
      </c>
      <c r="AI9" s="55">
        <f>SUMIFS('Disbursements Summary'!$E:$E,'Disbursements Summary'!$C:$C,$C9,'Disbursements Summary'!$A:$A,"ARTS")</f>
        <v>0</v>
      </c>
      <c r="AJ9" s="55">
        <f>SUMIFS('Awards Summary'!$H:$H,'Awards Summary'!$B:$B,$C9,'Awards Summary'!$J:$J,"AG&amp;MKTS")</f>
        <v>0</v>
      </c>
      <c r="AK9" s="55">
        <f>SUMIFS('Disbursements Summary'!$E:$E,'Disbursements Summary'!$C:$C,$C9,'Disbursements Summary'!$A:$A,"AG&amp;MKTS")</f>
        <v>0</v>
      </c>
      <c r="AL9" s="55">
        <f>SUMIFS('Awards Summary'!$H:$H,'Awards Summary'!$B:$B,$C9,'Awards Summary'!$J:$J,"CS")</f>
        <v>0</v>
      </c>
      <c r="AM9" s="55">
        <f>SUMIFS('Disbursements Summary'!$E:$E,'Disbursements Summary'!$C:$C,$C9,'Disbursements Summary'!$A:$A,"CS")</f>
        <v>0</v>
      </c>
      <c r="AN9" s="55">
        <f>SUMIFS('Awards Summary'!$H:$H,'Awards Summary'!$B:$B,$C9,'Awards Summary'!$J:$J,"DOCCS")</f>
        <v>0</v>
      </c>
      <c r="AO9" s="55">
        <f>SUMIFS('Disbursements Summary'!$E:$E,'Disbursements Summary'!$C:$C,$C9,'Disbursements Summary'!$A:$A,"DOCCS")</f>
        <v>0</v>
      </c>
      <c r="AP9" s="55">
        <f>SUMIFS('Awards Summary'!$H:$H,'Awards Summary'!$B:$B,$C9,'Awards Summary'!$J:$J,"DED")</f>
        <v>0</v>
      </c>
      <c r="AQ9" s="55">
        <f>SUMIFS('Disbursements Summary'!$E:$E,'Disbursements Summary'!$C:$C,$C9,'Disbursements Summary'!$A:$A,"DED")</f>
        <v>0</v>
      </c>
      <c r="AR9" s="55">
        <f>SUMIFS('Awards Summary'!$H:$H,'Awards Summary'!$B:$B,$C9,'Awards Summary'!$J:$J,"DEC")</f>
        <v>0</v>
      </c>
      <c r="AS9" s="55">
        <f>SUMIFS('Disbursements Summary'!$E:$E,'Disbursements Summary'!$C:$C,$C9,'Disbursements Summary'!$A:$A,"DEC")</f>
        <v>0</v>
      </c>
      <c r="AT9" s="55">
        <f>SUMIFS('Awards Summary'!$H:$H,'Awards Summary'!$B:$B,$C9,'Awards Summary'!$J:$J,"DFS")</f>
        <v>0</v>
      </c>
      <c r="AU9" s="55">
        <f>SUMIFS('Disbursements Summary'!$E:$E,'Disbursements Summary'!$C:$C,$C9,'Disbursements Summary'!$A:$A,"DFS")</f>
        <v>0</v>
      </c>
      <c r="AV9" s="55">
        <f>SUMIFS('Awards Summary'!$H:$H,'Awards Summary'!$B:$B,$C9,'Awards Summary'!$J:$J,"DOH")</f>
        <v>0</v>
      </c>
      <c r="AW9" s="55">
        <f>SUMIFS('Disbursements Summary'!$E:$E,'Disbursements Summary'!$C:$C,$C9,'Disbursements Summary'!$A:$A,"DOH")</f>
        <v>0</v>
      </c>
      <c r="AX9" s="55">
        <f>SUMIFS('Awards Summary'!$H:$H,'Awards Summary'!$B:$B,$C9,'Awards Summary'!$J:$J,"DOL")</f>
        <v>0</v>
      </c>
      <c r="AY9" s="55">
        <f>SUMIFS('Disbursements Summary'!$E:$E,'Disbursements Summary'!$C:$C,$C9,'Disbursements Summary'!$A:$A,"DOL")</f>
        <v>0</v>
      </c>
      <c r="AZ9" s="55">
        <f>SUMIFS('Awards Summary'!$H:$H,'Awards Summary'!$B:$B,$C9,'Awards Summary'!$J:$J,"DMV")</f>
        <v>0</v>
      </c>
      <c r="BA9" s="55">
        <f>SUMIFS('Disbursements Summary'!$E:$E,'Disbursements Summary'!$C:$C,$C9,'Disbursements Summary'!$A:$A,"DMV")</f>
        <v>0</v>
      </c>
      <c r="BB9" s="55">
        <f>SUMIFS('Awards Summary'!$H:$H,'Awards Summary'!$B:$B,$C9,'Awards Summary'!$J:$J,"DPS")</f>
        <v>0</v>
      </c>
      <c r="BC9" s="55">
        <f>SUMIFS('Disbursements Summary'!$E:$E,'Disbursements Summary'!$C:$C,$C9,'Disbursements Summary'!$A:$A,"DPS")</f>
        <v>0</v>
      </c>
      <c r="BD9" s="55">
        <f>SUMIFS('Awards Summary'!$H:$H,'Awards Summary'!$B:$B,$C9,'Awards Summary'!$J:$J,"DOS")</f>
        <v>0</v>
      </c>
      <c r="BE9" s="55">
        <f>SUMIFS('Disbursements Summary'!$E:$E,'Disbursements Summary'!$C:$C,$C9,'Disbursements Summary'!$A:$A,"DOS")</f>
        <v>0</v>
      </c>
      <c r="BF9" s="55">
        <f>SUMIFS('Awards Summary'!$H:$H,'Awards Summary'!$B:$B,$C9,'Awards Summary'!$J:$J,"TAX")</f>
        <v>0</v>
      </c>
      <c r="BG9" s="55">
        <f>SUMIFS('Disbursements Summary'!$E:$E,'Disbursements Summary'!$C:$C,$C9,'Disbursements Summary'!$A:$A,"TAX")</f>
        <v>0</v>
      </c>
      <c r="BH9" s="55">
        <f>SUMIFS('Awards Summary'!$H:$H,'Awards Summary'!$B:$B,$C9,'Awards Summary'!$J:$J,"DOT")</f>
        <v>0</v>
      </c>
      <c r="BI9" s="55">
        <f>SUMIFS('Disbursements Summary'!$E:$E,'Disbursements Summary'!$C:$C,$C9,'Disbursements Summary'!$A:$A,"DOT")</f>
        <v>0</v>
      </c>
      <c r="BJ9" s="55">
        <f>SUMIFS('Awards Summary'!$H:$H,'Awards Summary'!$B:$B,$C9,'Awards Summary'!$J:$J,"DANC")</f>
        <v>0</v>
      </c>
      <c r="BK9" s="55">
        <f>SUMIFS('Disbursements Summary'!$E:$E,'Disbursements Summary'!$C:$C,$C9,'Disbursements Summary'!$A:$A,"DANC")</f>
        <v>0</v>
      </c>
      <c r="BL9" s="55">
        <f>SUMIFS('Awards Summary'!$H:$H,'Awards Summary'!$B:$B,$C9,'Awards Summary'!$J:$J,"DOB")</f>
        <v>0</v>
      </c>
      <c r="BM9" s="55">
        <f>SUMIFS('Disbursements Summary'!$E:$E,'Disbursements Summary'!$C:$C,$C9,'Disbursements Summary'!$A:$A,"DOB")</f>
        <v>0</v>
      </c>
      <c r="BN9" s="55">
        <f>SUMIFS('Awards Summary'!$H:$H,'Awards Summary'!$B:$B,$C9,'Awards Summary'!$J:$J,"DCJS")</f>
        <v>0</v>
      </c>
      <c r="BO9" s="55">
        <f>SUMIFS('Disbursements Summary'!$E:$E,'Disbursements Summary'!$C:$C,$C9,'Disbursements Summary'!$A:$A,"DCJS")</f>
        <v>0</v>
      </c>
      <c r="BP9" s="55">
        <f>SUMIFS('Awards Summary'!$H:$H,'Awards Summary'!$B:$B,$C9,'Awards Summary'!$J:$J,"DHSES")</f>
        <v>0</v>
      </c>
      <c r="BQ9" s="55">
        <f>SUMIFS('Disbursements Summary'!$E:$E,'Disbursements Summary'!$C:$C,$C9,'Disbursements Summary'!$A:$A,"DHSES")</f>
        <v>0</v>
      </c>
      <c r="BR9" s="55">
        <f>SUMIFS('Awards Summary'!$H:$H,'Awards Summary'!$B:$B,$C9,'Awards Summary'!$J:$J,"DHR")</f>
        <v>0</v>
      </c>
      <c r="BS9" s="55">
        <f>SUMIFS('Disbursements Summary'!$E:$E,'Disbursements Summary'!$C:$C,$C9,'Disbursements Summary'!$A:$A,"DHR")</f>
        <v>0</v>
      </c>
      <c r="BT9" s="55">
        <f>SUMIFS('Awards Summary'!$H:$H,'Awards Summary'!$B:$B,$C9,'Awards Summary'!$J:$J,"DMNA")</f>
        <v>0</v>
      </c>
      <c r="BU9" s="55">
        <f>SUMIFS('Disbursements Summary'!$E:$E,'Disbursements Summary'!$C:$C,$C9,'Disbursements Summary'!$A:$A,"DMNA")</f>
        <v>0</v>
      </c>
      <c r="BV9" s="55">
        <f>SUMIFS('Awards Summary'!$H:$H,'Awards Summary'!$B:$B,$C9,'Awards Summary'!$J:$J,"TROOPERS")</f>
        <v>0</v>
      </c>
      <c r="BW9" s="55">
        <f>SUMIFS('Disbursements Summary'!$E:$E,'Disbursements Summary'!$C:$C,$C9,'Disbursements Summary'!$A:$A,"TROOPERS")</f>
        <v>0</v>
      </c>
      <c r="BX9" s="55">
        <f>SUMIFS('Awards Summary'!$H:$H,'Awards Summary'!$B:$B,$C9,'Awards Summary'!$J:$J,"DVA")</f>
        <v>0</v>
      </c>
      <c r="BY9" s="55">
        <f>SUMIFS('Disbursements Summary'!$E:$E,'Disbursements Summary'!$C:$C,$C9,'Disbursements Summary'!$A:$A,"DVA")</f>
        <v>0</v>
      </c>
      <c r="BZ9" s="55">
        <f>SUMIFS('Awards Summary'!$H:$H,'Awards Summary'!$B:$B,$C9,'Awards Summary'!$J:$J,"DASNY")</f>
        <v>0</v>
      </c>
      <c r="CA9" s="55">
        <f>SUMIFS('Disbursements Summary'!$E:$E,'Disbursements Summary'!$C:$C,$C9,'Disbursements Summary'!$A:$A,"DASNY")</f>
        <v>0</v>
      </c>
      <c r="CB9" s="55">
        <f>SUMIFS('Awards Summary'!$H:$H,'Awards Summary'!$B:$B,$C9,'Awards Summary'!$J:$J,"EGG")</f>
        <v>0</v>
      </c>
      <c r="CC9" s="55">
        <f>SUMIFS('Disbursements Summary'!$E:$E,'Disbursements Summary'!$C:$C,$C9,'Disbursements Summary'!$A:$A,"EGG")</f>
        <v>0</v>
      </c>
      <c r="CD9" s="55">
        <f>SUMIFS('Awards Summary'!$H:$H,'Awards Summary'!$B:$B,$C9,'Awards Summary'!$J:$J,"ESD")</f>
        <v>0</v>
      </c>
      <c r="CE9" s="55">
        <f>SUMIFS('Disbursements Summary'!$E:$E,'Disbursements Summary'!$C:$C,$C9,'Disbursements Summary'!$A:$A,"ESD")</f>
        <v>0</v>
      </c>
      <c r="CF9" s="55">
        <f>SUMIFS('Awards Summary'!$H:$H,'Awards Summary'!$B:$B,$C9,'Awards Summary'!$J:$J,"EFC")</f>
        <v>0</v>
      </c>
      <c r="CG9" s="55">
        <f>SUMIFS('Disbursements Summary'!$E:$E,'Disbursements Summary'!$C:$C,$C9,'Disbursements Summary'!$A:$A,"EFC")</f>
        <v>0</v>
      </c>
      <c r="CH9" s="55">
        <f>SUMIFS('Awards Summary'!$H:$H,'Awards Summary'!$B:$B,$C9,'Awards Summary'!$J:$J,"ECFSA")</f>
        <v>0</v>
      </c>
      <c r="CI9" s="55">
        <f>SUMIFS('Disbursements Summary'!$E:$E,'Disbursements Summary'!$C:$C,$C9,'Disbursements Summary'!$A:$A,"ECFSA")</f>
        <v>0</v>
      </c>
      <c r="CJ9" s="55">
        <f>SUMIFS('Awards Summary'!$H:$H,'Awards Summary'!$B:$B,$C9,'Awards Summary'!$J:$J,"ECMC")</f>
        <v>0</v>
      </c>
      <c r="CK9" s="55">
        <f>SUMIFS('Disbursements Summary'!$E:$E,'Disbursements Summary'!$C:$C,$C9,'Disbursements Summary'!$A:$A,"ECMC")</f>
        <v>0</v>
      </c>
      <c r="CL9" s="55">
        <f>SUMIFS('Awards Summary'!$H:$H,'Awards Summary'!$B:$B,$C9,'Awards Summary'!$J:$J,"CHAMBER")</f>
        <v>0</v>
      </c>
      <c r="CM9" s="55">
        <f>SUMIFS('Disbursements Summary'!$E:$E,'Disbursements Summary'!$C:$C,$C9,'Disbursements Summary'!$A:$A,"CHAMBER")</f>
        <v>0</v>
      </c>
      <c r="CN9" s="55">
        <f>SUMIFS('Awards Summary'!$H:$H,'Awards Summary'!$B:$B,$C9,'Awards Summary'!$J:$J,"GAMING")</f>
        <v>0</v>
      </c>
      <c r="CO9" s="55">
        <f>SUMIFS('Disbursements Summary'!$E:$E,'Disbursements Summary'!$C:$C,$C9,'Disbursements Summary'!$A:$A,"GAMING")</f>
        <v>0</v>
      </c>
      <c r="CP9" s="55">
        <f>SUMIFS('Awards Summary'!$H:$H,'Awards Summary'!$B:$B,$C9,'Awards Summary'!$J:$J,"GOER")</f>
        <v>0</v>
      </c>
      <c r="CQ9" s="55">
        <f>SUMIFS('Disbursements Summary'!$E:$E,'Disbursements Summary'!$C:$C,$C9,'Disbursements Summary'!$A:$A,"GOER")</f>
        <v>0</v>
      </c>
      <c r="CR9" s="55">
        <f>SUMIFS('Awards Summary'!$H:$H,'Awards Summary'!$B:$B,$C9,'Awards Summary'!$J:$J,"HESC")</f>
        <v>0</v>
      </c>
      <c r="CS9" s="55">
        <f>SUMIFS('Disbursements Summary'!$E:$E,'Disbursements Summary'!$C:$C,$C9,'Disbursements Summary'!$A:$A,"HESC")</f>
        <v>0</v>
      </c>
      <c r="CT9" s="55">
        <f>SUMIFS('Awards Summary'!$H:$H,'Awards Summary'!$B:$B,$C9,'Awards Summary'!$J:$J,"GOSR")</f>
        <v>0</v>
      </c>
      <c r="CU9" s="55">
        <f>SUMIFS('Disbursements Summary'!$E:$E,'Disbursements Summary'!$C:$C,$C9,'Disbursements Summary'!$A:$A,"GOSR")</f>
        <v>0</v>
      </c>
      <c r="CV9" s="55">
        <f>SUMIFS('Awards Summary'!$H:$H,'Awards Summary'!$B:$B,$C9,'Awards Summary'!$J:$J,"HRPT")</f>
        <v>0</v>
      </c>
      <c r="CW9" s="55">
        <f>SUMIFS('Disbursements Summary'!$E:$E,'Disbursements Summary'!$C:$C,$C9,'Disbursements Summary'!$A:$A,"HRPT")</f>
        <v>0</v>
      </c>
      <c r="CX9" s="55">
        <f>SUMIFS('Awards Summary'!$H:$H,'Awards Summary'!$B:$B,$C9,'Awards Summary'!$J:$J,"HRBRRD")</f>
        <v>0</v>
      </c>
      <c r="CY9" s="55">
        <f>SUMIFS('Disbursements Summary'!$E:$E,'Disbursements Summary'!$C:$C,$C9,'Disbursements Summary'!$A:$A,"HRBRRD")</f>
        <v>0</v>
      </c>
      <c r="CZ9" s="55">
        <f>SUMIFS('Awards Summary'!$H:$H,'Awards Summary'!$B:$B,$C9,'Awards Summary'!$J:$J,"ITS")</f>
        <v>0</v>
      </c>
      <c r="DA9" s="55">
        <f>SUMIFS('Disbursements Summary'!$E:$E,'Disbursements Summary'!$C:$C,$C9,'Disbursements Summary'!$A:$A,"ITS")</f>
        <v>0</v>
      </c>
      <c r="DB9" s="55">
        <f>SUMIFS('Awards Summary'!$H:$H,'Awards Summary'!$B:$B,$C9,'Awards Summary'!$J:$J,"JAVITS")</f>
        <v>0</v>
      </c>
      <c r="DC9" s="55">
        <f>SUMIFS('Disbursements Summary'!$E:$E,'Disbursements Summary'!$C:$C,$C9,'Disbursements Summary'!$A:$A,"JAVITS")</f>
        <v>0</v>
      </c>
      <c r="DD9" s="55">
        <f>SUMIFS('Awards Summary'!$H:$H,'Awards Summary'!$B:$B,$C9,'Awards Summary'!$J:$J,"JCOPE")</f>
        <v>0</v>
      </c>
      <c r="DE9" s="55">
        <f>SUMIFS('Disbursements Summary'!$E:$E,'Disbursements Summary'!$C:$C,$C9,'Disbursements Summary'!$A:$A,"JCOPE")</f>
        <v>0</v>
      </c>
      <c r="DF9" s="55">
        <f>SUMIFS('Awards Summary'!$H:$H,'Awards Summary'!$B:$B,$C9,'Awards Summary'!$J:$J,"JUSTICE")</f>
        <v>0</v>
      </c>
      <c r="DG9" s="55">
        <f>SUMIFS('Disbursements Summary'!$E:$E,'Disbursements Summary'!$C:$C,$C9,'Disbursements Summary'!$A:$A,"JUSTICE")</f>
        <v>0</v>
      </c>
      <c r="DH9" s="55">
        <f>SUMIFS('Awards Summary'!$H:$H,'Awards Summary'!$B:$B,$C9,'Awards Summary'!$J:$J,"LCWSA")</f>
        <v>0</v>
      </c>
      <c r="DI9" s="55">
        <f>SUMIFS('Disbursements Summary'!$E:$E,'Disbursements Summary'!$C:$C,$C9,'Disbursements Summary'!$A:$A,"LCWSA")</f>
        <v>0</v>
      </c>
      <c r="DJ9" s="55">
        <f>SUMIFS('Awards Summary'!$H:$H,'Awards Summary'!$B:$B,$C9,'Awards Summary'!$J:$J,"LIPA")</f>
        <v>0</v>
      </c>
      <c r="DK9" s="55">
        <f>SUMIFS('Disbursements Summary'!$E:$E,'Disbursements Summary'!$C:$C,$C9,'Disbursements Summary'!$A:$A,"LIPA")</f>
        <v>0</v>
      </c>
      <c r="DL9" s="55">
        <f>SUMIFS('Awards Summary'!$H:$H,'Awards Summary'!$B:$B,$C9,'Awards Summary'!$J:$J,"MTA")</f>
        <v>0</v>
      </c>
      <c r="DM9" s="55">
        <f>SUMIFS('Disbursements Summary'!$E:$E,'Disbursements Summary'!$C:$C,$C9,'Disbursements Summary'!$A:$A,"MTA")</f>
        <v>0</v>
      </c>
      <c r="DN9" s="55">
        <f>SUMIFS('Awards Summary'!$H:$H,'Awards Summary'!$B:$B,$C9,'Awards Summary'!$J:$J,"NIFA")</f>
        <v>0</v>
      </c>
      <c r="DO9" s="55">
        <f>SUMIFS('Disbursements Summary'!$E:$E,'Disbursements Summary'!$C:$C,$C9,'Disbursements Summary'!$A:$A,"NIFA")</f>
        <v>0</v>
      </c>
      <c r="DP9" s="55">
        <f>SUMIFS('Awards Summary'!$H:$H,'Awards Summary'!$B:$B,$C9,'Awards Summary'!$J:$J,"NHCC")</f>
        <v>0</v>
      </c>
      <c r="DQ9" s="55">
        <f>SUMIFS('Disbursements Summary'!$E:$E,'Disbursements Summary'!$C:$C,$C9,'Disbursements Summary'!$A:$A,"NHCC")</f>
        <v>0</v>
      </c>
      <c r="DR9" s="55">
        <f>SUMIFS('Awards Summary'!$H:$H,'Awards Summary'!$B:$B,$C9,'Awards Summary'!$J:$J,"NHT")</f>
        <v>0</v>
      </c>
      <c r="DS9" s="55">
        <f>SUMIFS('Disbursements Summary'!$E:$E,'Disbursements Summary'!$C:$C,$C9,'Disbursements Summary'!$A:$A,"NHT")</f>
        <v>0</v>
      </c>
      <c r="DT9" s="55">
        <f>SUMIFS('Awards Summary'!$H:$H,'Awards Summary'!$B:$B,$C9,'Awards Summary'!$J:$J,"NYPA")</f>
        <v>0</v>
      </c>
      <c r="DU9" s="55">
        <f>SUMIFS('Disbursements Summary'!$E:$E,'Disbursements Summary'!$C:$C,$C9,'Disbursements Summary'!$A:$A,"NYPA")</f>
        <v>0</v>
      </c>
      <c r="DV9" s="55">
        <f>SUMIFS('Awards Summary'!$H:$H,'Awards Summary'!$B:$B,$C9,'Awards Summary'!$J:$J,"NYSBA")</f>
        <v>0</v>
      </c>
      <c r="DW9" s="55">
        <f>SUMIFS('Disbursements Summary'!$E:$E,'Disbursements Summary'!$C:$C,$C9,'Disbursements Summary'!$A:$A,"NYSBA")</f>
        <v>0</v>
      </c>
      <c r="DX9" s="55">
        <f>SUMIFS('Awards Summary'!$H:$H,'Awards Summary'!$B:$B,$C9,'Awards Summary'!$J:$J,"NYSERDA")</f>
        <v>0</v>
      </c>
      <c r="DY9" s="55">
        <f>SUMIFS('Disbursements Summary'!$E:$E,'Disbursements Summary'!$C:$C,$C9,'Disbursements Summary'!$A:$A,"NYSERDA")</f>
        <v>0</v>
      </c>
      <c r="DZ9" s="55">
        <f>SUMIFS('Awards Summary'!$H:$H,'Awards Summary'!$B:$B,$C9,'Awards Summary'!$J:$J,"DHCR")</f>
        <v>0</v>
      </c>
      <c r="EA9" s="55">
        <f>SUMIFS('Disbursements Summary'!$E:$E,'Disbursements Summary'!$C:$C,$C9,'Disbursements Summary'!$A:$A,"DHCR")</f>
        <v>0</v>
      </c>
      <c r="EB9" s="55">
        <f>SUMIFS('Awards Summary'!$H:$H,'Awards Summary'!$B:$B,$C9,'Awards Summary'!$J:$J,"HFA")</f>
        <v>0</v>
      </c>
      <c r="EC9" s="55">
        <f>SUMIFS('Disbursements Summary'!$E:$E,'Disbursements Summary'!$C:$C,$C9,'Disbursements Summary'!$A:$A,"HFA")</f>
        <v>0</v>
      </c>
      <c r="ED9" s="55">
        <f>SUMIFS('Awards Summary'!$H:$H,'Awards Summary'!$B:$B,$C9,'Awards Summary'!$J:$J,"NYSIF")</f>
        <v>0</v>
      </c>
      <c r="EE9" s="55">
        <f>SUMIFS('Disbursements Summary'!$E:$E,'Disbursements Summary'!$C:$C,$C9,'Disbursements Summary'!$A:$A,"NYSIF")</f>
        <v>0</v>
      </c>
      <c r="EF9" s="55">
        <f>SUMIFS('Awards Summary'!$H:$H,'Awards Summary'!$B:$B,$C9,'Awards Summary'!$J:$J,"NYBREDS")</f>
        <v>0</v>
      </c>
      <c r="EG9" s="55">
        <f>SUMIFS('Disbursements Summary'!$E:$E,'Disbursements Summary'!$C:$C,$C9,'Disbursements Summary'!$A:$A,"NYBREDS")</f>
        <v>0</v>
      </c>
      <c r="EH9" s="55">
        <f>SUMIFS('Awards Summary'!$H:$H,'Awards Summary'!$B:$B,$C9,'Awards Summary'!$J:$J,"NYSTA")</f>
        <v>0</v>
      </c>
      <c r="EI9" s="55">
        <f>SUMIFS('Disbursements Summary'!$E:$E,'Disbursements Summary'!$C:$C,$C9,'Disbursements Summary'!$A:$A,"NYSTA")</f>
        <v>0</v>
      </c>
      <c r="EJ9" s="55">
        <f>SUMIFS('Awards Summary'!$H:$H,'Awards Summary'!$B:$B,$C9,'Awards Summary'!$J:$J,"NFWB")</f>
        <v>0</v>
      </c>
      <c r="EK9" s="55">
        <f>SUMIFS('Disbursements Summary'!$E:$E,'Disbursements Summary'!$C:$C,$C9,'Disbursements Summary'!$A:$A,"NFWB")</f>
        <v>0</v>
      </c>
      <c r="EL9" s="55">
        <f>SUMIFS('Awards Summary'!$H:$H,'Awards Summary'!$B:$B,$C9,'Awards Summary'!$J:$J,"NFTA")</f>
        <v>0</v>
      </c>
      <c r="EM9" s="55">
        <f>SUMIFS('Disbursements Summary'!$E:$E,'Disbursements Summary'!$C:$C,$C9,'Disbursements Summary'!$A:$A,"NFTA")</f>
        <v>0</v>
      </c>
      <c r="EN9" s="55">
        <f>SUMIFS('Awards Summary'!$H:$H,'Awards Summary'!$B:$B,$C9,'Awards Summary'!$J:$J,"OPWDD")</f>
        <v>0</v>
      </c>
      <c r="EO9" s="55">
        <f>SUMIFS('Disbursements Summary'!$E:$E,'Disbursements Summary'!$C:$C,$C9,'Disbursements Summary'!$A:$A,"OPWDD")</f>
        <v>0</v>
      </c>
      <c r="EP9" s="55">
        <f>SUMIFS('Awards Summary'!$H:$H,'Awards Summary'!$B:$B,$C9,'Awards Summary'!$J:$J,"AGING")</f>
        <v>0</v>
      </c>
      <c r="EQ9" s="55">
        <f>SUMIFS('Disbursements Summary'!$E:$E,'Disbursements Summary'!$C:$C,$C9,'Disbursements Summary'!$A:$A,"AGING")</f>
        <v>0</v>
      </c>
      <c r="ER9" s="55">
        <f>SUMIFS('Awards Summary'!$H:$H,'Awards Summary'!$B:$B,$C9,'Awards Summary'!$J:$J,"OPDV")</f>
        <v>0</v>
      </c>
      <c r="ES9" s="55">
        <f>SUMIFS('Disbursements Summary'!$E:$E,'Disbursements Summary'!$C:$C,$C9,'Disbursements Summary'!$A:$A,"OPDV")</f>
        <v>0</v>
      </c>
      <c r="ET9" s="55">
        <f>SUMIFS('Awards Summary'!$H:$H,'Awards Summary'!$B:$B,$C9,'Awards Summary'!$J:$J,"OVS")</f>
        <v>0</v>
      </c>
      <c r="EU9" s="55">
        <f>SUMIFS('Disbursements Summary'!$E:$E,'Disbursements Summary'!$C:$C,$C9,'Disbursements Summary'!$A:$A,"OVS")</f>
        <v>0</v>
      </c>
      <c r="EV9" s="55">
        <f>SUMIFS('Awards Summary'!$H:$H,'Awards Summary'!$B:$B,$C9,'Awards Summary'!$J:$J,"OASAS")</f>
        <v>0</v>
      </c>
      <c r="EW9" s="55">
        <f>SUMIFS('Disbursements Summary'!$E:$E,'Disbursements Summary'!$C:$C,$C9,'Disbursements Summary'!$A:$A,"OASAS")</f>
        <v>0</v>
      </c>
      <c r="EX9" s="55">
        <f>SUMIFS('Awards Summary'!$H:$H,'Awards Summary'!$B:$B,$C9,'Awards Summary'!$J:$J,"OCFS")</f>
        <v>0</v>
      </c>
      <c r="EY9" s="55">
        <f>SUMIFS('Disbursements Summary'!$E:$E,'Disbursements Summary'!$C:$C,$C9,'Disbursements Summary'!$A:$A,"OCFS")</f>
        <v>0</v>
      </c>
      <c r="EZ9" s="55">
        <f>SUMIFS('Awards Summary'!$H:$H,'Awards Summary'!$B:$B,$C9,'Awards Summary'!$J:$J,"OGS")</f>
        <v>0</v>
      </c>
      <c r="FA9" s="55">
        <f>SUMIFS('Disbursements Summary'!$E:$E,'Disbursements Summary'!$C:$C,$C9,'Disbursements Summary'!$A:$A,"OGS")</f>
        <v>0</v>
      </c>
      <c r="FB9" s="55">
        <f>SUMIFS('Awards Summary'!$H:$H,'Awards Summary'!$B:$B,$C9,'Awards Summary'!$J:$J,"OMH")</f>
        <v>0</v>
      </c>
      <c r="FC9" s="55">
        <f>SUMIFS('Disbursements Summary'!$E:$E,'Disbursements Summary'!$C:$C,$C9,'Disbursements Summary'!$A:$A,"OMH")</f>
        <v>0</v>
      </c>
      <c r="FD9" s="55">
        <f>SUMIFS('Awards Summary'!$H:$H,'Awards Summary'!$B:$B,$C9,'Awards Summary'!$J:$J,"PARKS")</f>
        <v>0</v>
      </c>
      <c r="FE9" s="55">
        <f>SUMIFS('Disbursements Summary'!$E:$E,'Disbursements Summary'!$C:$C,$C9,'Disbursements Summary'!$A:$A,"PARKS")</f>
        <v>0</v>
      </c>
      <c r="FF9" s="55">
        <f>SUMIFS('Awards Summary'!$H:$H,'Awards Summary'!$B:$B,$C9,'Awards Summary'!$J:$J,"OTDA")</f>
        <v>0</v>
      </c>
      <c r="FG9" s="55">
        <f>SUMIFS('Disbursements Summary'!$E:$E,'Disbursements Summary'!$C:$C,$C9,'Disbursements Summary'!$A:$A,"OTDA")</f>
        <v>0</v>
      </c>
      <c r="FH9" s="55">
        <f>SUMIFS('Awards Summary'!$H:$H,'Awards Summary'!$B:$B,$C9,'Awards Summary'!$J:$J,"OIG")</f>
        <v>0</v>
      </c>
      <c r="FI9" s="55">
        <f>SUMIFS('Disbursements Summary'!$E:$E,'Disbursements Summary'!$C:$C,$C9,'Disbursements Summary'!$A:$A,"OIG")</f>
        <v>0</v>
      </c>
      <c r="FJ9" s="55">
        <f>SUMIFS('Awards Summary'!$H:$H,'Awards Summary'!$B:$B,$C9,'Awards Summary'!$J:$J,"OMIG")</f>
        <v>0</v>
      </c>
      <c r="FK9" s="55">
        <f>SUMIFS('Disbursements Summary'!$E:$E,'Disbursements Summary'!$C:$C,$C9,'Disbursements Summary'!$A:$A,"OMIG")</f>
        <v>0</v>
      </c>
      <c r="FL9" s="55">
        <f>SUMIFS('Awards Summary'!$H:$H,'Awards Summary'!$B:$B,$C9,'Awards Summary'!$J:$J,"OSC")</f>
        <v>0</v>
      </c>
      <c r="FM9" s="55">
        <f>SUMIFS('Disbursements Summary'!$E:$E,'Disbursements Summary'!$C:$C,$C9,'Disbursements Summary'!$A:$A,"OSC")</f>
        <v>0</v>
      </c>
      <c r="FN9" s="55">
        <f>SUMIFS('Awards Summary'!$H:$H,'Awards Summary'!$B:$B,$C9,'Awards Summary'!$J:$J,"OWIG")</f>
        <v>0</v>
      </c>
      <c r="FO9" s="55">
        <f>SUMIFS('Disbursements Summary'!$E:$E,'Disbursements Summary'!$C:$C,$C9,'Disbursements Summary'!$A:$A,"OWIG")</f>
        <v>0</v>
      </c>
      <c r="FP9" s="55">
        <f>SUMIFS('Awards Summary'!$H:$H,'Awards Summary'!$B:$B,$C9,'Awards Summary'!$J:$J,"OGDEN")</f>
        <v>0</v>
      </c>
      <c r="FQ9" s="55">
        <f>SUMIFS('Disbursements Summary'!$E:$E,'Disbursements Summary'!$C:$C,$C9,'Disbursements Summary'!$A:$A,"OGDEN")</f>
        <v>0</v>
      </c>
      <c r="FR9" s="55">
        <f>SUMIFS('Awards Summary'!$H:$H,'Awards Summary'!$B:$B,$C9,'Awards Summary'!$J:$J,"ORDA")</f>
        <v>0</v>
      </c>
      <c r="FS9" s="55">
        <f>SUMIFS('Disbursements Summary'!$E:$E,'Disbursements Summary'!$C:$C,$C9,'Disbursements Summary'!$A:$A,"ORDA")</f>
        <v>0</v>
      </c>
      <c r="FT9" s="55">
        <f>SUMIFS('Awards Summary'!$H:$H,'Awards Summary'!$B:$B,$C9,'Awards Summary'!$J:$J,"OSWEGO")</f>
        <v>0</v>
      </c>
      <c r="FU9" s="55">
        <f>SUMIFS('Disbursements Summary'!$E:$E,'Disbursements Summary'!$C:$C,$C9,'Disbursements Summary'!$A:$A,"OSWEGO")</f>
        <v>0</v>
      </c>
      <c r="FV9" s="55">
        <f>SUMIFS('Awards Summary'!$H:$H,'Awards Summary'!$B:$B,$C9,'Awards Summary'!$J:$J,"PERB")</f>
        <v>0</v>
      </c>
      <c r="FW9" s="55">
        <f>SUMIFS('Disbursements Summary'!$E:$E,'Disbursements Summary'!$C:$C,$C9,'Disbursements Summary'!$A:$A,"PERB")</f>
        <v>0</v>
      </c>
      <c r="FX9" s="55">
        <f>SUMIFS('Awards Summary'!$H:$H,'Awards Summary'!$B:$B,$C9,'Awards Summary'!$J:$J,"RGRTA")</f>
        <v>0</v>
      </c>
      <c r="FY9" s="55">
        <f>SUMIFS('Disbursements Summary'!$E:$E,'Disbursements Summary'!$C:$C,$C9,'Disbursements Summary'!$A:$A,"RGRTA")</f>
        <v>0</v>
      </c>
      <c r="FZ9" s="55">
        <f>SUMIFS('Awards Summary'!$H:$H,'Awards Summary'!$B:$B,$C9,'Awards Summary'!$J:$J,"RIOC")</f>
        <v>0</v>
      </c>
      <c r="GA9" s="55">
        <f>SUMIFS('Disbursements Summary'!$E:$E,'Disbursements Summary'!$C:$C,$C9,'Disbursements Summary'!$A:$A,"RIOC")</f>
        <v>0</v>
      </c>
      <c r="GB9" s="55">
        <f>SUMIFS('Awards Summary'!$H:$H,'Awards Summary'!$B:$B,$C9,'Awards Summary'!$J:$J,"RPCI")</f>
        <v>0</v>
      </c>
      <c r="GC9" s="55">
        <f>SUMIFS('Disbursements Summary'!$E:$E,'Disbursements Summary'!$C:$C,$C9,'Disbursements Summary'!$A:$A,"RPCI")</f>
        <v>0</v>
      </c>
      <c r="GD9" s="55">
        <f>SUMIFS('Awards Summary'!$H:$H,'Awards Summary'!$B:$B,$C9,'Awards Summary'!$J:$J,"SMDA")</f>
        <v>0</v>
      </c>
      <c r="GE9" s="55">
        <f>SUMIFS('Disbursements Summary'!$E:$E,'Disbursements Summary'!$C:$C,$C9,'Disbursements Summary'!$A:$A,"SMDA")</f>
        <v>0</v>
      </c>
      <c r="GF9" s="55">
        <f>SUMIFS('Awards Summary'!$H:$H,'Awards Summary'!$B:$B,$C9,'Awards Summary'!$J:$J,"SCOC")</f>
        <v>0</v>
      </c>
      <c r="GG9" s="55">
        <f>SUMIFS('Disbursements Summary'!$E:$E,'Disbursements Summary'!$C:$C,$C9,'Disbursements Summary'!$A:$A,"SCOC")</f>
        <v>0</v>
      </c>
      <c r="GH9" s="55">
        <f>SUMIFS('Awards Summary'!$H:$H,'Awards Summary'!$B:$B,$C9,'Awards Summary'!$J:$J,"SUCF")</f>
        <v>0</v>
      </c>
      <c r="GI9" s="55">
        <f>SUMIFS('Disbursements Summary'!$E:$E,'Disbursements Summary'!$C:$C,$C9,'Disbursements Summary'!$A:$A,"SUCF")</f>
        <v>0</v>
      </c>
      <c r="GJ9" s="55">
        <f>SUMIFS('Awards Summary'!$H:$H,'Awards Summary'!$B:$B,$C9,'Awards Summary'!$J:$J,"SUNY")</f>
        <v>0</v>
      </c>
      <c r="GK9" s="55">
        <f>SUMIFS('Disbursements Summary'!$E:$E,'Disbursements Summary'!$C:$C,$C9,'Disbursements Summary'!$A:$A,"SUNY")</f>
        <v>0</v>
      </c>
      <c r="GL9" s="55">
        <f>SUMIFS('Awards Summary'!$H:$H,'Awards Summary'!$B:$B,$C9,'Awards Summary'!$J:$J,"SRAA")</f>
        <v>0</v>
      </c>
      <c r="GM9" s="55">
        <f>SUMIFS('Disbursements Summary'!$E:$E,'Disbursements Summary'!$C:$C,$C9,'Disbursements Summary'!$A:$A,"SRAA")</f>
        <v>0</v>
      </c>
      <c r="GN9" s="55">
        <f>SUMIFS('Awards Summary'!$H:$H,'Awards Summary'!$B:$B,$C9,'Awards Summary'!$J:$J,"UNDC")</f>
        <v>0</v>
      </c>
      <c r="GO9" s="55">
        <f>SUMIFS('Disbursements Summary'!$E:$E,'Disbursements Summary'!$C:$C,$C9,'Disbursements Summary'!$A:$A,"UNDC")</f>
        <v>0</v>
      </c>
      <c r="GP9" s="55">
        <f>SUMIFS('Awards Summary'!$H:$H,'Awards Summary'!$B:$B,$C9,'Awards Summary'!$J:$J,"MVWA")</f>
        <v>0</v>
      </c>
      <c r="GQ9" s="55">
        <f>SUMIFS('Disbursements Summary'!$E:$E,'Disbursements Summary'!$C:$C,$C9,'Disbursements Summary'!$A:$A,"MVWA")</f>
        <v>0</v>
      </c>
      <c r="GR9" s="55">
        <f>SUMIFS('Awards Summary'!$H:$H,'Awards Summary'!$B:$B,$C9,'Awards Summary'!$J:$J,"WMC")</f>
        <v>0</v>
      </c>
      <c r="GS9" s="55">
        <f>SUMIFS('Disbursements Summary'!$E:$E,'Disbursements Summary'!$C:$C,$C9,'Disbursements Summary'!$A:$A,"WMC")</f>
        <v>0</v>
      </c>
      <c r="GT9" s="55">
        <f>SUMIFS('Awards Summary'!$H:$H,'Awards Summary'!$B:$B,$C9,'Awards Summary'!$J:$J,"WCB")</f>
        <v>0</v>
      </c>
      <c r="GU9" s="55">
        <f>SUMIFS('Disbursements Summary'!$E:$E,'Disbursements Summary'!$C:$C,$C9,'Disbursements Summary'!$A:$A,"WCB")</f>
        <v>0</v>
      </c>
      <c r="GV9" s="32">
        <f t="shared" si="1"/>
        <v>0</v>
      </c>
      <c r="GW9" s="32">
        <f t="shared" si="2"/>
        <v>0</v>
      </c>
      <c r="GX9" s="30" t="b">
        <f t="shared" si="3"/>
        <v>1</v>
      </c>
      <c r="GY9" s="30" t="b">
        <f t="shared" si="4"/>
        <v>1</v>
      </c>
    </row>
    <row r="10" spans="1:207" s="30" customFormat="1">
      <c r="A10" s="22" t="str">
        <f t="shared" si="0"/>
        <v/>
      </c>
      <c r="B10" s="40" t="s">
        <v>90</v>
      </c>
      <c r="C10" s="16">
        <v>141016</v>
      </c>
      <c r="D10" s="26">
        <f>COUNTIF('Awards Summary'!B:B,"141016")</f>
        <v>0</v>
      </c>
      <c r="E10" s="45">
        <f>SUMIFS('Awards Summary'!H:H,'Awards Summary'!B:B,"141016")</f>
        <v>0</v>
      </c>
      <c r="F10" s="46">
        <f>SUMIFS('Disbursements Summary'!E:E,'Disbursements Summary'!C:C, "141016")</f>
        <v>0</v>
      </c>
      <c r="H10" s="55">
        <f>SUMIFS('Awards Summary'!$H:$H,'Awards Summary'!$B:$B,$C10,'Awards Summary'!$J:$J,"APA")</f>
        <v>0</v>
      </c>
      <c r="I10" s="55">
        <f>SUMIFS('Disbursements Summary'!$E:$E,'Disbursements Summary'!$C:$C,$C10,'Disbursements Summary'!$A:$A,"APA")</f>
        <v>0</v>
      </c>
      <c r="J10" s="55">
        <f>SUMIFS('Awards Summary'!$H:$H,'Awards Summary'!$B:$B,$C10,'Awards Summary'!$J:$J,"Ag&amp;Horse")</f>
        <v>0</v>
      </c>
      <c r="K10" s="55">
        <f>SUMIFS('Disbursements Summary'!$E:$E,'Disbursements Summary'!$C:$C,$C10,'Disbursements Summary'!$A:$A,"Ag&amp;Horse")</f>
        <v>0</v>
      </c>
      <c r="L10" s="55">
        <f>SUMIFS('Awards Summary'!$H:$H,'Awards Summary'!$B:$B,$C10,'Awards Summary'!$J:$J,"ACAA")</f>
        <v>0</v>
      </c>
      <c r="M10" s="55">
        <f>SUMIFS('Disbursements Summary'!$E:$E,'Disbursements Summary'!$C:$C,$C10,'Disbursements Summary'!$A:$A,"ACAA")</f>
        <v>0</v>
      </c>
      <c r="N10" s="55">
        <f>SUMIFS('Awards Summary'!$H:$H,'Awards Summary'!$B:$B,$C10,'Awards Summary'!$J:$J,"PortAlbany")</f>
        <v>0</v>
      </c>
      <c r="O10" s="55">
        <f>SUMIFS('Disbursements Summary'!$E:$E,'Disbursements Summary'!$C:$C,$C10,'Disbursements Summary'!$A:$A,"PortAlbany")</f>
        <v>0</v>
      </c>
      <c r="P10" s="55">
        <f>SUMIFS('Awards Summary'!$H:$H,'Awards Summary'!$B:$B,$C10,'Awards Summary'!$J:$J,"SLA")</f>
        <v>0</v>
      </c>
      <c r="Q10" s="55">
        <f>SUMIFS('Disbursements Summary'!$E:$E,'Disbursements Summary'!$C:$C,$C10,'Disbursements Summary'!$A:$A,"SLA")</f>
        <v>0</v>
      </c>
      <c r="R10" s="55">
        <f>SUMIFS('Awards Summary'!$H:$H,'Awards Summary'!$B:$B,$C10,'Awards Summary'!$J:$J,"BPCA")</f>
        <v>0</v>
      </c>
      <c r="S10" s="55">
        <f>SUMIFS('Disbursements Summary'!$E:$E,'Disbursements Summary'!$C:$C,$C10,'Disbursements Summary'!$A:$A,"BPCA")</f>
        <v>0</v>
      </c>
      <c r="T10" s="55">
        <f>SUMIFS('Awards Summary'!$H:$H,'Awards Summary'!$B:$B,$C10,'Awards Summary'!$J:$J,"ELECTIONS")</f>
        <v>0</v>
      </c>
      <c r="U10" s="55">
        <f>SUMIFS('Disbursements Summary'!$E:$E,'Disbursements Summary'!$C:$C,$C10,'Disbursements Summary'!$A:$A,"ELECTIONS")</f>
        <v>0</v>
      </c>
      <c r="V10" s="55">
        <f>SUMIFS('Awards Summary'!$H:$H,'Awards Summary'!$B:$B,$C10,'Awards Summary'!$J:$J,"BFSA")</f>
        <v>0</v>
      </c>
      <c r="W10" s="55">
        <f>SUMIFS('Disbursements Summary'!$E:$E,'Disbursements Summary'!$C:$C,$C10,'Disbursements Summary'!$A:$A,"BFSA")</f>
        <v>0</v>
      </c>
      <c r="X10" s="55">
        <f>SUMIFS('Awards Summary'!$H:$H,'Awards Summary'!$B:$B,$C10,'Awards Summary'!$J:$J,"CDTA")</f>
        <v>0</v>
      </c>
      <c r="Y10" s="55">
        <f>SUMIFS('Disbursements Summary'!$E:$E,'Disbursements Summary'!$C:$C,$C10,'Disbursements Summary'!$A:$A,"CDTA")</f>
        <v>0</v>
      </c>
      <c r="Z10" s="55">
        <f>SUMIFS('Awards Summary'!$H:$H,'Awards Summary'!$B:$B,$C10,'Awards Summary'!$J:$J,"CCWSA")</f>
        <v>0</v>
      </c>
      <c r="AA10" s="55">
        <f>SUMIFS('Disbursements Summary'!$E:$E,'Disbursements Summary'!$C:$C,$C10,'Disbursements Summary'!$A:$A,"CCWSA")</f>
        <v>0</v>
      </c>
      <c r="AB10" s="55">
        <f>SUMIFS('Awards Summary'!$H:$H,'Awards Summary'!$B:$B,$C10,'Awards Summary'!$J:$J,"CNYRTA")</f>
        <v>0</v>
      </c>
      <c r="AC10" s="55">
        <f>SUMIFS('Disbursements Summary'!$E:$E,'Disbursements Summary'!$C:$C,$C10,'Disbursements Summary'!$A:$A,"CNYRTA")</f>
        <v>0</v>
      </c>
      <c r="AD10" s="55">
        <f>SUMIFS('Awards Summary'!$H:$H,'Awards Summary'!$B:$B,$C10,'Awards Summary'!$J:$J,"CUCF")</f>
        <v>0</v>
      </c>
      <c r="AE10" s="55">
        <f>SUMIFS('Disbursements Summary'!$E:$E,'Disbursements Summary'!$C:$C,$C10,'Disbursements Summary'!$A:$A,"CUCF")</f>
        <v>0</v>
      </c>
      <c r="AF10" s="55">
        <f>SUMIFS('Awards Summary'!$H:$H,'Awards Summary'!$B:$B,$C10,'Awards Summary'!$J:$J,"CUNY")</f>
        <v>0</v>
      </c>
      <c r="AG10" s="55">
        <f>SUMIFS('Disbursements Summary'!$E:$E,'Disbursements Summary'!$C:$C,$C10,'Disbursements Summary'!$A:$A,"CUNY")</f>
        <v>0</v>
      </c>
      <c r="AH10" s="55">
        <f>SUMIFS('Awards Summary'!$H:$H,'Awards Summary'!$B:$B,$C10,'Awards Summary'!$J:$J,"ARTS")</f>
        <v>0</v>
      </c>
      <c r="AI10" s="55">
        <f>SUMIFS('Disbursements Summary'!$E:$E,'Disbursements Summary'!$C:$C,$C10,'Disbursements Summary'!$A:$A,"ARTS")</f>
        <v>0</v>
      </c>
      <c r="AJ10" s="55">
        <f>SUMIFS('Awards Summary'!$H:$H,'Awards Summary'!$B:$B,$C10,'Awards Summary'!$J:$J,"AG&amp;MKTS")</f>
        <v>0</v>
      </c>
      <c r="AK10" s="55">
        <f>SUMIFS('Disbursements Summary'!$E:$E,'Disbursements Summary'!$C:$C,$C10,'Disbursements Summary'!$A:$A,"AG&amp;MKTS")</f>
        <v>0</v>
      </c>
      <c r="AL10" s="55">
        <f>SUMIFS('Awards Summary'!$H:$H,'Awards Summary'!$B:$B,$C10,'Awards Summary'!$J:$J,"CS")</f>
        <v>0</v>
      </c>
      <c r="AM10" s="55">
        <f>SUMIFS('Disbursements Summary'!$E:$E,'Disbursements Summary'!$C:$C,$C10,'Disbursements Summary'!$A:$A,"CS")</f>
        <v>0</v>
      </c>
      <c r="AN10" s="55">
        <f>SUMIFS('Awards Summary'!$H:$H,'Awards Summary'!$B:$B,$C10,'Awards Summary'!$J:$J,"DOCCS")</f>
        <v>0</v>
      </c>
      <c r="AO10" s="55">
        <f>SUMIFS('Disbursements Summary'!$E:$E,'Disbursements Summary'!$C:$C,$C10,'Disbursements Summary'!$A:$A,"DOCCS")</f>
        <v>0</v>
      </c>
      <c r="AP10" s="55">
        <f>SUMIFS('Awards Summary'!$H:$H,'Awards Summary'!$B:$B,$C10,'Awards Summary'!$J:$J,"DED")</f>
        <v>0</v>
      </c>
      <c r="AQ10" s="55">
        <f>SUMIFS('Disbursements Summary'!$E:$E,'Disbursements Summary'!$C:$C,$C10,'Disbursements Summary'!$A:$A,"DED")</f>
        <v>0</v>
      </c>
      <c r="AR10" s="55">
        <f>SUMIFS('Awards Summary'!$H:$H,'Awards Summary'!$B:$B,$C10,'Awards Summary'!$J:$J,"DEC")</f>
        <v>0</v>
      </c>
      <c r="AS10" s="55">
        <f>SUMIFS('Disbursements Summary'!$E:$E,'Disbursements Summary'!$C:$C,$C10,'Disbursements Summary'!$A:$A,"DEC")</f>
        <v>0</v>
      </c>
      <c r="AT10" s="55">
        <f>SUMIFS('Awards Summary'!$H:$H,'Awards Summary'!$B:$B,$C10,'Awards Summary'!$J:$J,"DFS")</f>
        <v>0</v>
      </c>
      <c r="AU10" s="55">
        <f>SUMIFS('Disbursements Summary'!$E:$E,'Disbursements Summary'!$C:$C,$C10,'Disbursements Summary'!$A:$A,"DFS")</f>
        <v>0</v>
      </c>
      <c r="AV10" s="55">
        <f>SUMIFS('Awards Summary'!$H:$H,'Awards Summary'!$B:$B,$C10,'Awards Summary'!$J:$J,"DOH")</f>
        <v>0</v>
      </c>
      <c r="AW10" s="55">
        <f>SUMIFS('Disbursements Summary'!$E:$E,'Disbursements Summary'!$C:$C,$C10,'Disbursements Summary'!$A:$A,"DOH")</f>
        <v>0</v>
      </c>
      <c r="AX10" s="55">
        <f>SUMIFS('Awards Summary'!$H:$H,'Awards Summary'!$B:$B,$C10,'Awards Summary'!$J:$J,"DOL")</f>
        <v>0</v>
      </c>
      <c r="AY10" s="55">
        <f>SUMIFS('Disbursements Summary'!$E:$E,'Disbursements Summary'!$C:$C,$C10,'Disbursements Summary'!$A:$A,"DOL")</f>
        <v>0</v>
      </c>
      <c r="AZ10" s="55">
        <f>SUMIFS('Awards Summary'!$H:$H,'Awards Summary'!$B:$B,$C10,'Awards Summary'!$J:$J,"DMV")</f>
        <v>0</v>
      </c>
      <c r="BA10" s="55">
        <f>SUMIFS('Disbursements Summary'!$E:$E,'Disbursements Summary'!$C:$C,$C10,'Disbursements Summary'!$A:$A,"DMV")</f>
        <v>0</v>
      </c>
      <c r="BB10" s="55">
        <f>SUMIFS('Awards Summary'!$H:$H,'Awards Summary'!$B:$B,$C10,'Awards Summary'!$J:$J,"DPS")</f>
        <v>0</v>
      </c>
      <c r="BC10" s="55">
        <f>SUMIFS('Disbursements Summary'!$E:$E,'Disbursements Summary'!$C:$C,$C10,'Disbursements Summary'!$A:$A,"DPS")</f>
        <v>0</v>
      </c>
      <c r="BD10" s="55">
        <f>SUMIFS('Awards Summary'!$H:$H,'Awards Summary'!$B:$B,$C10,'Awards Summary'!$J:$J,"DOS")</f>
        <v>0</v>
      </c>
      <c r="BE10" s="55">
        <f>SUMIFS('Disbursements Summary'!$E:$E,'Disbursements Summary'!$C:$C,$C10,'Disbursements Summary'!$A:$A,"DOS")</f>
        <v>0</v>
      </c>
      <c r="BF10" s="55">
        <f>SUMIFS('Awards Summary'!$H:$H,'Awards Summary'!$B:$B,$C10,'Awards Summary'!$J:$J,"TAX")</f>
        <v>0</v>
      </c>
      <c r="BG10" s="55">
        <f>SUMIFS('Disbursements Summary'!$E:$E,'Disbursements Summary'!$C:$C,$C10,'Disbursements Summary'!$A:$A,"TAX")</f>
        <v>0</v>
      </c>
      <c r="BH10" s="55">
        <f>SUMIFS('Awards Summary'!$H:$H,'Awards Summary'!$B:$B,$C10,'Awards Summary'!$J:$J,"DOT")</f>
        <v>0</v>
      </c>
      <c r="BI10" s="55">
        <f>SUMIFS('Disbursements Summary'!$E:$E,'Disbursements Summary'!$C:$C,$C10,'Disbursements Summary'!$A:$A,"DOT")</f>
        <v>0</v>
      </c>
      <c r="BJ10" s="55">
        <f>SUMIFS('Awards Summary'!$H:$H,'Awards Summary'!$B:$B,$C10,'Awards Summary'!$J:$J,"DANC")</f>
        <v>0</v>
      </c>
      <c r="BK10" s="55">
        <f>SUMIFS('Disbursements Summary'!$E:$E,'Disbursements Summary'!$C:$C,$C10,'Disbursements Summary'!$A:$A,"DANC")</f>
        <v>0</v>
      </c>
      <c r="BL10" s="55">
        <f>SUMIFS('Awards Summary'!$H:$H,'Awards Summary'!$B:$B,$C10,'Awards Summary'!$J:$J,"DOB")</f>
        <v>0</v>
      </c>
      <c r="BM10" s="55">
        <f>SUMIFS('Disbursements Summary'!$E:$E,'Disbursements Summary'!$C:$C,$C10,'Disbursements Summary'!$A:$A,"DOB")</f>
        <v>0</v>
      </c>
      <c r="BN10" s="55">
        <f>SUMIFS('Awards Summary'!$H:$H,'Awards Summary'!$B:$B,$C10,'Awards Summary'!$J:$J,"DCJS")</f>
        <v>0</v>
      </c>
      <c r="BO10" s="55">
        <f>SUMIFS('Disbursements Summary'!$E:$E,'Disbursements Summary'!$C:$C,$C10,'Disbursements Summary'!$A:$A,"DCJS")</f>
        <v>0</v>
      </c>
      <c r="BP10" s="55">
        <f>SUMIFS('Awards Summary'!$H:$H,'Awards Summary'!$B:$B,$C10,'Awards Summary'!$J:$J,"DHSES")</f>
        <v>0</v>
      </c>
      <c r="BQ10" s="55">
        <f>SUMIFS('Disbursements Summary'!$E:$E,'Disbursements Summary'!$C:$C,$C10,'Disbursements Summary'!$A:$A,"DHSES")</f>
        <v>0</v>
      </c>
      <c r="BR10" s="55">
        <f>SUMIFS('Awards Summary'!$H:$H,'Awards Summary'!$B:$B,$C10,'Awards Summary'!$J:$J,"DHR")</f>
        <v>0</v>
      </c>
      <c r="BS10" s="55">
        <f>SUMIFS('Disbursements Summary'!$E:$E,'Disbursements Summary'!$C:$C,$C10,'Disbursements Summary'!$A:$A,"DHR")</f>
        <v>0</v>
      </c>
      <c r="BT10" s="55">
        <f>SUMIFS('Awards Summary'!$H:$H,'Awards Summary'!$B:$B,$C10,'Awards Summary'!$J:$J,"DMNA")</f>
        <v>0</v>
      </c>
      <c r="BU10" s="55">
        <f>SUMIFS('Disbursements Summary'!$E:$E,'Disbursements Summary'!$C:$C,$C10,'Disbursements Summary'!$A:$A,"DMNA")</f>
        <v>0</v>
      </c>
      <c r="BV10" s="55">
        <f>SUMIFS('Awards Summary'!$H:$H,'Awards Summary'!$B:$B,$C10,'Awards Summary'!$J:$J,"TROOPERS")</f>
        <v>0</v>
      </c>
      <c r="BW10" s="55">
        <f>SUMIFS('Disbursements Summary'!$E:$E,'Disbursements Summary'!$C:$C,$C10,'Disbursements Summary'!$A:$A,"TROOPERS")</f>
        <v>0</v>
      </c>
      <c r="BX10" s="55">
        <f>SUMIFS('Awards Summary'!$H:$H,'Awards Summary'!$B:$B,$C10,'Awards Summary'!$J:$J,"DVA")</f>
        <v>0</v>
      </c>
      <c r="BY10" s="55">
        <f>SUMIFS('Disbursements Summary'!$E:$E,'Disbursements Summary'!$C:$C,$C10,'Disbursements Summary'!$A:$A,"DVA")</f>
        <v>0</v>
      </c>
      <c r="BZ10" s="55">
        <f>SUMIFS('Awards Summary'!$H:$H,'Awards Summary'!$B:$B,$C10,'Awards Summary'!$J:$J,"DASNY")</f>
        <v>0</v>
      </c>
      <c r="CA10" s="55">
        <f>SUMIFS('Disbursements Summary'!$E:$E,'Disbursements Summary'!$C:$C,$C10,'Disbursements Summary'!$A:$A,"DASNY")</f>
        <v>0</v>
      </c>
      <c r="CB10" s="55">
        <f>SUMIFS('Awards Summary'!$H:$H,'Awards Summary'!$B:$B,$C10,'Awards Summary'!$J:$J,"EGG")</f>
        <v>0</v>
      </c>
      <c r="CC10" s="55">
        <f>SUMIFS('Disbursements Summary'!$E:$E,'Disbursements Summary'!$C:$C,$C10,'Disbursements Summary'!$A:$A,"EGG")</f>
        <v>0</v>
      </c>
      <c r="CD10" s="55">
        <f>SUMIFS('Awards Summary'!$H:$H,'Awards Summary'!$B:$B,$C10,'Awards Summary'!$J:$J,"ESD")</f>
        <v>0</v>
      </c>
      <c r="CE10" s="55">
        <f>SUMIFS('Disbursements Summary'!$E:$E,'Disbursements Summary'!$C:$C,$C10,'Disbursements Summary'!$A:$A,"ESD")</f>
        <v>0</v>
      </c>
      <c r="CF10" s="55">
        <f>SUMIFS('Awards Summary'!$H:$H,'Awards Summary'!$B:$B,$C10,'Awards Summary'!$J:$J,"EFC")</f>
        <v>0</v>
      </c>
      <c r="CG10" s="55">
        <f>SUMIFS('Disbursements Summary'!$E:$E,'Disbursements Summary'!$C:$C,$C10,'Disbursements Summary'!$A:$A,"EFC")</f>
        <v>0</v>
      </c>
      <c r="CH10" s="55">
        <f>SUMIFS('Awards Summary'!$H:$H,'Awards Summary'!$B:$B,$C10,'Awards Summary'!$J:$J,"ECFSA")</f>
        <v>0</v>
      </c>
      <c r="CI10" s="55">
        <f>SUMIFS('Disbursements Summary'!$E:$E,'Disbursements Summary'!$C:$C,$C10,'Disbursements Summary'!$A:$A,"ECFSA")</f>
        <v>0</v>
      </c>
      <c r="CJ10" s="55">
        <f>SUMIFS('Awards Summary'!$H:$H,'Awards Summary'!$B:$B,$C10,'Awards Summary'!$J:$J,"ECMC")</f>
        <v>0</v>
      </c>
      <c r="CK10" s="55">
        <f>SUMIFS('Disbursements Summary'!$E:$E,'Disbursements Summary'!$C:$C,$C10,'Disbursements Summary'!$A:$A,"ECMC")</f>
        <v>0</v>
      </c>
      <c r="CL10" s="55">
        <f>SUMIFS('Awards Summary'!$H:$H,'Awards Summary'!$B:$B,$C10,'Awards Summary'!$J:$J,"CHAMBER")</f>
        <v>0</v>
      </c>
      <c r="CM10" s="55">
        <f>SUMIFS('Disbursements Summary'!$E:$E,'Disbursements Summary'!$C:$C,$C10,'Disbursements Summary'!$A:$A,"CHAMBER")</f>
        <v>0</v>
      </c>
      <c r="CN10" s="55">
        <f>SUMIFS('Awards Summary'!$H:$H,'Awards Summary'!$B:$B,$C10,'Awards Summary'!$J:$J,"GAMING")</f>
        <v>0</v>
      </c>
      <c r="CO10" s="55">
        <f>SUMIFS('Disbursements Summary'!$E:$E,'Disbursements Summary'!$C:$C,$C10,'Disbursements Summary'!$A:$A,"GAMING")</f>
        <v>0</v>
      </c>
      <c r="CP10" s="55">
        <f>SUMIFS('Awards Summary'!$H:$H,'Awards Summary'!$B:$B,$C10,'Awards Summary'!$J:$J,"GOER")</f>
        <v>0</v>
      </c>
      <c r="CQ10" s="55">
        <f>SUMIFS('Disbursements Summary'!$E:$E,'Disbursements Summary'!$C:$C,$C10,'Disbursements Summary'!$A:$A,"GOER")</f>
        <v>0</v>
      </c>
      <c r="CR10" s="55">
        <f>SUMIFS('Awards Summary'!$H:$H,'Awards Summary'!$B:$B,$C10,'Awards Summary'!$J:$J,"HESC")</f>
        <v>0</v>
      </c>
      <c r="CS10" s="55">
        <f>SUMIFS('Disbursements Summary'!$E:$E,'Disbursements Summary'!$C:$C,$C10,'Disbursements Summary'!$A:$A,"HESC")</f>
        <v>0</v>
      </c>
      <c r="CT10" s="55">
        <f>SUMIFS('Awards Summary'!$H:$H,'Awards Summary'!$B:$B,$C10,'Awards Summary'!$J:$J,"GOSR")</f>
        <v>0</v>
      </c>
      <c r="CU10" s="55">
        <f>SUMIFS('Disbursements Summary'!$E:$E,'Disbursements Summary'!$C:$C,$C10,'Disbursements Summary'!$A:$A,"GOSR")</f>
        <v>0</v>
      </c>
      <c r="CV10" s="55">
        <f>SUMIFS('Awards Summary'!$H:$H,'Awards Summary'!$B:$B,$C10,'Awards Summary'!$J:$J,"HRPT")</f>
        <v>0</v>
      </c>
      <c r="CW10" s="55">
        <f>SUMIFS('Disbursements Summary'!$E:$E,'Disbursements Summary'!$C:$C,$C10,'Disbursements Summary'!$A:$A,"HRPT")</f>
        <v>0</v>
      </c>
      <c r="CX10" s="55">
        <f>SUMIFS('Awards Summary'!$H:$H,'Awards Summary'!$B:$B,$C10,'Awards Summary'!$J:$J,"HRBRRD")</f>
        <v>0</v>
      </c>
      <c r="CY10" s="55">
        <f>SUMIFS('Disbursements Summary'!$E:$E,'Disbursements Summary'!$C:$C,$C10,'Disbursements Summary'!$A:$A,"HRBRRD")</f>
        <v>0</v>
      </c>
      <c r="CZ10" s="55">
        <f>SUMIFS('Awards Summary'!$H:$H,'Awards Summary'!$B:$B,$C10,'Awards Summary'!$J:$J,"ITS")</f>
        <v>0</v>
      </c>
      <c r="DA10" s="55">
        <f>SUMIFS('Disbursements Summary'!$E:$E,'Disbursements Summary'!$C:$C,$C10,'Disbursements Summary'!$A:$A,"ITS")</f>
        <v>0</v>
      </c>
      <c r="DB10" s="55">
        <f>SUMIFS('Awards Summary'!$H:$H,'Awards Summary'!$B:$B,$C10,'Awards Summary'!$J:$J,"JAVITS")</f>
        <v>0</v>
      </c>
      <c r="DC10" s="55">
        <f>SUMIFS('Disbursements Summary'!$E:$E,'Disbursements Summary'!$C:$C,$C10,'Disbursements Summary'!$A:$A,"JAVITS")</f>
        <v>0</v>
      </c>
      <c r="DD10" s="55">
        <f>SUMIFS('Awards Summary'!$H:$H,'Awards Summary'!$B:$B,$C10,'Awards Summary'!$J:$J,"JCOPE")</f>
        <v>0</v>
      </c>
      <c r="DE10" s="55">
        <f>SUMIFS('Disbursements Summary'!$E:$E,'Disbursements Summary'!$C:$C,$C10,'Disbursements Summary'!$A:$A,"JCOPE")</f>
        <v>0</v>
      </c>
      <c r="DF10" s="55">
        <f>SUMIFS('Awards Summary'!$H:$H,'Awards Summary'!$B:$B,$C10,'Awards Summary'!$J:$J,"JUSTICE")</f>
        <v>0</v>
      </c>
      <c r="DG10" s="55">
        <f>SUMIFS('Disbursements Summary'!$E:$E,'Disbursements Summary'!$C:$C,$C10,'Disbursements Summary'!$A:$A,"JUSTICE")</f>
        <v>0</v>
      </c>
      <c r="DH10" s="55">
        <f>SUMIFS('Awards Summary'!$H:$H,'Awards Summary'!$B:$B,$C10,'Awards Summary'!$J:$J,"LCWSA")</f>
        <v>0</v>
      </c>
      <c r="DI10" s="55">
        <f>SUMIFS('Disbursements Summary'!$E:$E,'Disbursements Summary'!$C:$C,$C10,'Disbursements Summary'!$A:$A,"LCWSA")</f>
        <v>0</v>
      </c>
      <c r="DJ10" s="55">
        <f>SUMIFS('Awards Summary'!$H:$H,'Awards Summary'!$B:$B,$C10,'Awards Summary'!$J:$J,"LIPA")</f>
        <v>0</v>
      </c>
      <c r="DK10" s="55">
        <f>SUMIFS('Disbursements Summary'!$E:$E,'Disbursements Summary'!$C:$C,$C10,'Disbursements Summary'!$A:$A,"LIPA")</f>
        <v>0</v>
      </c>
      <c r="DL10" s="55">
        <f>SUMIFS('Awards Summary'!$H:$H,'Awards Summary'!$B:$B,$C10,'Awards Summary'!$J:$J,"MTA")</f>
        <v>0</v>
      </c>
      <c r="DM10" s="55">
        <f>SUMIFS('Disbursements Summary'!$E:$E,'Disbursements Summary'!$C:$C,$C10,'Disbursements Summary'!$A:$A,"MTA")</f>
        <v>0</v>
      </c>
      <c r="DN10" s="55">
        <f>SUMIFS('Awards Summary'!$H:$H,'Awards Summary'!$B:$B,$C10,'Awards Summary'!$J:$J,"NIFA")</f>
        <v>0</v>
      </c>
      <c r="DO10" s="55">
        <f>SUMIFS('Disbursements Summary'!$E:$E,'Disbursements Summary'!$C:$C,$C10,'Disbursements Summary'!$A:$A,"NIFA")</f>
        <v>0</v>
      </c>
      <c r="DP10" s="55">
        <f>SUMIFS('Awards Summary'!$H:$H,'Awards Summary'!$B:$B,$C10,'Awards Summary'!$J:$J,"NHCC")</f>
        <v>0</v>
      </c>
      <c r="DQ10" s="55">
        <f>SUMIFS('Disbursements Summary'!$E:$E,'Disbursements Summary'!$C:$C,$C10,'Disbursements Summary'!$A:$A,"NHCC")</f>
        <v>0</v>
      </c>
      <c r="DR10" s="55">
        <f>SUMIFS('Awards Summary'!$H:$H,'Awards Summary'!$B:$B,$C10,'Awards Summary'!$J:$J,"NHT")</f>
        <v>0</v>
      </c>
      <c r="DS10" s="55">
        <f>SUMIFS('Disbursements Summary'!$E:$E,'Disbursements Summary'!$C:$C,$C10,'Disbursements Summary'!$A:$A,"NHT")</f>
        <v>0</v>
      </c>
      <c r="DT10" s="55">
        <f>SUMIFS('Awards Summary'!$H:$H,'Awards Summary'!$B:$B,$C10,'Awards Summary'!$J:$J,"NYPA")</f>
        <v>0</v>
      </c>
      <c r="DU10" s="55">
        <f>SUMIFS('Disbursements Summary'!$E:$E,'Disbursements Summary'!$C:$C,$C10,'Disbursements Summary'!$A:$A,"NYPA")</f>
        <v>0</v>
      </c>
      <c r="DV10" s="55">
        <f>SUMIFS('Awards Summary'!$H:$H,'Awards Summary'!$B:$B,$C10,'Awards Summary'!$J:$J,"NYSBA")</f>
        <v>0</v>
      </c>
      <c r="DW10" s="55">
        <f>SUMIFS('Disbursements Summary'!$E:$E,'Disbursements Summary'!$C:$C,$C10,'Disbursements Summary'!$A:$A,"NYSBA")</f>
        <v>0</v>
      </c>
      <c r="DX10" s="55">
        <f>SUMIFS('Awards Summary'!$H:$H,'Awards Summary'!$B:$B,$C10,'Awards Summary'!$J:$J,"NYSERDA")</f>
        <v>0</v>
      </c>
      <c r="DY10" s="55">
        <f>SUMIFS('Disbursements Summary'!$E:$E,'Disbursements Summary'!$C:$C,$C10,'Disbursements Summary'!$A:$A,"NYSERDA")</f>
        <v>0</v>
      </c>
      <c r="DZ10" s="55">
        <f>SUMIFS('Awards Summary'!$H:$H,'Awards Summary'!$B:$B,$C10,'Awards Summary'!$J:$J,"DHCR")</f>
        <v>0</v>
      </c>
      <c r="EA10" s="55">
        <f>SUMIFS('Disbursements Summary'!$E:$E,'Disbursements Summary'!$C:$C,$C10,'Disbursements Summary'!$A:$A,"DHCR")</f>
        <v>0</v>
      </c>
      <c r="EB10" s="55">
        <f>SUMIFS('Awards Summary'!$H:$H,'Awards Summary'!$B:$B,$C10,'Awards Summary'!$J:$J,"HFA")</f>
        <v>0</v>
      </c>
      <c r="EC10" s="55">
        <f>SUMIFS('Disbursements Summary'!$E:$E,'Disbursements Summary'!$C:$C,$C10,'Disbursements Summary'!$A:$A,"HFA")</f>
        <v>0</v>
      </c>
      <c r="ED10" s="55">
        <f>SUMIFS('Awards Summary'!$H:$H,'Awards Summary'!$B:$B,$C10,'Awards Summary'!$J:$J,"NYSIF")</f>
        <v>0</v>
      </c>
      <c r="EE10" s="55">
        <f>SUMIFS('Disbursements Summary'!$E:$E,'Disbursements Summary'!$C:$C,$C10,'Disbursements Summary'!$A:$A,"NYSIF")</f>
        <v>0</v>
      </c>
      <c r="EF10" s="55">
        <f>SUMIFS('Awards Summary'!$H:$H,'Awards Summary'!$B:$B,$C10,'Awards Summary'!$J:$J,"NYBREDS")</f>
        <v>0</v>
      </c>
      <c r="EG10" s="55">
        <f>SUMIFS('Disbursements Summary'!$E:$E,'Disbursements Summary'!$C:$C,$C10,'Disbursements Summary'!$A:$A,"NYBREDS")</f>
        <v>0</v>
      </c>
      <c r="EH10" s="55">
        <f>SUMIFS('Awards Summary'!$H:$H,'Awards Summary'!$B:$B,$C10,'Awards Summary'!$J:$J,"NYSTA")</f>
        <v>0</v>
      </c>
      <c r="EI10" s="55">
        <f>SUMIFS('Disbursements Summary'!$E:$E,'Disbursements Summary'!$C:$C,$C10,'Disbursements Summary'!$A:$A,"NYSTA")</f>
        <v>0</v>
      </c>
      <c r="EJ10" s="55">
        <f>SUMIFS('Awards Summary'!$H:$H,'Awards Summary'!$B:$B,$C10,'Awards Summary'!$J:$J,"NFWB")</f>
        <v>0</v>
      </c>
      <c r="EK10" s="55">
        <f>SUMIFS('Disbursements Summary'!$E:$E,'Disbursements Summary'!$C:$C,$C10,'Disbursements Summary'!$A:$A,"NFWB")</f>
        <v>0</v>
      </c>
      <c r="EL10" s="55">
        <f>SUMIFS('Awards Summary'!$H:$H,'Awards Summary'!$B:$B,$C10,'Awards Summary'!$J:$J,"NFTA")</f>
        <v>0</v>
      </c>
      <c r="EM10" s="55">
        <f>SUMIFS('Disbursements Summary'!$E:$E,'Disbursements Summary'!$C:$C,$C10,'Disbursements Summary'!$A:$A,"NFTA")</f>
        <v>0</v>
      </c>
      <c r="EN10" s="55">
        <f>SUMIFS('Awards Summary'!$H:$H,'Awards Summary'!$B:$B,$C10,'Awards Summary'!$J:$J,"OPWDD")</f>
        <v>0</v>
      </c>
      <c r="EO10" s="55">
        <f>SUMIFS('Disbursements Summary'!$E:$E,'Disbursements Summary'!$C:$C,$C10,'Disbursements Summary'!$A:$A,"OPWDD")</f>
        <v>0</v>
      </c>
      <c r="EP10" s="55">
        <f>SUMIFS('Awards Summary'!$H:$H,'Awards Summary'!$B:$B,$C10,'Awards Summary'!$J:$J,"AGING")</f>
        <v>0</v>
      </c>
      <c r="EQ10" s="55">
        <f>SUMIFS('Disbursements Summary'!$E:$E,'Disbursements Summary'!$C:$C,$C10,'Disbursements Summary'!$A:$A,"AGING")</f>
        <v>0</v>
      </c>
      <c r="ER10" s="55">
        <f>SUMIFS('Awards Summary'!$H:$H,'Awards Summary'!$B:$B,$C10,'Awards Summary'!$J:$J,"OPDV")</f>
        <v>0</v>
      </c>
      <c r="ES10" s="55">
        <f>SUMIFS('Disbursements Summary'!$E:$E,'Disbursements Summary'!$C:$C,$C10,'Disbursements Summary'!$A:$A,"OPDV")</f>
        <v>0</v>
      </c>
      <c r="ET10" s="55">
        <f>SUMIFS('Awards Summary'!$H:$H,'Awards Summary'!$B:$B,$C10,'Awards Summary'!$J:$J,"OVS")</f>
        <v>0</v>
      </c>
      <c r="EU10" s="55">
        <f>SUMIFS('Disbursements Summary'!$E:$E,'Disbursements Summary'!$C:$C,$C10,'Disbursements Summary'!$A:$A,"OVS")</f>
        <v>0</v>
      </c>
      <c r="EV10" s="55">
        <f>SUMIFS('Awards Summary'!$H:$H,'Awards Summary'!$B:$B,$C10,'Awards Summary'!$J:$J,"OASAS")</f>
        <v>0</v>
      </c>
      <c r="EW10" s="55">
        <f>SUMIFS('Disbursements Summary'!$E:$E,'Disbursements Summary'!$C:$C,$C10,'Disbursements Summary'!$A:$A,"OASAS")</f>
        <v>0</v>
      </c>
      <c r="EX10" s="55">
        <f>SUMIFS('Awards Summary'!$H:$H,'Awards Summary'!$B:$B,$C10,'Awards Summary'!$J:$J,"OCFS")</f>
        <v>0</v>
      </c>
      <c r="EY10" s="55">
        <f>SUMIFS('Disbursements Summary'!$E:$E,'Disbursements Summary'!$C:$C,$C10,'Disbursements Summary'!$A:$A,"OCFS")</f>
        <v>0</v>
      </c>
      <c r="EZ10" s="55">
        <f>SUMIFS('Awards Summary'!$H:$H,'Awards Summary'!$B:$B,$C10,'Awards Summary'!$J:$J,"OGS")</f>
        <v>0</v>
      </c>
      <c r="FA10" s="55">
        <f>SUMIFS('Disbursements Summary'!$E:$E,'Disbursements Summary'!$C:$C,$C10,'Disbursements Summary'!$A:$A,"OGS")</f>
        <v>0</v>
      </c>
      <c r="FB10" s="55">
        <f>SUMIFS('Awards Summary'!$H:$H,'Awards Summary'!$B:$B,$C10,'Awards Summary'!$J:$J,"OMH")</f>
        <v>0</v>
      </c>
      <c r="FC10" s="55">
        <f>SUMIFS('Disbursements Summary'!$E:$E,'Disbursements Summary'!$C:$C,$C10,'Disbursements Summary'!$A:$A,"OMH")</f>
        <v>0</v>
      </c>
      <c r="FD10" s="55">
        <f>SUMIFS('Awards Summary'!$H:$H,'Awards Summary'!$B:$B,$C10,'Awards Summary'!$J:$J,"PARKS")</f>
        <v>0</v>
      </c>
      <c r="FE10" s="55">
        <f>SUMIFS('Disbursements Summary'!$E:$E,'Disbursements Summary'!$C:$C,$C10,'Disbursements Summary'!$A:$A,"PARKS")</f>
        <v>0</v>
      </c>
      <c r="FF10" s="55">
        <f>SUMIFS('Awards Summary'!$H:$H,'Awards Summary'!$B:$B,$C10,'Awards Summary'!$J:$J,"OTDA")</f>
        <v>0</v>
      </c>
      <c r="FG10" s="55">
        <f>SUMIFS('Disbursements Summary'!$E:$E,'Disbursements Summary'!$C:$C,$C10,'Disbursements Summary'!$A:$A,"OTDA")</f>
        <v>0</v>
      </c>
      <c r="FH10" s="55">
        <f>SUMIFS('Awards Summary'!$H:$H,'Awards Summary'!$B:$B,$C10,'Awards Summary'!$J:$J,"OIG")</f>
        <v>0</v>
      </c>
      <c r="FI10" s="55">
        <f>SUMIFS('Disbursements Summary'!$E:$E,'Disbursements Summary'!$C:$C,$C10,'Disbursements Summary'!$A:$A,"OIG")</f>
        <v>0</v>
      </c>
      <c r="FJ10" s="55">
        <f>SUMIFS('Awards Summary'!$H:$H,'Awards Summary'!$B:$B,$C10,'Awards Summary'!$J:$J,"OMIG")</f>
        <v>0</v>
      </c>
      <c r="FK10" s="55">
        <f>SUMIFS('Disbursements Summary'!$E:$E,'Disbursements Summary'!$C:$C,$C10,'Disbursements Summary'!$A:$A,"OMIG")</f>
        <v>0</v>
      </c>
      <c r="FL10" s="55">
        <f>SUMIFS('Awards Summary'!$H:$H,'Awards Summary'!$B:$B,$C10,'Awards Summary'!$J:$J,"OSC")</f>
        <v>0</v>
      </c>
      <c r="FM10" s="55">
        <f>SUMIFS('Disbursements Summary'!$E:$E,'Disbursements Summary'!$C:$C,$C10,'Disbursements Summary'!$A:$A,"OSC")</f>
        <v>0</v>
      </c>
      <c r="FN10" s="55">
        <f>SUMIFS('Awards Summary'!$H:$H,'Awards Summary'!$B:$B,$C10,'Awards Summary'!$J:$J,"OWIG")</f>
        <v>0</v>
      </c>
      <c r="FO10" s="55">
        <f>SUMIFS('Disbursements Summary'!$E:$E,'Disbursements Summary'!$C:$C,$C10,'Disbursements Summary'!$A:$A,"OWIG")</f>
        <v>0</v>
      </c>
      <c r="FP10" s="55">
        <f>SUMIFS('Awards Summary'!$H:$H,'Awards Summary'!$B:$B,$C10,'Awards Summary'!$J:$J,"OGDEN")</f>
        <v>0</v>
      </c>
      <c r="FQ10" s="55">
        <f>SUMIFS('Disbursements Summary'!$E:$E,'Disbursements Summary'!$C:$C,$C10,'Disbursements Summary'!$A:$A,"OGDEN")</f>
        <v>0</v>
      </c>
      <c r="FR10" s="55">
        <f>SUMIFS('Awards Summary'!$H:$H,'Awards Summary'!$B:$B,$C10,'Awards Summary'!$J:$J,"ORDA")</f>
        <v>0</v>
      </c>
      <c r="FS10" s="55">
        <f>SUMIFS('Disbursements Summary'!$E:$E,'Disbursements Summary'!$C:$C,$C10,'Disbursements Summary'!$A:$A,"ORDA")</f>
        <v>0</v>
      </c>
      <c r="FT10" s="55">
        <f>SUMIFS('Awards Summary'!$H:$H,'Awards Summary'!$B:$B,$C10,'Awards Summary'!$J:$J,"OSWEGO")</f>
        <v>0</v>
      </c>
      <c r="FU10" s="55">
        <f>SUMIFS('Disbursements Summary'!$E:$E,'Disbursements Summary'!$C:$C,$C10,'Disbursements Summary'!$A:$A,"OSWEGO")</f>
        <v>0</v>
      </c>
      <c r="FV10" s="55">
        <f>SUMIFS('Awards Summary'!$H:$H,'Awards Summary'!$B:$B,$C10,'Awards Summary'!$J:$J,"PERB")</f>
        <v>0</v>
      </c>
      <c r="FW10" s="55">
        <f>SUMIFS('Disbursements Summary'!$E:$E,'Disbursements Summary'!$C:$C,$C10,'Disbursements Summary'!$A:$A,"PERB")</f>
        <v>0</v>
      </c>
      <c r="FX10" s="55">
        <f>SUMIFS('Awards Summary'!$H:$H,'Awards Summary'!$B:$B,$C10,'Awards Summary'!$J:$J,"RGRTA")</f>
        <v>0</v>
      </c>
      <c r="FY10" s="55">
        <f>SUMIFS('Disbursements Summary'!$E:$E,'Disbursements Summary'!$C:$C,$C10,'Disbursements Summary'!$A:$A,"RGRTA")</f>
        <v>0</v>
      </c>
      <c r="FZ10" s="55">
        <f>SUMIFS('Awards Summary'!$H:$H,'Awards Summary'!$B:$B,$C10,'Awards Summary'!$J:$J,"RIOC")</f>
        <v>0</v>
      </c>
      <c r="GA10" s="55">
        <f>SUMIFS('Disbursements Summary'!$E:$E,'Disbursements Summary'!$C:$C,$C10,'Disbursements Summary'!$A:$A,"RIOC")</f>
        <v>0</v>
      </c>
      <c r="GB10" s="55">
        <f>SUMIFS('Awards Summary'!$H:$H,'Awards Summary'!$B:$B,$C10,'Awards Summary'!$J:$J,"RPCI")</f>
        <v>0</v>
      </c>
      <c r="GC10" s="55">
        <f>SUMIFS('Disbursements Summary'!$E:$E,'Disbursements Summary'!$C:$C,$C10,'Disbursements Summary'!$A:$A,"RPCI")</f>
        <v>0</v>
      </c>
      <c r="GD10" s="55">
        <f>SUMIFS('Awards Summary'!$H:$H,'Awards Summary'!$B:$B,$C10,'Awards Summary'!$J:$J,"SMDA")</f>
        <v>0</v>
      </c>
      <c r="GE10" s="55">
        <f>SUMIFS('Disbursements Summary'!$E:$E,'Disbursements Summary'!$C:$C,$C10,'Disbursements Summary'!$A:$A,"SMDA")</f>
        <v>0</v>
      </c>
      <c r="GF10" s="55">
        <f>SUMIFS('Awards Summary'!$H:$H,'Awards Summary'!$B:$B,$C10,'Awards Summary'!$J:$J,"SCOC")</f>
        <v>0</v>
      </c>
      <c r="GG10" s="55">
        <f>SUMIFS('Disbursements Summary'!$E:$E,'Disbursements Summary'!$C:$C,$C10,'Disbursements Summary'!$A:$A,"SCOC")</f>
        <v>0</v>
      </c>
      <c r="GH10" s="55">
        <f>SUMIFS('Awards Summary'!$H:$H,'Awards Summary'!$B:$B,$C10,'Awards Summary'!$J:$J,"SUCF")</f>
        <v>0</v>
      </c>
      <c r="GI10" s="55">
        <f>SUMIFS('Disbursements Summary'!$E:$E,'Disbursements Summary'!$C:$C,$C10,'Disbursements Summary'!$A:$A,"SUCF")</f>
        <v>0</v>
      </c>
      <c r="GJ10" s="55">
        <f>SUMIFS('Awards Summary'!$H:$H,'Awards Summary'!$B:$B,$C10,'Awards Summary'!$J:$J,"SUNY")</f>
        <v>0</v>
      </c>
      <c r="GK10" s="55">
        <f>SUMIFS('Disbursements Summary'!$E:$E,'Disbursements Summary'!$C:$C,$C10,'Disbursements Summary'!$A:$A,"SUNY")</f>
        <v>0</v>
      </c>
      <c r="GL10" s="55">
        <f>SUMIFS('Awards Summary'!$H:$H,'Awards Summary'!$B:$B,$C10,'Awards Summary'!$J:$J,"SRAA")</f>
        <v>0</v>
      </c>
      <c r="GM10" s="55">
        <f>SUMIFS('Disbursements Summary'!$E:$E,'Disbursements Summary'!$C:$C,$C10,'Disbursements Summary'!$A:$A,"SRAA")</f>
        <v>0</v>
      </c>
      <c r="GN10" s="55">
        <f>SUMIFS('Awards Summary'!$H:$H,'Awards Summary'!$B:$B,$C10,'Awards Summary'!$J:$J,"UNDC")</f>
        <v>0</v>
      </c>
      <c r="GO10" s="55">
        <f>SUMIFS('Disbursements Summary'!$E:$E,'Disbursements Summary'!$C:$C,$C10,'Disbursements Summary'!$A:$A,"UNDC")</f>
        <v>0</v>
      </c>
      <c r="GP10" s="55">
        <f>SUMIFS('Awards Summary'!$H:$H,'Awards Summary'!$B:$B,$C10,'Awards Summary'!$J:$J,"MVWA")</f>
        <v>0</v>
      </c>
      <c r="GQ10" s="55">
        <f>SUMIFS('Disbursements Summary'!$E:$E,'Disbursements Summary'!$C:$C,$C10,'Disbursements Summary'!$A:$A,"MVWA")</f>
        <v>0</v>
      </c>
      <c r="GR10" s="55">
        <f>SUMIFS('Awards Summary'!$H:$H,'Awards Summary'!$B:$B,$C10,'Awards Summary'!$J:$J,"WMC")</f>
        <v>0</v>
      </c>
      <c r="GS10" s="55">
        <f>SUMIFS('Disbursements Summary'!$E:$E,'Disbursements Summary'!$C:$C,$C10,'Disbursements Summary'!$A:$A,"WMC")</f>
        <v>0</v>
      </c>
      <c r="GT10" s="55">
        <f>SUMIFS('Awards Summary'!$H:$H,'Awards Summary'!$B:$B,$C10,'Awards Summary'!$J:$J,"WCB")</f>
        <v>0</v>
      </c>
      <c r="GU10" s="55">
        <f>SUMIFS('Disbursements Summary'!$E:$E,'Disbursements Summary'!$C:$C,$C10,'Disbursements Summary'!$A:$A,"WCB")</f>
        <v>0</v>
      </c>
      <c r="GV10" s="32">
        <f t="shared" si="1"/>
        <v>0</v>
      </c>
      <c r="GW10" s="32">
        <f t="shared" si="2"/>
        <v>0</v>
      </c>
      <c r="GX10" s="30" t="b">
        <f t="shared" si="3"/>
        <v>1</v>
      </c>
      <c r="GY10" s="30" t="b">
        <f t="shared" si="4"/>
        <v>1</v>
      </c>
    </row>
    <row r="11" spans="1:207" s="30" customFormat="1">
      <c r="A11" s="22" t="str">
        <f t="shared" si="0"/>
        <v/>
      </c>
      <c r="B11" s="40" t="s">
        <v>34</v>
      </c>
      <c r="C11" s="16">
        <v>141017</v>
      </c>
      <c r="D11" s="26">
        <f>COUNTIF('Awards Summary'!B:B,"141017")</f>
        <v>0</v>
      </c>
      <c r="E11" s="45">
        <f>SUMIFS('Awards Summary'!H:H,'Awards Summary'!B:B,"141017")</f>
        <v>0</v>
      </c>
      <c r="F11" s="46">
        <f>SUMIFS('Disbursements Summary'!E:E,'Disbursements Summary'!C:C, "141017")</f>
        <v>0</v>
      </c>
      <c r="H11" s="55">
        <f>SUMIFS('Awards Summary'!$H:$H,'Awards Summary'!$B:$B,$C11,'Awards Summary'!$J:$J,"APA")</f>
        <v>0</v>
      </c>
      <c r="I11" s="55">
        <f>SUMIFS('Disbursements Summary'!$E:$E,'Disbursements Summary'!$C:$C,$C11,'Disbursements Summary'!$A:$A,"APA")</f>
        <v>0</v>
      </c>
      <c r="J11" s="55">
        <f>SUMIFS('Awards Summary'!$H:$H,'Awards Summary'!$B:$B,$C11,'Awards Summary'!$J:$J,"Ag&amp;Horse")</f>
        <v>0</v>
      </c>
      <c r="K11" s="55">
        <f>SUMIFS('Disbursements Summary'!$E:$E,'Disbursements Summary'!$C:$C,$C11,'Disbursements Summary'!$A:$A,"Ag&amp;Horse")</f>
        <v>0</v>
      </c>
      <c r="L11" s="55">
        <f>SUMIFS('Awards Summary'!$H:$H,'Awards Summary'!$B:$B,$C11,'Awards Summary'!$J:$J,"ACAA")</f>
        <v>0</v>
      </c>
      <c r="M11" s="55">
        <f>SUMIFS('Disbursements Summary'!$E:$E,'Disbursements Summary'!$C:$C,$C11,'Disbursements Summary'!$A:$A,"ACAA")</f>
        <v>0</v>
      </c>
      <c r="N11" s="55">
        <f>SUMIFS('Awards Summary'!$H:$H,'Awards Summary'!$B:$B,$C11,'Awards Summary'!$J:$J,"PortAlbany")</f>
        <v>0</v>
      </c>
      <c r="O11" s="55">
        <f>SUMIFS('Disbursements Summary'!$E:$E,'Disbursements Summary'!$C:$C,$C11,'Disbursements Summary'!$A:$A,"PortAlbany")</f>
        <v>0</v>
      </c>
      <c r="P11" s="55">
        <f>SUMIFS('Awards Summary'!$H:$H,'Awards Summary'!$B:$B,$C11,'Awards Summary'!$J:$J,"SLA")</f>
        <v>0</v>
      </c>
      <c r="Q11" s="55">
        <f>SUMIFS('Disbursements Summary'!$E:$E,'Disbursements Summary'!$C:$C,$C11,'Disbursements Summary'!$A:$A,"SLA")</f>
        <v>0</v>
      </c>
      <c r="R11" s="55">
        <f>SUMIFS('Awards Summary'!$H:$H,'Awards Summary'!$B:$B,$C11,'Awards Summary'!$J:$J,"BPCA")</f>
        <v>0</v>
      </c>
      <c r="S11" s="55">
        <f>SUMIFS('Disbursements Summary'!$E:$E,'Disbursements Summary'!$C:$C,$C11,'Disbursements Summary'!$A:$A,"BPCA")</f>
        <v>0</v>
      </c>
      <c r="T11" s="55">
        <f>SUMIFS('Awards Summary'!$H:$H,'Awards Summary'!$B:$B,$C11,'Awards Summary'!$J:$J,"ELECTIONS")</f>
        <v>0</v>
      </c>
      <c r="U11" s="55">
        <f>SUMIFS('Disbursements Summary'!$E:$E,'Disbursements Summary'!$C:$C,$C11,'Disbursements Summary'!$A:$A,"ELECTIONS")</f>
        <v>0</v>
      </c>
      <c r="V11" s="55">
        <f>SUMIFS('Awards Summary'!$H:$H,'Awards Summary'!$B:$B,$C11,'Awards Summary'!$J:$J,"BFSA")</f>
        <v>0</v>
      </c>
      <c r="W11" s="55">
        <f>SUMIFS('Disbursements Summary'!$E:$E,'Disbursements Summary'!$C:$C,$C11,'Disbursements Summary'!$A:$A,"BFSA")</f>
        <v>0</v>
      </c>
      <c r="X11" s="55">
        <f>SUMIFS('Awards Summary'!$H:$H,'Awards Summary'!$B:$B,$C11,'Awards Summary'!$J:$J,"CDTA")</f>
        <v>0</v>
      </c>
      <c r="Y11" s="55">
        <f>SUMIFS('Disbursements Summary'!$E:$E,'Disbursements Summary'!$C:$C,$C11,'Disbursements Summary'!$A:$A,"CDTA")</f>
        <v>0</v>
      </c>
      <c r="Z11" s="55">
        <f>SUMIFS('Awards Summary'!$H:$H,'Awards Summary'!$B:$B,$C11,'Awards Summary'!$J:$J,"CCWSA")</f>
        <v>0</v>
      </c>
      <c r="AA11" s="55">
        <f>SUMIFS('Disbursements Summary'!$E:$E,'Disbursements Summary'!$C:$C,$C11,'Disbursements Summary'!$A:$A,"CCWSA")</f>
        <v>0</v>
      </c>
      <c r="AB11" s="55">
        <f>SUMIFS('Awards Summary'!$H:$H,'Awards Summary'!$B:$B,$C11,'Awards Summary'!$J:$J,"CNYRTA")</f>
        <v>0</v>
      </c>
      <c r="AC11" s="55">
        <f>SUMIFS('Disbursements Summary'!$E:$E,'Disbursements Summary'!$C:$C,$C11,'Disbursements Summary'!$A:$A,"CNYRTA")</f>
        <v>0</v>
      </c>
      <c r="AD11" s="55">
        <f>SUMIFS('Awards Summary'!$H:$H,'Awards Summary'!$B:$B,$C11,'Awards Summary'!$J:$J,"CUCF")</f>
        <v>0</v>
      </c>
      <c r="AE11" s="55">
        <f>SUMIFS('Disbursements Summary'!$E:$E,'Disbursements Summary'!$C:$C,$C11,'Disbursements Summary'!$A:$A,"CUCF")</f>
        <v>0</v>
      </c>
      <c r="AF11" s="55">
        <f>SUMIFS('Awards Summary'!$H:$H,'Awards Summary'!$B:$B,$C11,'Awards Summary'!$J:$J,"CUNY")</f>
        <v>0</v>
      </c>
      <c r="AG11" s="55">
        <f>SUMIFS('Disbursements Summary'!$E:$E,'Disbursements Summary'!$C:$C,$C11,'Disbursements Summary'!$A:$A,"CUNY")</f>
        <v>0</v>
      </c>
      <c r="AH11" s="55">
        <f>SUMIFS('Awards Summary'!$H:$H,'Awards Summary'!$B:$B,$C11,'Awards Summary'!$J:$J,"ARTS")</f>
        <v>0</v>
      </c>
      <c r="AI11" s="55">
        <f>SUMIFS('Disbursements Summary'!$E:$E,'Disbursements Summary'!$C:$C,$C11,'Disbursements Summary'!$A:$A,"ARTS")</f>
        <v>0</v>
      </c>
      <c r="AJ11" s="55">
        <f>SUMIFS('Awards Summary'!$H:$H,'Awards Summary'!$B:$B,$C11,'Awards Summary'!$J:$J,"AG&amp;MKTS")</f>
        <v>0</v>
      </c>
      <c r="AK11" s="55">
        <f>SUMIFS('Disbursements Summary'!$E:$E,'Disbursements Summary'!$C:$C,$C11,'Disbursements Summary'!$A:$A,"AG&amp;MKTS")</f>
        <v>0</v>
      </c>
      <c r="AL11" s="55">
        <f>SUMIFS('Awards Summary'!$H:$H,'Awards Summary'!$B:$B,$C11,'Awards Summary'!$J:$J,"CS")</f>
        <v>0</v>
      </c>
      <c r="AM11" s="55">
        <f>SUMIFS('Disbursements Summary'!$E:$E,'Disbursements Summary'!$C:$C,$C11,'Disbursements Summary'!$A:$A,"CS")</f>
        <v>0</v>
      </c>
      <c r="AN11" s="55">
        <f>SUMIFS('Awards Summary'!$H:$H,'Awards Summary'!$B:$B,$C11,'Awards Summary'!$J:$J,"DOCCS")</f>
        <v>0</v>
      </c>
      <c r="AO11" s="55">
        <f>SUMIFS('Disbursements Summary'!$E:$E,'Disbursements Summary'!$C:$C,$C11,'Disbursements Summary'!$A:$A,"DOCCS")</f>
        <v>0</v>
      </c>
      <c r="AP11" s="55">
        <f>SUMIFS('Awards Summary'!$H:$H,'Awards Summary'!$B:$B,$C11,'Awards Summary'!$J:$J,"DED")</f>
        <v>0</v>
      </c>
      <c r="AQ11" s="55">
        <f>SUMIFS('Disbursements Summary'!$E:$E,'Disbursements Summary'!$C:$C,$C11,'Disbursements Summary'!$A:$A,"DED")</f>
        <v>0</v>
      </c>
      <c r="AR11" s="55">
        <f>SUMIFS('Awards Summary'!$H:$H,'Awards Summary'!$B:$B,$C11,'Awards Summary'!$J:$J,"DEC")</f>
        <v>0</v>
      </c>
      <c r="AS11" s="55">
        <f>SUMIFS('Disbursements Summary'!$E:$E,'Disbursements Summary'!$C:$C,$C11,'Disbursements Summary'!$A:$A,"DEC")</f>
        <v>0</v>
      </c>
      <c r="AT11" s="55">
        <f>SUMIFS('Awards Summary'!$H:$H,'Awards Summary'!$B:$B,$C11,'Awards Summary'!$J:$J,"DFS")</f>
        <v>0</v>
      </c>
      <c r="AU11" s="55">
        <f>SUMIFS('Disbursements Summary'!$E:$E,'Disbursements Summary'!$C:$C,$C11,'Disbursements Summary'!$A:$A,"DFS")</f>
        <v>0</v>
      </c>
      <c r="AV11" s="55">
        <f>SUMIFS('Awards Summary'!$H:$H,'Awards Summary'!$B:$B,$C11,'Awards Summary'!$J:$J,"DOH")</f>
        <v>0</v>
      </c>
      <c r="AW11" s="55">
        <f>SUMIFS('Disbursements Summary'!$E:$E,'Disbursements Summary'!$C:$C,$C11,'Disbursements Summary'!$A:$A,"DOH")</f>
        <v>0</v>
      </c>
      <c r="AX11" s="55">
        <f>SUMIFS('Awards Summary'!$H:$H,'Awards Summary'!$B:$B,$C11,'Awards Summary'!$J:$J,"DOL")</f>
        <v>0</v>
      </c>
      <c r="AY11" s="55">
        <f>SUMIFS('Disbursements Summary'!$E:$E,'Disbursements Summary'!$C:$C,$C11,'Disbursements Summary'!$A:$A,"DOL")</f>
        <v>0</v>
      </c>
      <c r="AZ11" s="55">
        <f>SUMIFS('Awards Summary'!$H:$H,'Awards Summary'!$B:$B,$C11,'Awards Summary'!$J:$J,"DMV")</f>
        <v>0</v>
      </c>
      <c r="BA11" s="55">
        <f>SUMIFS('Disbursements Summary'!$E:$E,'Disbursements Summary'!$C:$C,$C11,'Disbursements Summary'!$A:$A,"DMV")</f>
        <v>0</v>
      </c>
      <c r="BB11" s="55">
        <f>SUMIFS('Awards Summary'!$H:$H,'Awards Summary'!$B:$B,$C11,'Awards Summary'!$J:$J,"DPS")</f>
        <v>0</v>
      </c>
      <c r="BC11" s="55">
        <f>SUMIFS('Disbursements Summary'!$E:$E,'Disbursements Summary'!$C:$C,$C11,'Disbursements Summary'!$A:$A,"DPS")</f>
        <v>0</v>
      </c>
      <c r="BD11" s="55">
        <f>SUMIFS('Awards Summary'!$H:$H,'Awards Summary'!$B:$B,$C11,'Awards Summary'!$J:$J,"DOS")</f>
        <v>0</v>
      </c>
      <c r="BE11" s="55">
        <f>SUMIFS('Disbursements Summary'!$E:$E,'Disbursements Summary'!$C:$C,$C11,'Disbursements Summary'!$A:$A,"DOS")</f>
        <v>0</v>
      </c>
      <c r="BF11" s="55">
        <f>SUMIFS('Awards Summary'!$H:$H,'Awards Summary'!$B:$B,$C11,'Awards Summary'!$J:$J,"TAX")</f>
        <v>0</v>
      </c>
      <c r="BG11" s="55">
        <f>SUMIFS('Disbursements Summary'!$E:$E,'Disbursements Summary'!$C:$C,$C11,'Disbursements Summary'!$A:$A,"TAX")</f>
        <v>0</v>
      </c>
      <c r="BH11" s="55">
        <f>SUMIFS('Awards Summary'!$H:$H,'Awards Summary'!$B:$B,$C11,'Awards Summary'!$J:$J,"DOT")</f>
        <v>0</v>
      </c>
      <c r="BI11" s="55">
        <f>SUMIFS('Disbursements Summary'!$E:$E,'Disbursements Summary'!$C:$C,$C11,'Disbursements Summary'!$A:$A,"DOT")</f>
        <v>0</v>
      </c>
      <c r="BJ11" s="55">
        <f>SUMIFS('Awards Summary'!$H:$H,'Awards Summary'!$B:$B,$C11,'Awards Summary'!$J:$J,"DANC")</f>
        <v>0</v>
      </c>
      <c r="BK11" s="55">
        <f>SUMIFS('Disbursements Summary'!$E:$E,'Disbursements Summary'!$C:$C,$C11,'Disbursements Summary'!$A:$A,"DANC")</f>
        <v>0</v>
      </c>
      <c r="BL11" s="55">
        <f>SUMIFS('Awards Summary'!$H:$H,'Awards Summary'!$B:$B,$C11,'Awards Summary'!$J:$J,"DOB")</f>
        <v>0</v>
      </c>
      <c r="BM11" s="55">
        <f>SUMIFS('Disbursements Summary'!$E:$E,'Disbursements Summary'!$C:$C,$C11,'Disbursements Summary'!$A:$A,"DOB")</f>
        <v>0</v>
      </c>
      <c r="BN11" s="55">
        <f>SUMIFS('Awards Summary'!$H:$H,'Awards Summary'!$B:$B,$C11,'Awards Summary'!$J:$J,"DCJS")</f>
        <v>0</v>
      </c>
      <c r="BO11" s="55">
        <f>SUMIFS('Disbursements Summary'!$E:$E,'Disbursements Summary'!$C:$C,$C11,'Disbursements Summary'!$A:$A,"DCJS")</f>
        <v>0</v>
      </c>
      <c r="BP11" s="55">
        <f>SUMIFS('Awards Summary'!$H:$H,'Awards Summary'!$B:$B,$C11,'Awards Summary'!$J:$J,"DHSES")</f>
        <v>0</v>
      </c>
      <c r="BQ11" s="55">
        <f>SUMIFS('Disbursements Summary'!$E:$E,'Disbursements Summary'!$C:$C,$C11,'Disbursements Summary'!$A:$A,"DHSES")</f>
        <v>0</v>
      </c>
      <c r="BR11" s="55">
        <f>SUMIFS('Awards Summary'!$H:$H,'Awards Summary'!$B:$B,$C11,'Awards Summary'!$J:$J,"DHR")</f>
        <v>0</v>
      </c>
      <c r="BS11" s="55">
        <f>SUMIFS('Disbursements Summary'!$E:$E,'Disbursements Summary'!$C:$C,$C11,'Disbursements Summary'!$A:$A,"DHR")</f>
        <v>0</v>
      </c>
      <c r="BT11" s="55">
        <f>SUMIFS('Awards Summary'!$H:$H,'Awards Summary'!$B:$B,$C11,'Awards Summary'!$J:$J,"DMNA")</f>
        <v>0</v>
      </c>
      <c r="BU11" s="55">
        <f>SUMIFS('Disbursements Summary'!$E:$E,'Disbursements Summary'!$C:$C,$C11,'Disbursements Summary'!$A:$A,"DMNA")</f>
        <v>0</v>
      </c>
      <c r="BV11" s="55">
        <f>SUMIFS('Awards Summary'!$H:$H,'Awards Summary'!$B:$B,$C11,'Awards Summary'!$J:$J,"TROOPERS")</f>
        <v>0</v>
      </c>
      <c r="BW11" s="55">
        <f>SUMIFS('Disbursements Summary'!$E:$E,'Disbursements Summary'!$C:$C,$C11,'Disbursements Summary'!$A:$A,"TROOPERS")</f>
        <v>0</v>
      </c>
      <c r="BX11" s="55">
        <f>SUMIFS('Awards Summary'!$H:$H,'Awards Summary'!$B:$B,$C11,'Awards Summary'!$J:$J,"DVA")</f>
        <v>0</v>
      </c>
      <c r="BY11" s="55">
        <f>SUMIFS('Disbursements Summary'!$E:$E,'Disbursements Summary'!$C:$C,$C11,'Disbursements Summary'!$A:$A,"DVA")</f>
        <v>0</v>
      </c>
      <c r="BZ11" s="55">
        <f>SUMIFS('Awards Summary'!$H:$H,'Awards Summary'!$B:$B,$C11,'Awards Summary'!$J:$J,"DASNY")</f>
        <v>0</v>
      </c>
      <c r="CA11" s="55">
        <f>SUMIFS('Disbursements Summary'!$E:$E,'Disbursements Summary'!$C:$C,$C11,'Disbursements Summary'!$A:$A,"DASNY")</f>
        <v>0</v>
      </c>
      <c r="CB11" s="55">
        <f>SUMIFS('Awards Summary'!$H:$H,'Awards Summary'!$B:$B,$C11,'Awards Summary'!$J:$J,"EGG")</f>
        <v>0</v>
      </c>
      <c r="CC11" s="55">
        <f>SUMIFS('Disbursements Summary'!$E:$E,'Disbursements Summary'!$C:$C,$C11,'Disbursements Summary'!$A:$A,"EGG")</f>
        <v>0</v>
      </c>
      <c r="CD11" s="55">
        <f>SUMIFS('Awards Summary'!$H:$H,'Awards Summary'!$B:$B,$C11,'Awards Summary'!$J:$J,"ESD")</f>
        <v>0</v>
      </c>
      <c r="CE11" s="55">
        <f>SUMIFS('Disbursements Summary'!$E:$E,'Disbursements Summary'!$C:$C,$C11,'Disbursements Summary'!$A:$A,"ESD")</f>
        <v>0</v>
      </c>
      <c r="CF11" s="55">
        <f>SUMIFS('Awards Summary'!$H:$H,'Awards Summary'!$B:$B,$C11,'Awards Summary'!$J:$J,"EFC")</f>
        <v>0</v>
      </c>
      <c r="CG11" s="55">
        <f>SUMIFS('Disbursements Summary'!$E:$E,'Disbursements Summary'!$C:$C,$C11,'Disbursements Summary'!$A:$A,"EFC")</f>
        <v>0</v>
      </c>
      <c r="CH11" s="55">
        <f>SUMIFS('Awards Summary'!$H:$H,'Awards Summary'!$B:$B,$C11,'Awards Summary'!$J:$J,"ECFSA")</f>
        <v>0</v>
      </c>
      <c r="CI11" s="55">
        <f>SUMIFS('Disbursements Summary'!$E:$E,'Disbursements Summary'!$C:$C,$C11,'Disbursements Summary'!$A:$A,"ECFSA")</f>
        <v>0</v>
      </c>
      <c r="CJ11" s="55">
        <f>SUMIFS('Awards Summary'!$H:$H,'Awards Summary'!$B:$B,$C11,'Awards Summary'!$J:$J,"ECMC")</f>
        <v>0</v>
      </c>
      <c r="CK11" s="55">
        <f>SUMIFS('Disbursements Summary'!$E:$E,'Disbursements Summary'!$C:$C,$C11,'Disbursements Summary'!$A:$A,"ECMC")</f>
        <v>0</v>
      </c>
      <c r="CL11" s="55">
        <f>SUMIFS('Awards Summary'!$H:$H,'Awards Summary'!$B:$B,$C11,'Awards Summary'!$J:$J,"CHAMBER")</f>
        <v>0</v>
      </c>
      <c r="CM11" s="55">
        <f>SUMIFS('Disbursements Summary'!$E:$E,'Disbursements Summary'!$C:$C,$C11,'Disbursements Summary'!$A:$A,"CHAMBER")</f>
        <v>0</v>
      </c>
      <c r="CN11" s="55">
        <f>SUMIFS('Awards Summary'!$H:$H,'Awards Summary'!$B:$B,$C11,'Awards Summary'!$J:$J,"GAMING")</f>
        <v>0</v>
      </c>
      <c r="CO11" s="55">
        <f>SUMIFS('Disbursements Summary'!$E:$E,'Disbursements Summary'!$C:$C,$C11,'Disbursements Summary'!$A:$A,"GAMING")</f>
        <v>0</v>
      </c>
      <c r="CP11" s="55">
        <f>SUMIFS('Awards Summary'!$H:$H,'Awards Summary'!$B:$B,$C11,'Awards Summary'!$J:$J,"GOER")</f>
        <v>0</v>
      </c>
      <c r="CQ11" s="55">
        <f>SUMIFS('Disbursements Summary'!$E:$E,'Disbursements Summary'!$C:$C,$C11,'Disbursements Summary'!$A:$A,"GOER")</f>
        <v>0</v>
      </c>
      <c r="CR11" s="55">
        <f>SUMIFS('Awards Summary'!$H:$H,'Awards Summary'!$B:$B,$C11,'Awards Summary'!$J:$J,"HESC")</f>
        <v>0</v>
      </c>
      <c r="CS11" s="55">
        <f>SUMIFS('Disbursements Summary'!$E:$E,'Disbursements Summary'!$C:$C,$C11,'Disbursements Summary'!$A:$A,"HESC")</f>
        <v>0</v>
      </c>
      <c r="CT11" s="55">
        <f>SUMIFS('Awards Summary'!$H:$H,'Awards Summary'!$B:$B,$C11,'Awards Summary'!$J:$J,"GOSR")</f>
        <v>0</v>
      </c>
      <c r="CU11" s="55">
        <f>SUMIFS('Disbursements Summary'!$E:$E,'Disbursements Summary'!$C:$C,$C11,'Disbursements Summary'!$A:$A,"GOSR")</f>
        <v>0</v>
      </c>
      <c r="CV11" s="55">
        <f>SUMIFS('Awards Summary'!$H:$H,'Awards Summary'!$B:$B,$C11,'Awards Summary'!$J:$J,"HRPT")</f>
        <v>0</v>
      </c>
      <c r="CW11" s="55">
        <f>SUMIFS('Disbursements Summary'!$E:$E,'Disbursements Summary'!$C:$C,$C11,'Disbursements Summary'!$A:$A,"HRPT")</f>
        <v>0</v>
      </c>
      <c r="CX11" s="55">
        <f>SUMIFS('Awards Summary'!$H:$H,'Awards Summary'!$B:$B,$C11,'Awards Summary'!$J:$J,"HRBRRD")</f>
        <v>0</v>
      </c>
      <c r="CY11" s="55">
        <f>SUMIFS('Disbursements Summary'!$E:$E,'Disbursements Summary'!$C:$C,$C11,'Disbursements Summary'!$A:$A,"HRBRRD")</f>
        <v>0</v>
      </c>
      <c r="CZ11" s="55">
        <f>SUMIFS('Awards Summary'!$H:$H,'Awards Summary'!$B:$B,$C11,'Awards Summary'!$J:$J,"ITS")</f>
        <v>0</v>
      </c>
      <c r="DA11" s="55">
        <f>SUMIFS('Disbursements Summary'!$E:$E,'Disbursements Summary'!$C:$C,$C11,'Disbursements Summary'!$A:$A,"ITS")</f>
        <v>0</v>
      </c>
      <c r="DB11" s="55">
        <f>SUMIFS('Awards Summary'!$H:$H,'Awards Summary'!$B:$B,$C11,'Awards Summary'!$J:$J,"JAVITS")</f>
        <v>0</v>
      </c>
      <c r="DC11" s="55">
        <f>SUMIFS('Disbursements Summary'!$E:$E,'Disbursements Summary'!$C:$C,$C11,'Disbursements Summary'!$A:$A,"JAVITS")</f>
        <v>0</v>
      </c>
      <c r="DD11" s="55">
        <f>SUMIFS('Awards Summary'!$H:$H,'Awards Summary'!$B:$B,$C11,'Awards Summary'!$J:$J,"JCOPE")</f>
        <v>0</v>
      </c>
      <c r="DE11" s="55">
        <f>SUMIFS('Disbursements Summary'!$E:$E,'Disbursements Summary'!$C:$C,$C11,'Disbursements Summary'!$A:$A,"JCOPE")</f>
        <v>0</v>
      </c>
      <c r="DF11" s="55">
        <f>SUMIFS('Awards Summary'!$H:$H,'Awards Summary'!$B:$B,$C11,'Awards Summary'!$J:$J,"JUSTICE")</f>
        <v>0</v>
      </c>
      <c r="DG11" s="55">
        <f>SUMIFS('Disbursements Summary'!$E:$E,'Disbursements Summary'!$C:$C,$C11,'Disbursements Summary'!$A:$A,"JUSTICE")</f>
        <v>0</v>
      </c>
      <c r="DH11" s="55">
        <f>SUMIFS('Awards Summary'!$H:$H,'Awards Summary'!$B:$B,$C11,'Awards Summary'!$J:$J,"LCWSA")</f>
        <v>0</v>
      </c>
      <c r="DI11" s="55">
        <f>SUMIFS('Disbursements Summary'!$E:$E,'Disbursements Summary'!$C:$C,$C11,'Disbursements Summary'!$A:$A,"LCWSA")</f>
        <v>0</v>
      </c>
      <c r="DJ11" s="55">
        <f>SUMIFS('Awards Summary'!$H:$H,'Awards Summary'!$B:$B,$C11,'Awards Summary'!$J:$J,"LIPA")</f>
        <v>0</v>
      </c>
      <c r="DK11" s="55">
        <f>SUMIFS('Disbursements Summary'!$E:$E,'Disbursements Summary'!$C:$C,$C11,'Disbursements Summary'!$A:$A,"LIPA")</f>
        <v>0</v>
      </c>
      <c r="DL11" s="55">
        <f>SUMIFS('Awards Summary'!$H:$H,'Awards Summary'!$B:$B,$C11,'Awards Summary'!$J:$J,"MTA")</f>
        <v>0</v>
      </c>
      <c r="DM11" s="55">
        <f>SUMIFS('Disbursements Summary'!$E:$E,'Disbursements Summary'!$C:$C,$C11,'Disbursements Summary'!$A:$A,"MTA")</f>
        <v>0</v>
      </c>
      <c r="DN11" s="55">
        <f>SUMIFS('Awards Summary'!$H:$H,'Awards Summary'!$B:$B,$C11,'Awards Summary'!$J:$J,"NIFA")</f>
        <v>0</v>
      </c>
      <c r="DO11" s="55">
        <f>SUMIFS('Disbursements Summary'!$E:$E,'Disbursements Summary'!$C:$C,$C11,'Disbursements Summary'!$A:$A,"NIFA")</f>
        <v>0</v>
      </c>
      <c r="DP11" s="55">
        <f>SUMIFS('Awards Summary'!$H:$H,'Awards Summary'!$B:$B,$C11,'Awards Summary'!$J:$J,"NHCC")</f>
        <v>0</v>
      </c>
      <c r="DQ11" s="55">
        <f>SUMIFS('Disbursements Summary'!$E:$E,'Disbursements Summary'!$C:$C,$C11,'Disbursements Summary'!$A:$A,"NHCC")</f>
        <v>0</v>
      </c>
      <c r="DR11" s="55">
        <f>SUMIFS('Awards Summary'!$H:$H,'Awards Summary'!$B:$B,$C11,'Awards Summary'!$J:$J,"NHT")</f>
        <v>0</v>
      </c>
      <c r="DS11" s="55">
        <f>SUMIFS('Disbursements Summary'!$E:$E,'Disbursements Summary'!$C:$C,$C11,'Disbursements Summary'!$A:$A,"NHT")</f>
        <v>0</v>
      </c>
      <c r="DT11" s="55">
        <f>SUMIFS('Awards Summary'!$H:$H,'Awards Summary'!$B:$B,$C11,'Awards Summary'!$J:$J,"NYPA")</f>
        <v>0</v>
      </c>
      <c r="DU11" s="55">
        <f>SUMIFS('Disbursements Summary'!$E:$E,'Disbursements Summary'!$C:$C,$C11,'Disbursements Summary'!$A:$A,"NYPA")</f>
        <v>0</v>
      </c>
      <c r="DV11" s="55">
        <f>SUMIFS('Awards Summary'!$H:$H,'Awards Summary'!$B:$B,$C11,'Awards Summary'!$J:$J,"NYSBA")</f>
        <v>0</v>
      </c>
      <c r="DW11" s="55">
        <f>SUMIFS('Disbursements Summary'!$E:$E,'Disbursements Summary'!$C:$C,$C11,'Disbursements Summary'!$A:$A,"NYSBA")</f>
        <v>0</v>
      </c>
      <c r="DX11" s="55">
        <f>SUMIFS('Awards Summary'!$H:$H,'Awards Summary'!$B:$B,$C11,'Awards Summary'!$J:$J,"NYSERDA")</f>
        <v>0</v>
      </c>
      <c r="DY11" s="55">
        <f>SUMIFS('Disbursements Summary'!$E:$E,'Disbursements Summary'!$C:$C,$C11,'Disbursements Summary'!$A:$A,"NYSERDA")</f>
        <v>0</v>
      </c>
      <c r="DZ11" s="55">
        <f>SUMIFS('Awards Summary'!$H:$H,'Awards Summary'!$B:$B,$C11,'Awards Summary'!$J:$J,"DHCR")</f>
        <v>0</v>
      </c>
      <c r="EA11" s="55">
        <f>SUMIFS('Disbursements Summary'!$E:$E,'Disbursements Summary'!$C:$C,$C11,'Disbursements Summary'!$A:$A,"DHCR")</f>
        <v>0</v>
      </c>
      <c r="EB11" s="55">
        <f>SUMIFS('Awards Summary'!$H:$H,'Awards Summary'!$B:$B,$C11,'Awards Summary'!$J:$J,"HFA")</f>
        <v>0</v>
      </c>
      <c r="EC11" s="55">
        <f>SUMIFS('Disbursements Summary'!$E:$E,'Disbursements Summary'!$C:$C,$C11,'Disbursements Summary'!$A:$A,"HFA")</f>
        <v>0</v>
      </c>
      <c r="ED11" s="55">
        <f>SUMIFS('Awards Summary'!$H:$H,'Awards Summary'!$B:$B,$C11,'Awards Summary'!$J:$J,"NYSIF")</f>
        <v>0</v>
      </c>
      <c r="EE11" s="55">
        <f>SUMIFS('Disbursements Summary'!$E:$E,'Disbursements Summary'!$C:$C,$C11,'Disbursements Summary'!$A:$A,"NYSIF")</f>
        <v>0</v>
      </c>
      <c r="EF11" s="55">
        <f>SUMIFS('Awards Summary'!$H:$H,'Awards Summary'!$B:$B,$C11,'Awards Summary'!$J:$J,"NYBREDS")</f>
        <v>0</v>
      </c>
      <c r="EG11" s="55">
        <f>SUMIFS('Disbursements Summary'!$E:$E,'Disbursements Summary'!$C:$C,$C11,'Disbursements Summary'!$A:$A,"NYBREDS")</f>
        <v>0</v>
      </c>
      <c r="EH11" s="55">
        <f>SUMIFS('Awards Summary'!$H:$H,'Awards Summary'!$B:$B,$C11,'Awards Summary'!$J:$J,"NYSTA")</f>
        <v>0</v>
      </c>
      <c r="EI11" s="55">
        <f>SUMIFS('Disbursements Summary'!$E:$E,'Disbursements Summary'!$C:$C,$C11,'Disbursements Summary'!$A:$A,"NYSTA")</f>
        <v>0</v>
      </c>
      <c r="EJ11" s="55">
        <f>SUMIFS('Awards Summary'!$H:$H,'Awards Summary'!$B:$B,$C11,'Awards Summary'!$J:$J,"NFWB")</f>
        <v>0</v>
      </c>
      <c r="EK11" s="55">
        <f>SUMIFS('Disbursements Summary'!$E:$E,'Disbursements Summary'!$C:$C,$C11,'Disbursements Summary'!$A:$A,"NFWB")</f>
        <v>0</v>
      </c>
      <c r="EL11" s="55">
        <f>SUMIFS('Awards Summary'!$H:$H,'Awards Summary'!$B:$B,$C11,'Awards Summary'!$J:$J,"NFTA")</f>
        <v>0</v>
      </c>
      <c r="EM11" s="55">
        <f>SUMIFS('Disbursements Summary'!$E:$E,'Disbursements Summary'!$C:$C,$C11,'Disbursements Summary'!$A:$A,"NFTA")</f>
        <v>0</v>
      </c>
      <c r="EN11" s="55">
        <f>SUMIFS('Awards Summary'!$H:$H,'Awards Summary'!$B:$B,$C11,'Awards Summary'!$J:$J,"OPWDD")</f>
        <v>0</v>
      </c>
      <c r="EO11" s="55">
        <f>SUMIFS('Disbursements Summary'!$E:$E,'Disbursements Summary'!$C:$C,$C11,'Disbursements Summary'!$A:$A,"OPWDD")</f>
        <v>0</v>
      </c>
      <c r="EP11" s="55">
        <f>SUMIFS('Awards Summary'!$H:$H,'Awards Summary'!$B:$B,$C11,'Awards Summary'!$J:$J,"AGING")</f>
        <v>0</v>
      </c>
      <c r="EQ11" s="55">
        <f>SUMIFS('Disbursements Summary'!$E:$E,'Disbursements Summary'!$C:$C,$C11,'Disbursements Summary'!$A:$A,"AGING")</f>
        <v>0</v>
      </c>
      <c r="ER11" s="55">
        <f>SUMIFS('Awards Summary'!$H:$H,'Awards Summary'!$B:$B,$C11,'Awards Summary'!$J:$J,"OPDV")</f>
        <v>0</v>
      </c>
      <c r="ES11" s="55">
        <f>SUMIFS('Disbursements Summary'!$E:$E,'Disbursements Summary'!$C:$C,$C11,'Disbursements Summary'!$A:$A,"OPDV")</f>
        <v>0</v>
      </c>
      <c r="ET11" s="55">
        <f>SUMIFS('Awards Summary'!$H:$H,'Awards Summary'!$B:$B,$C11,'Awards Summary'!$J:$J,"OVS")</f>
        <v>0</v>
      </c>
      <c r="EU11" s="55">
        <f>SUMIFS('Disbursements Summary'!$E:$E,'Disbursements Summary'!$C:$C,$C11,'Disbursements Summary'!$A:$A,"OVS")</f>
        <v>0</v>
      </c>
      <c r="EV11" s="55">
        <f>SUMIFS('Awards Summary'!$H:$H,'Awards Summary'!$B:$B,$C11,'Awards Summary'!$J:$J,"OASAS")</f>
        <v>0</v>
      </c>
      <c r="EW11" s="55">
        <f>SUMIFS('Disbursements Summary'!$E:$E,'Disbursements Summary'!$C:$C,$C11,'Disbursements Summary'!$A:$A,"OASAS")</f>
        <v>0</v>
      </c>
      <c r="EX11" s="55">
        <f>SUMIFS('Awards Summary'!$H:$H,'Awards Summary'!$B:$B,$C11,'Awards Summary'!$J:$J,"OCFS")</f>
        <v>0</v>
      </c>
      <c r="EY11" s="55">
        <f>SUMIFS('Disbursements Summary'!$E:$E,'Disbursements Summary'!$C:$C,$C11,'Disbursements Summary'!$A:$A,"OCFS")</f>
        <v>0</v>
      </c>
      <c r="EZ11" s="55">
        <f>SUMIFS('Awards Summary'!$H:$H,'Awards Summary'!$B:$B,$C11,'Awards Summary'!$J:$J,"OGS")</f>
        <v>0</v>
      </c>
      <c r="FA11" s="55">
        <f>SUMIFS('Disbursements Summary'!$E:$E,'Disbursements Summary'!$C:$C,$C11,'Disbursements Summary'!$A:$A,"OGS")</f>
        <v>0</v>
      </c>
      <c r="FB11" s="55">
        <f>SUMIFS('Awards Summary'!$H:$H,'Awards Summary'!$B:$B,$C11,'Awards Summary'!$J:$J,"OMH")</f>
        <v>0</v>
      </c>
      <c r="FC11" s="55">
        <f>SUMIFS('Disbursements Summary'!$E:$E,'Disbursements Summary'!$C:$C,$C11,'Disbursements Summary'!$A:$A,"OMH")</f>
        <v>0</v>
      </c>
      <c r="FD11" s="55">
        <f>SUMIFS('Awards Summary'!$H:$H,'Awards Summary'!$B:$B,$C11,'Awards Summary'!$J:$J,"PARKS")</f>
        <v>0</v>
      </c>
      <c r="FE11" s="55">
        <f>SUMIFS('Disbursements Summary'!$E:$E,'Disbursements Summary'!$C:$C,$C11,'Disbursements Summary'!$A:$A,"PARKS")</f>
        <v>0</v>
      </c>
      <c r="FF11" s="55">
        <f>SUMIFS('Awards Summary'!$H:$H,'Awards Summary'!$B:$B,$C11,'Awards Summary'!$J:$J,"OTDA")</f>
        <v>0</v>
      </c>
      <c r="FG11" s="55">
        <f>SUMIFS('Disbursements Summary'!$E:$E,'Disbursements Summary'!$C:$C,$C11,'Disbursements Summary'!$A:$A,"OTDA")</f>
        <v>0</v>
      </c>
      <c r="FH11" s="55">
        <f>SUMIFS('Awards Summary'!$H:$H,'Awards Summary'!$B:$B,$C11,'Awards Summary'!$J:$J,"OIG")</f>
        <v>0</v>
      </c>
      <c r="FI11" s="55">
        <f>SUMIFS('Disbursements Summary'!$E:$E,'Disbursements Summary'!$C:$C,$C11,'Disbursements Summary'!$A:$A,"OIG")</f>
        <v>0</v>
      </c>
      <c r="FJ11" s="55">
        <f>SUMIFS('Awards Summary'!$H:$H,'Awards Summary'!$B:$B,$C11,'Awards Summary'!$J:$J,"OMIG")</f>
        <v>0</v>
      </c>
      <c r="FK11" s="55">
        <f>SUMIFS('Disbursements Summary'!$E:$E,'Disbursements Summary'!$C:$C,$C11,'Disbursements Summary'!$A:$A,"OMIG")</f>
        <v>0</v>
      </c>
      <c r="FL11" s="55">
        <f>SUMIFS('Awards Summary'!$H:$H,'Awards Summary'!$B:$B,$C11,'Awards Summary'!$J:$J,"OSC")</f>
        <v>0</v>
      </c>
      <c r="FM11" s="55">
        <f>SUMIFS('Disbursements Summary'!$E:$E,'Disbursements Summary'!$C:$C,$C11,'Disbursements Summary'!$A:$A,"OSC")</f>
        <v>0</v>
      </c>
      <c r="FN11" s="55">
        <f>SUMIFS('Awards Summary'!$H:$H,'Awards Summary'!$B:$B,$C11,'Awards Summary'!$J:$J,"OWIG")</f>
        <v>0</v>
      </c>
      <c r="FO11" s="55">
        <f>SUMIFS('Disbursements Summary'!$E:$E,'Disbursements Summary'!$C:$C,$C11,'Disbursements Summary'!$A:$A,"OWIG")</f>
        <v>0</v>
      </c>
      <c r="FP11" s="55">
        <f>SUMIFS('Awards Summary'!$H:$H,'Awards Summary'!$B:$B,$C11,'Awards Summary'!$J:$J,"OGDEN")</f>
        <v>0</v>
      </c>
      <c r="FQ11" s="55">
        <f>SUMIFS('Disbursements Summary'!$E:$E,'Disbursements Summary'!$C:$C,$C11,'Disbursements Summary'!$A:$A,"OGDEN")</f>
        <v>0</v>
      </c>
      <c r="FR11" s="55">
        <f>SUMIFS('Awards Summary'!$H:$H,'Awards Summary'!$B:$B,$C11,'Awards Summary'!$J:$J,"ORDA")</f>
        <v>0</v>
      </c>
      <c r="FS11" s="55">
        <f>SUMIFS('Disbursements Summary'!$E:$E,'Disbursements Summary'!$C:$C,$C11,'Disbursements Summary'!$A:$A,"ORDA")</f>
        <v>0</v>
      </c>
      <c r="FT11" s="55">
        <f>SUMIFS('Awards Summary'!$H:$H,'Awards Summary'!$B:$B,$C11,'Awards Summary'!$J:$J,"OSWEGO")</f>
        <v>0</v>
      </c>
      <c r="FU11" s="55">
        <f>SUMIFS('Disbursements Summary'!$E:$E,'Disbursements Summary'!$C:$C,$C11,'Disbursements Summary'!$A:$A,"OSWEGO")</f>
        <v>0</v>
      </c>
      <c r="FV11" s="55">
        <f>SUMIFS('Awards Summary'!$H:$H,'Awards Summary'!$B:$B,$C11,'Awards Summary'!$J:$J,"PERB")</f>
        <v>0</v>
      </c>
      <c r="FW11" s="55">
        <f>SUMIFS('Disbursements Summary'!$E:$E,'Disbursements Summary'!$C:$C,$C11,'Disbursements Summary'!$A:$A,"PERB")</f>
        <v>0</v>
      </c>
      <c r="FX11" s="55">
        <f>SUMIFS('Awards Summary'!$H:$H,'Awards Summary'!$B:$B,$C11,'Awards Summary'!$J:$J,"RGRTA")</f>
        <v>0</v>
      </c>
      <c r="FY11" s="55">
        <f>SUMIFS('Disbursements Summary'!$E:$E,'Disbursements Summary'!$C:$C,$C11,'Disbursements Summary'!$A:$A,"RGRTA")</f>
        <v>0</v>
      </c>
      <c r="FZ11" s="55">
        <f>SUMIFS('Awards Summary'!$H:$H,'Awards Summary'!$B:$B,$C11,'Awards Summary'!$J:$J,"RIOC")</f>
        <v>0</v>
      </c>
      <c r="GA11" s="55">
        <f>SUMIFS('Disbursements Summary'!$E:$E,'Disbursements Summary'!$C:$C,$C11,'Disbursements Summary'!$A:$A,"RIOC")</f>
        <v>0</v>
      </c>
      <c r="GB11" s="55">
        <f>SUMIFS('Awards Summary'!$H:$H,'Awards Summary'!$B:$B,$C11,'Awards Summary'!$J:$J,"RPCI")</f>
        <v>0</v>
      </c>
      <c r="GC11" s="55">
        <f>SUMIFS('Disbursements Summary'!$E:$E,'Disbursements Summary'!$C:$C,$C11,'Disbursements Summary'!$A:$A,"RPCI")</f>
        <v>0</v>
      </c>
      <c r="GD11" s="55">
        <f>SUMIFS('Awards Summary'!$H:$H,'Awards Summary'!$B:$B,$C11,'Awards Summary'!$J:$J,"SMDA")</f>
        <v>0</v>
      </c>
      <c r="GE11" s="55">
        <f>SUMIFS('Disbursements Summary'!$E:$E,'Disbursements Summary'!$C:$C,$C11,'Disbursements Summary'!$A:$A,"SMDA")</f>
        <v>0</v>
      </c>
      <c r="GF11" s="55">
        <f>SUMIFS('Awards Summary'!$H:$H,'Awards Summary'!$B:$B,$C11,'Awards Summary'!$J:$J,"SCOC")</f>
        <v>0</v>
      </c>
      <c r="GG11" s="55">
        <f>SUMIFS('Disbursements Summary'!$E:$E,'Disbursements Summary'!$C:$C,$C11,'Disbursements Summary'!$A:$A,"SCOC")</f>
        <v>0</v>
      </c>
      <c r="GH11" s="55">
        <f>SUMIFS('Awards Summary'!$H:$H,'Awards Summary'!$B:$B,$C11,'Awards Summary'!$J:$J,"SUCF")</f>
        <v>0</v>
      </c>
      <c r="GI11" s="55">
        <f>SUMIFS('Disbursements Summary'!$E:$E,'Disbursements Summary'!$C:$C,$C11,'Disbursements Summary'!$A:$A,"SUCF")</f>
        <v>0</v>
      </c>
      <c r="GJ11" s="55">
        <f>SUMIFS('Awards Summary'!$H:$H,'Awards Summary'!$B:$B,$C11,'Awards Summary'!$J:$J,"SUNY")</f>
        <v>0</v>
      </c>
      <c r="GK11" s="55">
        <f>SUMIFS('Disbursements Summary'!$E:$E,'Disbursements Summary'!$C:$C,$C11,'Disbursements Summary'!$A:$A,"SUNY")</f>
        <v>0</v>
      </c>
      <c r="GL11" s="55">
        <f>SUMIFS('Awards Summary'!$H:$H,'Awards Summary'!$B:$B,$C11,'Awards Summary'!$J:$J,"SRAA")</f>
        <v>0</v>
      </c>
      <c r="GM11" s="55">
        <f>SUMIFS('Disbursements Summary'!$E:$E,'Disbursements Summary'!$C:$C,$C11,'Disbursements Summary'!$A:$A,"SRAA")</f>
        <v>0</v>
      </c>
      <c r="GN11" s="55">
        <f>SUMIFS('Awards Summary'!$H:$H,'Awards Summary'!$B:$B,$C11,'Awards Summary'!$J:$J,"UNDC")</f>
        <v>0</v>
      </c>
      <c r="GO11" s="55">
        <f>SUMIFS('Disbursements Summary'!$E:$E,'Disbursements Summary'!$C:$C,$C11,'Disbursements Summary'!$A:$A,"UNDC")</f>
        <v>0</v>
      </c>
      <c r="GP11" s="55">
        <f>SUMIFS('Awards Summary'!$H:$H,'Awards Summary'!$B:$B,$C11,'Awards Summary'!$J:$J,"MVWA")</f>
        <v>0</v>
      </c>
      <c r="GQ11" s="55">
        <f>SUMIFS('Disbursements Summary'!$E:$E,'Disbursements Summary'!$C:$C,$C11,'Disbursements Summary'!$A:$A,"MVWA")</f>
        <v>0</v>
      </c>
      <c r="GR11" s="55">
        <f>SUMIFS('Awards Summary'!$H:$H,'Awards Summary'!$B:$B,$C11,'Awards Summary'!$J:$J,"WMC")</f>
        <v>0</v>
      </c>
      <c r="GS11" s="55">
        <f>SUMIFS('Disbursements Summary'!$E:$E,'Disbursements Summary'!$C:$C,$C11,'Disbursements Summary'!$A:$A,"WMC")</f>
        <v>0</v>
      </c>
      <c r="GT11" s="55">
        <f>SUMIFS('Awards Summary'!$H:$H,'Awards Summary'!$B:$B,$C11,'Awards Summary'!$J:$J,"WCB")</f>
        <v>0</v>
      </c>
      <c r="GU11" s="55">
        <f>SUMIFS('Disbursements Summary'!$E:$E,'Disbursements Summary'!$C:$C,$C11,'Disbursements Summary'!$A:$A,"WCB")</f>
        <v>0</v>
      </c>
      <c r="GV11" s="32">
        <f t="shared" si="1"/>
        <v>0</v>
      </c>
      <c r="GW11" s="32">
        <f t="shared" si="2"/>
        <v>0</v>
      </c>
      <c r="GX11" s="30" t="b">
        <f t="shared" si="3"/>
        <v>1</v>
      </c>
      <c r="GY11" s="30" t="b">
        <f t="shared" si="4"/>
        <v>1</v>
      </c>
    </row>
    <row r="12" spans="1:207" s="30" customFormat="1">
      <c r="A12" s="22" t="str">
        <f t="shared" si="0"/>
        <v/>
      </c>
      <c r="B12" s="40" t="s">
        <v>36</v>
      </c>
      <c r="C12" s="16">
        <v>141018</v>
      </c>
      <c r="D12" s="26">
        <f>COUNTIF('Awards Summary'!B:B,"141018")</f>
        <v>0</v>
      </c>
      <c r="E12" s="45">
        <f>SUMIFS('Awards Summary'!H:H,'Awards Summary'!B:B,"141018")</f>
        <v>0</v>
      </c>
      <c r="F12" s="46">
        <f>SUMIFS('Disbursements Summary'!E:E,'Disbursements Summary'!C:C, "141018")</f>
        <v>0</v>
      </c>
      <c r="H12" s="55">
        <f>SUMIFS('Awards Summary'!$H:$H,'Awards Summary'!$B:$B,$C12,'Awards Summary'!$J:$J,"APA")</f>
        <v>0</v>
      </c>
      <c r="I12" s="55">
        <f>SUMIFS('Disbursements Summary'!$E:$E,'Disbursements Summary'!$C:$C,$C12,'Disbursements Summary'!$A:$A,"APA")</f>
        <v>0</v>
      </c>
      <c r="J12" s="55">
        <f>SUMIFS('Awards Summary'!$H:$H,'Awards Summary'!$B:$B,$C12,'Awards Summary'!$J:$J,"Ag&amp;Horse")</f>
        <v>0</v>
      </c>
      <c r="K12" s="55">
        <f>SUMIFS('Disbursements Summary'!$E:$E,'Disbursements Summary'!$C:$C,$C12,'Disbursements Summary'!$A:$A,"Ag&amp;Horse")</f>
        <v>0</v>
      </c>
      <c r="L12" s="55">
        <f>SUMIFS('Awards Summary'!$H:$H,'Awards Summary'!$B:$B,$C12,'Awards Summary'!$J:$J,"ACAA")</f>
        <v>0</v>
      </c>
      <c r="M12" s="55">
        <f>SUMIFS('Disbursements Summary'!$E:$E,'Disbursements Summary'!$C:$C,$C12,'Disbursements Summary'!$A:$A,"ACAA")</f>
        <v>0</v>
      </c>
      <c r="N12" s="55">
        <f>SUMIFS('Awards Summary'!$H:$H,'Awards Summary'!$B:$B,$C12,'Awards Summary'!$J:$J,"PortAlbany")</f>
        <v>0</v>
      </c>
      <c r="O12" s="55">
        <f>SUMIFS('Disbursements Summary'!$E:$E,'Disbursements Summary'!$C:$C,$C12,'Disbursements Summary'!$A:$A,"PortAlbany")</f>
        <v>0</v>
      </c>
      <c r="P12" s="55">
        <f>SUMIFS('Awards Summary'!$H:$H,'Awards Summary'!$B:$B,$C12,'Awards Summary'!$J:$J,"SLA")</f>
        <v>0</v>
      </c>
      <c r="Q12" s="55">
        <f>SUMIFS('Disbursements Summary'!$E:$E,'Disbursements Summary'!$C:$C,$C12,'Disbursements Summary'!$A:$A,"SLA")</f>
        <v>0</v>
      </c>
      <c r="R12" s="55">
        <f>SUMIFS('Awards Summary'!$H:$H,'Awards Summary'!$B:$B,$C12,'Awards Summary'!$J:$J,"BPCA")</f>
        <v>0</v>
      </c>
      <c r="S12" s="55">
        <f>SUMIFS('Disbursements Summary'!$E:$E,'Disbursements Summary'!$C:$C,$C12,'Disbursements Summary'!$A:$A,"BPCA")</f>
        <v>0</v>
      </c>
      <c r="T12" s="55">
        <f>SUMIFS('Awards Summary'!$H:$H,'Awards Summary'!$B:$B,$C12,'Awards Summary'!$J:$J,"ELECTIONS")</f>
        <v>0</v>
      </c>
      <c r="U12" s="55">
        <f>SUMIFS('Disbursements Summary'!$E:$E,'Disbursements Summary'!$C:$C,$C12,'Disbursements Summary'!$A:$A,"ELECTIONS")</f>
        <v>0</v>
      </c>
      <c r="V12" s="55">
        <f>SUMIFS('Awards Summary'!$H:$H,'Awards Summary'!$B:$B,$C12,'Awards Summary'!$J:$J,"BFSA")</f>
        <v>0</v>
      </c>
      <c r="W12" s="55">
        <f>SUMIFS('Disbursements Summary'!$E:$E,'Disbursements Summary'!$C:$C,$C12,'Disbursements Summary'!$A:$A,"BFSA")</f>
        <v>0</v>
      </c>
      <c r="X12" s="55">
        <f>SUMIFS('Awards Summary'!$H:$H,'Awards Summary'!$B:$B,$C12,'Awards Summary'!$J:$J,"CDTA")</f>
        <v>0</v>
      </c>
      <c r="Y12" s="55">
        <f>SUMIFS('Disbursements Summary'!$E:$E,'Disbursements Summary'!$C:$C,$C12,'Disbursements Summary'!$A:$A,"CDTA")</f>
        <v>0</v>
      </c>
      <c r="Z12" s="55">
        <f>SUMIFS('Awards Summary'!$H:$H,'Awards Summary'!$B:$B,$C12,'Awards Summary'!$J:$J,"CCWSA")</f>
        <v>0</v>
      </c>
      <c r="AA12" s="55">
        <f>SUMIFS('Disbursements Summary'!$E:$E,'Disbursements Summary'!$C:$C,$C12,'Disbursements Summary'!$A:$A,"CCWSA")</f>
        <v>0</v>
      </c>
      <c r="AB12" s="55">
        <f>SUMIFS('Awards Summary'!$H:$H,'Awards Summary'!$B:$B,$C12,'Awards Summary'!$J:$J,"CNYRTA")</f>
        <v>0</v>
      </c>
      <c r="AC12" s="55">
        <f>SUMIFS('Disbursements Summary'!$E:$E,'Disbursements Summary'!$C:$C,$C12,'Disbursements Summary'!$A:$A,"CNYRTA")</f>
        <v>0</v>
      </c>
      <c r="AD12" s="55">
        <f>SUMIFS('Awards Summary'!$H:$H,'Awards Summary'!$B:$B,$C12,'Awards Summary'!$J:$J,"CUCF")</f>
        <v>0</v>
      </c>
      <c r="AE12" s="55">
        <f>SUMIFS('Disbursements Summary'!$E:$E,'Disbursements Summary'!$C:$C,$C12,'Disbursements Summary'!$A:$A,"CUCF")</f>
        <v>0</v>
      </c>
      <c r="AF12" s="55">
        <f>SUMIFS('Awards Summary'!$H:$H,'Awards Summary'!$B:$B,$C12,'Awards Summary'!$J:$J,"CUNY")</f>
        <v>0</v>
      </c>
      <c r="AG12" s="55">
        <f>SUMIFS('Disbursements Summary'!$E:$E,'Disbursements Summary'!$C:$C,$C12,'Disbursements Summary'!$A:$A,"CUNY")</f>
        <v>0</v>
      </c>
      <c r="AH12" s="55">
        <f>SUMIFS('Awards Summary'!$H:$H,'Awards Summary'!$B:$B,$C12,'Awards Summary'!$J:$J,"ARTS")</f>
        <v>0</v>
      </c>
      <c r="AI12" s="55">
        <f>SUMIFS('Disbursements Summary'!$E:$E,'Disbursements Summary'!$C:$C,$C12,'Disbursements Summary'!$A:$A,"ARTS")</f>
        <v>0</v>
      </c>
      <c r="AJ12" s="55">
        <f>SUMIFS('Awards Summary'!$H:$H,'Awards Summary'!$B:$B,$C12,'Awards Summary'!$J:$J,"AG&amp;MKTS")</f>
        <v>0</v>
      </c>
      <c r="AK12" s="55">
        <f>SUMIFS('Disbursements Summary'!$E:$E,'Disbursements Summary'!$C:$C,$C12,'Disbursements Summary'!$A:$A,"AG&amp;MKTS")</f>
        <v>0</v>
      </c>
      <c r="AL12" s="55">
        <f>SUMIFS('Awards Summary'!$H:$H,'Awards Summary'!$B:$B,$C12,'Awards Summary'!$J:$J,"CS")</f>
        <v>0</v>
      </c>
      <c r="AM12" s="55">
        <f>SUMIFS('Disbursements Summary'!$E:$E,'Disbursements Summary'!$C:$C,$C12,'Disbursements Summary'!$A:$A,"CS")</f>
        <v>0</v>
      </c>
      <c r="AN12" s="55">
        <f>SUMIFS('Awards Summary'!$H:$H,'Awards Summary'!$B:$B,$C12,'Awards Summary'!$J:$J,"DOCCS")</f>
        <v>0</v>
      </c>
      <c r="AO12" s="55">
        <f>SUMIFS('Disbursements Summary'!$E:$E,'Disbursements Summary'!$C:$C,$C12,'Disbursements Summary'!$A:$A,"DOCCS")</f>
        <v>0</v>
      </c>
      <c r="AP12" s="55">
        <f>SUMIFS('Awards Summary'!$H:$H,'Awards Summary'!$B:$B,$C12,'Awards Summary'!$J:$J,"DED")</f>
        <v>0</v>
      </c>
      <c r="AQ12" s="55">
        <f>SUMIFS('Disbursements Summary'!$E:$E,'Disbursements Summary'!$C:$C,$C12,'Disbursements Summary'!$A:$A,"DED")</f>
        <v>0</v>
      </c>
      <c r="AR12" s="55">
        <f>SUMIFS('Awards Summary'!$H:$H,'Awards Summary'!$B:$B,$C12,'Awards Summary'!$J:$J,"DEC")</f>
        <v>0</v>
      </c>
      <c r="AS12" s="55">
        <f>SUMIFS('Disbursements Summary'!$E:$E,'Disbursements Summary'!$C:$C,$C12,'Disbursements Summary'!$A:$A,"DEC")</f>
        <v>0</v>
      </c>
      <c r="AT12" s="55">
        <f>SUMIFS('Awards Summary'!$H:$H,'Awards Summary'!$B:$B,$C12,'Awards Summary'!$J:$J,"DFS")</f>
        <v>0</v>
      </c>
      <c r="AU12" s="55">
        <f>SUMIFS('Disbursements Summary'!$E:$E,'Disbursements Summary'!$C:$C,$C12,'Disbursements Summary'!$A:$A,"DFS")</f>
        <v>0</v>
      </c>
      <c r="AV12" s="55">
        <f>SUMIFS('Awards Summary'!$H:$H,'Awards Summary'!$B:$B,$C12,'Awards Summary'!$J:$J,"DOH")</f>
        <v>0</v>
      </c>
      <c r="AW12" s="55">
        <f>SUMIFS('Disbursements Summary'!$E:$E,'Disbursements Summary'!$C:$C,$C12,'Disbursements Summary'!$A:$A,"DOH")</f>
        <v>0</v>
      </c>
      <c r="AX12" s="55">
        <f>SUMIFS('Awards Summary'!$H:$H,'Awards Summary'!$B:$B,$C12,'Awards Summary'!$J:$J,"DOL")</f>
        <v>0</v>
      </c>
      <c r="AY12" s="55">
        <f>SUMIFS('Disbursements Summary'!$E:$E,'Disbursements Summary'!$C:$C,$C12,'Disbursements Summary'!$A:$A,"DOL")</f>
        <v>0</v>
      </c>
      <c r="AZ12" s="55">
        <f>SUMIFS('Awards Summary'!$H:$H,'Awards Summary'!$B:$B,$C12,'Awards Summary'!$J:$J,"DMV")</f>
        <v>0</v>
      </c>
      <c r="BA12" s="55">
        <f>SUMIFS('Disbursements Summary'!$E:$E,'Disbursements Summary'!$C:$C,$C12,'Disbursements Summary'!$A:$A,"DMV")</f>
        <v>0</v>
      </c>
      <c r="BB12" s="55">
        <f>SUMIFS('Awards Summary'!$H:$H,'Awards Summary'!$B:$B,$C12,'Awards Summary'!$J:$J,"DPS")</f>
        <v>0</v>
      </c>
      <c r="BC12" s="55">
        <f>SUMIFS('Disbursements Summary'!$E:$E,'Disbursements Summary'!$C:$C,$C12,'Disbursements Summary'!$A:$A,"DPS")</f>
        <v>0</v>
      </c>
      <c r="BD12" s="55">
        <f>SUMIFS('Awards Summary'!$H:$H,'Awards Summary'!$B:$B,$C12,'Awards Summary'!$J:$J,"DOS")</f>
        <v>0</v>
      </c>
      <c r="BE12" s="55">
        <f>SUMIFS('Disbursements Summary'!$E:$E,'Disbursements Summary'!$C:$C,$C12,'Disbursements Summary'!$A:$A,"DOS")</f>
        <v>0</v>
      </c>
      <c r="BF12" s="55">
        <f>SUMIFS('Awards Summary'!$H:$H,'Awards Summary'!$B:$B,$C12,'Awards Summary'!$J:$J,"TAX")</f>
        <v>0</v>
      </c>
      <c r="BG12" s="55">
        <f>SUMIFS('Disbursements Summary'!$E:$E,'Disbursements Summary'!$C:$C,$C12,'Disbursements Summary'!$A:$A,"TAX")</f>
        <v>0</v>
      </c>
      <c r="BH12" s="55">
        <f>SUMIFS('Awards Summary'!$H:$H,'Awards Summary'!$B:$B,$C12,'Awards Summary'!$J:$J,"DOT")</f>
        <v>0</v>
      </c>
      <c r="BI12" s="55">
        <f>SUMIFS('Disbursements Summary'!$E:$E,'Disbursements Summary'!$C:$C,$C12,'Disbursements Summary'!$A:$A,"DOT")</f>
        <v>0</v>
      </c>
      <c r="BJ12" s="55">
        <f>SUMIFS('Awards Summary'!$H:$H,'Awards Summary'!$B:$B,$C12,'Awards Summary'!$J:$J,"DANC")</f>
        <v>0</v>
      </c>
      <c r="BK12" s="55">
        <f>SUMIFS('Disbursements Summary'!$E:$E,'Disbursements Summary'!$C:$C,$C12,'Disbursements Summary'!$A:$A,"DANC")</f>
        <v>0</v>
      </c>
      <c r="BL12" s="55">
        <f>SUMIFS('Awards Summary'!$H:$H,'Awards Summary'!$B:$B,$C12,'Awards Summary'!$J:$J,"DOB")</f>
        <v>0</v>
      </c>
      <c r="BM12" s="55">
        <f>SUMIFS('Disbursements Summary'!$E:$E,'Disbursements Summary'!$C:$C,$C12,'Disbursements Summary'!$A:$A,"DOB")</f>
        <v>0</v>
      </c>
      <c r="BN12" s="55">
        <f>SUMIFS('Awards Summary'!$H:$H,'Awards Summary'!$B:$B,$C12,'Awards Summary'!$J:$J,"DCJS")</f>
        <v>0</v>
      </c>
      <c r="BO12" s="55">
        <f>SUMIFS('Disbursements Summary'!$E:$E,'Disbursements Summary'!$C:$C,$C12,'Disbursements Summary'!$A:$A,"DCJS")</f>
        <v>0</v>
      </c>
      <c r="BP12" s="55">
        <f>SUMIFS('Awards Summary'!$H:$H,'Awards Summary'!$B:$B,$C12,'Awards Summary'!$J:$J,"DHSES")</f>
        <v>0</v>
      </c>
      <c r="BQ12" s="55">
        <f>SUMIFS('Disbursements Summary'!$E:$E,'Disbursements Summary'!$C:$C,$C12,'Disbursements Summary'!$A:$A,"DHSES")</f>
        <v>0</v>
      </c>
      <c r="BR12" s="55">
        <f>SUMIFS('Awards Summary'!$H:$H,'Awards Summary'!$B:$B,$C12,'Awards Summary'!$J:$J,"DHR")</f>
        <v>0</v>
      </c>
      <c r="BS12" s="55">
        <f>SUMIFS('Disbursements Summary'!$E:$E,'Disbursements Summary'!$C:$C,$C12,'Disbursements Summary'!$A:$A,"DHR")</f>
        <v>0</v>
      </c>
      <c r="BT12" s="55">
        <f>SUMIFS('Awards Summary'!$H:$H,'Awards Summary'!$B:$B,$C12,'Awards Summary'!$J:$J,"DMNA")</f>
        <v>0</v>
      </c>
      <c r="BU12" s="55">
        <f>SUMIFS('Disbursements Summary'!$E:$E,'Disbursements Summary'!$C:$C,$C12,'Disbursements Summary'!$A:$A,"DMNA")</f>
        <v>0</v>
      </c>
      <c r="BV12" s="55">
        <f>SUMIFS('Awards Summary'!$H:$H,'Awards Summary'!$B:$B,$C12,'Awards Summary'!$J:$J,"TROOPERS")</f>
        <v>0</v>
      </c>
      <c r="BW12" s="55">
        <f>SUMIFS('Disbursements Summary'!$E:$E,'Disbursements Summary'!$C:$C,$C12,'Disbursements Summary'!$A:$A,"TROOPERS")</f>
        <v>0</v>
      </c>
      <c r="BX12" s="55">
        <f>SUMIFS('Awards Summary'!$H:$H,'Awards Summary'!$B:$B,$C12,'Awards Summary'!$J:$J,"DVA")</f>
        <v>0</v>
      </c>
      <c r="BY12" s="55">
        <f>SUMIFS('Disbursements Summary'!$E:$E,'Disbursements Summary'!$C:$C,$C12,'Disbursements Summary'!$A:$A,"DVA")</f>
        <v>0</v>
      </c>
      <c r="BZ12" s="55">
        <f>SUMIFS('Awards Summary'!$H:$H,'Awards Summary'!$B:$B,$C12,'Awards Summary'!$J:$J,"DASNY")</f>
        <v>0</v>
      </c>
      <c r="CA12" s="55">
        <f>SUMIFS('Disbursements Summary'!$E:$E,'Disbursements Summary'!$C:$C,$C12,'Disbursements Summary'!$A:$A,"DASNY")</f>
        <v>0</v>
      </c>
      <c r="CB12" s="55">
        <f>SUMIFS('Awards Summary'!$H:$H,'Awards Summary'!$B:$B,$C12,'Awards Summary'!$J:$J,"EGG")</f>
        <v>0</v>
      </c>
      <c r="CC12" s="55">
        <f>SUMIFS('Disbursements Summary'!$E:$E,'Disbursements Summary'!$C:$C,$C12,'Disbursements Summary'!$A:$A,"EGG")</f>
        <v>0</v>
      </c>
      <c r="CD12" s="55">
        <f>SUMIFS('Awards Summary'!$H:$H,'Awards Summary'!$B:$B,$C12,'Awards Summary'!$J:$J,"ESD")</f>
        <v>0</v>
      </c>
      <c r="CE12" s="55">
        <f>SUMIFS('Disbursements Summary'!$E:$E,'Disbursements Summary'!$C:$C,$C12,'Disbursements Summary'!$A:$A,"ESD")</f>
        <v>0</v>
      </c>
      <c r="CF12" s="55">
        <f>SUMIFS('Awards Summary'!$H:$H,'Awards Summary'!$B:$B,$C12,'Awards Summary'!$J:$J,"EFC")</f>
        <v>0</v>
      </c>
      <c r="CG12" s="55">
        <f>SUMIFS('Disbursements Summary'!$E:$E,'Disbursements Summary'!$C:$C,$C12,'Disbursements Summary'!$A:$A,"EFC")</f>
        <v>0</v>
      </c>
      <c r="CH12" s="55">
        <f>SUMIFS('Awards Summary'!$H:$H,'Awards Summary'!$B:$B,$C12,'Awards Summary'!$J:$J,"ECFSA")</f>
        <v>0</v>
      </c>
      <c r="CI12" s="55">
        <f>SUMIFS('Disbursements Summary'!$E:$E,'Disbursements Summary'!$C:$C,$C12,'Disbursements Summary'!$A:$A,"ECFSA")</f>
        <v>0</v>
      </c>
      <c r="CJ12" s="55">
        <f>SUMIFS('Awards Summary'!$H:$H,'Awards Summary'!$B:$B,$C12,'Awards Summary'!$J:$J,"ECMC")</f>
        <v>0</v>
      </c>
      <c r="CK12" s="55">
        <f>SUMIFS('Disbursements Summary'!$E:$E,'Disbursements Summary'!$C:$C,$C12,'Disbursements Summary'!$A:$A,"ECMC")</f>
        <v>0</v>
      </c>
      <c r="CL12" s="55">
        <f>SUMIFS('Awards Summary'!$H:$H,'Awards Summary'!$B:$B,$C12,'Awards Summary'!$J:$J,"CHAMBER")</f>
        <v>0</v>
      </c>
      <c r="CM12" s="55">
        <f>SUMIFS('Disbursements Summary'!$E:$E,'Disbursements Summary'!$C:$C,$C12,'Disbursements Summary'!$A:$A,"CHAMBER")</f>
        <v>0</v>
      </c>
      <c r="CN12" s="55">
        <f>SUMIFS('Awards Summary'!$H:$H,'Awards Summary'!$B:$B,$C12,'Awards Summary'!$J:$J,"GAMING")</f>
        <v>0</v>
      </c>
      <c r="CO12" s="55">
        <f>SUMIFS('Disbursements Summary'!$E:$E,'Disbursements Summary'!$C:$C,$C12,'Disbursements Summary'!$A:$A,"GAMING")</f>
        <v>0</v>
      </c>
      <c r="CP12" s="55">
        <f>SUMIFS('Awards Summary'!$H:$H,'Awards Summary'!$B:$B,$C12,'Awards Summary'!$J:$J,"GOER")</f>
        <v>0</v>
      </c>
      <c r="CQ12" s="55">
        <f>SUMIFS('Disbursements Summary'!$E:$E,'Disbursements Summary'!$C:$C,$C12,'Disbursements Summary'!$A:$A,"GOER")</f>
        <v>0</v>
      </c>
      <c r="CR12" s="55">
        <f>SUMIFS('Awards Summary'!$H:$H,'Awards Summary'!$B:$B,$C12,'Awards Summary'!$J:$J,"HESC")</f>
        <v>0</v>
      </c>
      <c r="CS12" s="55">
        <f>SUMIFS('Disbursements Summary'!$E:$E,'Disbursements Summary'!$C:$C,$C12,'Disbursements Summary'!$A:$A,"HESC")</f>
        <v>0</v>
      </c>
      <c r="CT12" s="55">
        <f>SUMIFS('Awards Summary'!$H:$H,'Awards Summary'!$B:$B,$C12,'Awards Summary'!$J:$J,"GOSR")</f>
        <v>0</v>
      </c>
      <c r="CU12" s="55">
        <f>SUMIFS('Disbursements Summary'!$E:$E,'Disbursements Summary'!$C:$C,$C12,'Disbursements Summary'!$A:$A,"GOSR")</f>
        <v>0</v>
      </c>
      <c r="CV12" s="55">
        <f>SUMIFS('Awards Summary'!$H:$H,'Awards Summary'!$B:$B,$C12,'Awards Summary'!$J:$J,"HRPT")</f>
        <v>0</v>
      </c>
      <c r="CW12" s="55">
        <f>SUMIFS('Disbursements Summary'!$E:$E,'Disbursements Summary'!$C:$C,$C12,'Disbursements Summary'!$A:$A,"HRPT")</f>
        <v>0</v>
      </c>
      <c r="CX12" s="55">
        <f>SUMIFS('Awards Summary'!$H:$H,'Awards Summary'!$B:$B,$C12,'Awards Summary'!$J:$J,"HRBRRD")</f>
        <v>0</v>
      </c>
      <c r="CY12" s="55">
        <f>SUMIFS('Disbursements Summary'!$E:$E,'Disbursements Summary'!$C:$C,$C12,'Disbursements Summary'!$A:$A,"HRBRRD")</f>
        <v>0</v>
      </c>
      <c r="CZ12" s="55">
        <f>SUMIFS('Awards Summary'!$H:$H,'Awards Summary'!$B:$B,$C12,'Awards Summary'!$J:$J,"ITS")</f>
        <v>0</v>
      </c>
      <c r="DA12" s="55">
        <f>SUMIFS('Disbursements Summary'!$E:$E,'Disbursements Summary'!$C:$C,$C12,'Disbursements Summary'!$A:$A,"ITS")</f>
        <v>0</v>
      </c>
      <c r="DB12" s="55">
        <f>SUMIFS('Awards Summary'!$H:$H,'Awards Summary'!$B:$B,$C12,'Awards Summary'!$J:$J,"JAVITS")</f>
        <v>0</v>
      </c>
      <c r="DC12" s="55">
        <f>SUMIFS('Disbursements Summary'!$E:$E,'Disbursements Summary'!$C:$C,$C12,'Disbursements Summary'!$A:$A,"JAVITS")</f>
        <v>0</v>
      </c>
      <c r="DD12" s="55">
        <f>SUMIFS('Awards Summary'!$H:$H,'Awards Summary'!$B:$B,$C12,'Awards Summary'!$J:$J,"JCOPE")</f>
        <v>0</v>
      </c>
      <c r="DE12" s="55">
        <f>SUMIFS('Disbursements Summary'!$E:$E,'Disbursements Summary'!$C:$C,$C12,'Disbursements Summary'!$A:$A,"JCOPE")</f>
        <v>0</v>
      </c>
      <c r="DF12" s="55">
        <f>SUMIFS('Awards Summary'!$H:$H,'Awards Summary'!$B:$B,$C12,'Awards Summary'!$J:$J,"JUSTICE")</f>
        <v>0</v>
      </c>
      <c r="DG12" s="55">
        <f>SUMIFS('Disbursements Summary'!$E:$E,'Disbursements Summary'!$C:$C,$C12,'Disbursements Summary'!$A:$A,"JUSTICE")</f>
        <v>0</v>
      </c>
      <c r="DH12" s="55">
        <f>SUMIFS('Awards Summary'!$H:$H,'Awards Summary'!$B:$B,$C12,'Awards Summary'!$J:$J,"LCWSA")</f>
        <v>0</v>
      </c>
      <c r="DI12" s="55">
        <f>SUMIFS('Disbursements Summary'!$E:$E,'Disbursements Summary'!$C:$C,$C12,'Disbursements Summary'!$A:$A,"LCWSA")</f>
        <v>0</v>
      </c>
      <c r="DJ12" s="55">
        <f>SUMIFS('Awards Summary'!$H:$H,'Awards Summary'!$B:$B,$C12,'Awards Summary'!$J:$J,"LIPA")</f>
        <v>0</v>
      </c>
      <c r="DK12" s="55">
        <f>SUMIFS('Disbursements Summary'!$E:$E,'Disbursements Summary'!$C:$C,$C12,'Disbursements Summary'!$A:$A,"LIPA")</f>
        <v>0</v>
      </c>
      <c r="DL12" s="55">
        <f>SUMIFS('Awards Summary'!$H:$H,'Awards Summary'!$B:$B,$C12,'Awards Summary'!$J:$J,"MTA")</f>
        <v>0</v>
      </c>
      <c r="DM12" s="55">
        <f>SUMIFS('Disbursements Summary'!$E:$E,'Disbursements Summary'!$C:$C,$C12,'Disbursements Summary'!$A:$A,"MTA")</f>
        <v>0</v>
      </c>
      <c r="DN12" s="55">
        <f>SUMIFS('Awards Summary'!$H:$H,'Awards Summary'!$B:$B,$C12,'Awards Summary'!$J:$J,"NIFA")</f>
        <v>0</v>
      </c>
      <c r="DO12" s="55">
        <f>SUMIFS('Disbursements Summary'!$E:$E,'Disbursements Summary'!$C:$C,$C12,'Disbursements Summary'!$A:$A,"NIFA")</f>
        <v>0</v>
      </c>
      <c r="DP12" s="55">
        <f>SUMIFS('Awards Summary'!$H:$H,'Awards Summary'!$B:$B,$C12,'Awards Summary'!$J:$J,"NHCC")</f>
        <v>0</v>
      </c>
      <c r="DQ12" s="55">
        <f>SUMIFS('Disbursements Summary'!$E:$E,'Disbursements Summary'!$C:$C,$C12,'Disbursements Summary'!$A:$A,"NHCC")</f>
        <v>0</v>
      </c>
      <c r="DR12" s="55">
        <f>SUMIFS('Awards Summary'!$H:$H,'Awards Summary'!$B:$B,$C12,'Awards Summary'!$J:$J,"NHT")</f>
        <v>0</v>
      </c>
      <c r="DS12" s="55">
        <f>SUMIFS('Disbursements Summary'!$E:$E,'Disbursements Summary'!$C:$C,$C12,'Disbursements Summary'!$A:$A,"NHT")</f>
        <v>0</v>
      </c>
      <c r="DT12" s="55">
        <f>SUMIFS('Awards Summary'!$H:$H,'Awards Summary'!$B:$B,$C12,'Awards Summary'!$J:$J,"NYPA")</f>
        <v>0</v>
      </c>
      <c r="DU12" s="55">
        <f>SUMIFS('Disbursements Summary'!$E:$E,'Disbursements Summary'!$C:$C,$C12,'Disbursements Summary'!$A:$A,"NYPA")</f>
        <v>0</v>
      </c>
      <c r="DV12" s="55">
        <f>SUMIFS('Awards Summary'!$H:$H,'Awards Summary'!$B:$B,$C12,'Awards Summary'!$J:$J,"NYSBA")</f>
        <v>0</v>
      </c>
      <c r="DW12" s="55">
        <f>SUMIFS('Disbursements Summary'!$E:$E,'Disbursements Summary'!$C:$C,$C12,'Disbursements Summary'!$A:$A,"NYSBA")</f>
        <v>0</v>
      </c>
      <c r="DX12" s="55">
        <f>SUMIFS('Awards Summary'!$H:$H,'Awards Summary'!$B:$B,$C12,'Awards Summary'!$J:$J,"NYSERDA")</f>
        <v>0</v>
      </c>
      <c r="DY12" s="55">
        <f>SUMIFS('Disbursements Summary'!$E:$E,'Disbursements Summary'!$C:$C,$C12,'Disbursements Summary'!$A:$A,"NYSERDA")</f>
        <v>0</v>
      </c>
      <c r="DZ12" s="55">
        <f>SUMIFS('Awards Summary'!$H:$H,'Awards Summary'!$B:$B,$C12,'Awards Summary'!$J:$J,"DHCR")</f>
        <v>0</v>
      </c>
      <c r="EA12" s="55">
        <f>SUMIFS('Disbursements Summary'!$E:$E,'Disbursements Summary'!$C:$C,$C12,'Disbursements Summary'!$A:$A,"DHCR")</f>
        <v>0</v>
      </c>
      <c r="EB12" s="55">
        <f>SUMIFS('Awards Summary'!$H:$H,'Awards Summary'!$B:$B,$C12,'Awards Summary'!$J:$J,"HFA")</f>
        <v>0</v>
      </c>
      <c r="EC12" s="55">
        <f>SUMIFS('Disbursements Summary'!$E:$E,'Disbursements Summary'!$C:$C,$C12,'Disbursements Summary'!$A:$A,"HFA")</f>
        <v>0</v>
      </c>
      <c r="ED12" s="55">
        <f>SUMIFS('Awards Summary'!$H:$H,'Awards Summary'!$B:$B,$C12,'Awards Summary'!$J:$J,"NYSIF")</f>
        <v>0</v>
      </c>
      <c r="EE12" s="55">
        <f>SUMIFS('Disbursements Summary'!$E:$E,'Disbursements Summary'!$C:$C,$C12,'Disbursements Summary'!$A:$A,"NYSIF")</f>
        <v>0</v>
      </c>
      <c r="EF12" s="55">
        <f>SUMIFS('Awards Summary'!$H:$H,'Awards Summary'!$B:$B,$C12,'Awards Summary'!$J:$J,"NYBREDS")</f>
        <v>0</v>
      </c>
      <c r="EG12" s="55">
        <f>SUMIFS('Disbursements Summary'!$E:$E,'Disbursements Summary'!$C:$C,$C12,'Disbursements Summary'!$A:$A,"NYBREDS")</f>
        <v>0</v>
      </c>
      <c r="EH12" s="55">
        <f>SUMIFS('Awards Summary'!$H:$H,'Awards Summary'!$B:$B,$C12,'Awards Summary'!$J:$J,"NYSTA")</f>
        <v>0</v>
      </c>
      <c r="EI12" s="55">
        <f>SUMIFS('Disbursements Summary'!$E:$E,'Disbursements Summary'!$C:$C,$C12,'Disbursements Summary'!$A:$A,"NYSTA")</f>
        <v>0</v>
      </c>
      <c r="EJ12" s="55">
        <f>SUMIFS('Awards Summary'!$H:$H,'Awards Summary'!$B:$B,$C12,'Awards Summary'!$J:$J,"NFWB")</f>
        <v>0</v>
      </c>
      <c r="EK12" s="55">
        <f>SUMIFS('Disbursements Summary'!$E:$E,'Disbursements Summary'!$C:$C,$C12,'Disbursements Summary'!$A:$A,"NFWB")</f>
        <v>0</v>
      </c>
      <c r="EL12" s="55">
        <f>SUMIFS('Awards Summary'!$H:$H,'Awards Summary'!$B:$B,$C12,'Awards Summary'!$J:$J,"NFTA")</f>
        <v>0</v>
      </c>
      <c r="EM12" s="55">
        <f>SUMIFS('Disbursements Summary'!$E:$E,'Disbursements Summary'!$C:$C,$C12,'Disbursements Summary'!$A:$A,"NFTA")</f>
        <v>0</v>
      </c>
      <c r="EN12" s="55">
        <f>SUMIFS('Awards Summary'!$H:$H,'Awards Summary'!$B:$B,$C12,'Awards Summary'!$J:$J,"OPWDD")</f>
        <v>0</v>
      </c>
      <c r="EO12" s="55">
        <f>SUMIFS('Disbursements Summary'!$E:$E,'Disbursements Summary'!$C:$C,$C12,'Disbursements Summary'!$A:$A,"OPWDD")</f>
        <v>0</v>
      </c>
      <c r="EP12" s="55">
        <f>SUMIFS('Awards Summary'!$H:$H,'Awards Summary'!$B:$B,$C12,'Awards Summary'!$J:$J,"AGING")</f>
        <v>0</v>
      </c>
      <c r="EQ12" s="55">
        <f>SUMIFS('Disbursements Summary'!$E:$E,'Disbursements Summary'!$C:$C,$C12,'Disbursements Summary'!$A:$A,"AGING")</f>
        <v>0</v>
      </c>
      <c r="ER12" s="55">
        <f>SUMIFS('Awards Summary'!$H:$H,'Awards Summary'!$B:$B,$C12,'Awards Summary'!$J:$J,"OPDV")</f>
        <v>0</v>
      </c>
      <c r="ES12" s="55">
        <f>SUMIFS('Disbursements Summary'!$E:$E,'Disbursements Summary'!$C:$C,$C12,'Disbursements Summary'!$A:$A,"OPDV")</f>
        <v>0</v>
      </c>
      <c r="ET12" s="55">
        <f>SUMIFS('Awards Summary'!$H:$H,'Awards Summary'!$B:$B,$C12,'Awards Summary'!$J:$J,"OVS")</f>
        <v>0</v>
      </c>
      <c r="EU12" s="55">
        <f>SUMIFS('Disbursements Summary'!$E:$E,'Disbursements Summary'!$C:$C,$C12,'Disbursements Summary'!$A:$A,"OVS")</f>
        <v>0</v>
      </c>
      <c r="EV12" s="55">
        <f>SUMIFS('Awards Summary'!$H:$H,'Awards Summary'!$B:$B,$C12,'Awards Summary'!$J:$J,"OASAS")</f>
        <v>0</v>
      </c>
      <c r="EW12" s="55">
        <f>SUMIFS('Disbursements Summary'!$E:$E,'Disbursements Summary'!$C:$C,$C12,'Disbursements Summary'!$A:$A,"OASAS")</f>
        <v>0</v>
      </c>
      <c r="EX12" s="55">
        <f>SUMIFS('Awards Summary'!$H:$H,'Awards Summary'!$B:$B,$C12,'Awards Summary'!$J:$J,"OCFS")</f>
        <v>0</v>
      </c>
      <c r="EY12" s="55">
        <f>SUMIFS('Disbursements Summary'!$E:$E,'Disbursements Summary'!$C:$C,$C12,'Disbursements Summary'!$A:$A,"OCFS")</f>
        <v>0</v>
      </c>
      <c r="EZ12" s="55">
        <f>SUMIFS('Awards Summary'!$H:$H,'Awards Summary'!$B:$B,$C12,'Awards Summary'!$J:$J,"OGS")</f>
        <v>0</v>
      </c>
      <c r="FA12" s="55">
        <f>SUMIFS('Disbursements Summary'!$E:$E,'Disbursements Summary'!$C:$C,$C12,'Disbursements Summary'!$A:$A,"OGS")</f>
        <v>0</v>
      </c>
      <c r="FB12" s="55">
        <f>SUMIFS('Awards Summary'!$H:$H,'Awards Summary'!$B:$B,$C12,'Awards Summary'!$J:$J,"OMH")</f>
        <v>0</v>
      </c>
      <c r="FC12" s="55">
        <f>SUMIFS('Disbursements Summary'!$E:$E,'Disbursements Summary'!$C:$C,$C12,'Disbursements Summary'!$A:$A,"OMH")</f>
        <v>0</v>
      </c>
      <c r="FD12" s="55">
        <f>SUMIFS('Awards Summary'!$H:$H,'Awards Summary'!$B:$B,$C12,'Awards Summary'!$J:$J,"PARKS")</f>
        <v>0</v>
      </c>
      <c r="FE12" s="55">
        <f>SUMIFS('Disbursements Summary'!$E:$E,'Disbursements Summary'!$C:$C,$C12,'Disbursements Summary'!$A:$A,"PARKS")</f>
        <v>0</v>
      </c>
      <c r="FF12" s="55">
        <f>SUMIFS('Awards Summary'!$H:$H,'Awards Summary'!$B:$B,$C12,'Awards Summary'!$J:$J,"OTDA")</f>
        <v>0</v>
      </c>
      <c r="FG12" s="55">
        <f>SUMIFS('Disbursements Summary'!$E:$E,'Disbursements Summary'!$C:$C,$C12,'Disbursements Summary'!$A:$A,"OTDA")</f>
        <v>0</v>
      </c>
      <c r="FH12" s="55">
        <f>SUMIFS('Awards Summary'!$H:$H,'Awards Summary'!$B:$B,$C12,'Awards Summary'!$J:$J,"OIG")</f>
        <v>0</v>
      </c>
      <c r="FI12" s="55">
        <f>SUMIFS('Disbursements Summary'!$E:$E,'Disbursements Summary'!$C:$C,$C12,'Disbursements Summary'!$A:$A,"OIG")</f>
        <v>0</v>
      </c>
      <c r="FJ12" s="55">
        <f>SUMIFS('Awards Summary'!$H:$H,'Awards Summary'!$B:$B,$C12,'Awards Summary'!$J:$J,"OMIG")</f>
        <v>0</v>
      </c>
      <c r="FK12" s="55">
        <f>SUMIFS('Disbursements Summary'!$E:$E,'Disbursements Summary'!$C:$C,$C12,'Disbursements Summary'!$A:$A,"OMIG")</f>
        <v>0</v>
      </c>
      <c r="FL12" s="55">
        <f>SUMIFS('Awards Summary'!$H:$H,'Awards Summary'!$B:$B,$C12,'Awards Summary'!$J:$J,"OSC")</f>
        <v>0</v>
      </c>
      <c r="FM12" s="55">
        <f>SUMIFS('Disbursements Summary'!$E:$E,'Disbursements Summary'!$C:$C,$C12,'Disbursements Summary'!$A:$A,"OSC")</f>
        <v>0</v>
      </c>
      <c r="FN12" s="55">
        <f>SUMIFS('Awards Summary'!$H:$H,'Awards Summary'!$B:$B,$C12,'Awards Summary'!$J:$J,"OWIG")</f>
        <v>0</v>
      </c>
      <c r="FO12" s="55">
        <f>SUMIFS('Disbursements Summary'!$E:$E,'Disbursements Summary'!$C:$C,$C12,'Disbursements Summary'!$A:$A,"OWIG")</f>
        <v>0</v>
      </c>
      <c r="FP12" s="55">
        <f>SUMIFS('Awards Summary'!$H:$H,'Awards Summary'!$B:$B,$C12,'Awards Summary'!$J:$J,"OGDEN")</f>
        <v>0</v>
      </c>
      <c r="FQ12" s="55">
        <f>SUMIFS('Disbursements Summary'!$E:$E,'Disbursements Summary'!$C:$C,$C12,'Disbursements Summary'!$A:$A,"OGDEN")</f>
        <v>0</v>
      </c>
      <c r="FR12" s="55">
        <f>SUMIFS('Awards Summary'!$H:$H,'Awards Summary'!$B:$B,$C12,'Awards Summary'!$J:$J,"ORDA")</f>
        <v>0</v>
      </c>
      <c r="FS12" s="55">
        <f>SUMIFS('Disbursements Summary'!$E:$E,'Disbursements Summary'!$C:$C,$C12,'Disbursements Summary'!$A:$A,"ORDA")</f>
        <v>0</v>
      </c>
      <c r="FT12" s="55">
        <f>SUMIFS('Awards Summary'!$H:$H,'Awards Summary'!$B:$B,$C12,'Awards Summary'!$J:$J,"OSWEGO")</f>
        <v>0</v>
      </c>
      <c r="FU12" s="55">
        <f>SUMIFS('Disbursements Summary'!$E:$E,'Disbursements Summary'!$C:$C,$C12,'Disbursements Summary'!$A:$A,"OSWEGO")</f>
        <v>0</v>
      </c>
      <c r="FV12" s="55">
        <f>SUMIFS('Awards Summary'!$H:$H,'Awards Summary'!$B:$B,$C12,'Awards Summary'!$J:$J,"PERB")</f>
        <v>0</v>
      </c>
      <c r="FW12" s="55">
        <f>SUMIFS('Disbursements Summary'!$E:$E,'Disbursements Summary'!$C:$C,$C12,'Disbursements Summary'!$A:$A,"PERB")</f>
        <v>0</v>
      </c>
      <c r="FX12" s="55">
        <f>SUMIFS('Awards Summary'!$H:$H,'Awards Summary'!$B:$B,$C12,'Awards Summary'!$J:$J,"RGRTA")</f>
        <v>0</v>
      </c>
      <c r="FY12" s="55">
        <f>SUMIFS('Disbursements Summary'!$E:$E,'Disbursements Summary'!$C:$C,$C12,'Disbursements Summary'!$A:$A,"RGRTA")</f>
        <v>0</v>
      </c>
      <c r="FZ12" s="55">
        <f>SUMIFS('Awards Summary'!$H:$H,'Awards Summary'!$B:$B,$C12,'Awards Summary'!$J:$J,"RIOC")</f>
        <v>0</v>
      </c>
      <c r="GA12" s="55">
        <f>SUMIFS('Disbursements Summary'!$E:$E,'Disbursements Summary'!$C:$C,$C12,'Disbursements Summary'!$A:$A,"RIOC")</f>
        <v>0</v>
      </c>
      <c r="GB12" s="55">
        <f>SUMIFS('Awards Summary'!$H:$H,'Awards Summary'!$B:$B,$C12,'Awards Summary'!$J:$J,"RPCI")</f>
        <v>0</v>
      </c>
      <c r="GC12" s="55">
        <f>SUMIFS('Disbursements Summary'!$E:$E,'Disbursements Summary'!$C:$C,$C12,'Disbursements Summary'!$A:$A,"RPCI")</f>
        <v>0</v>
      </c>
      <c r="GD12" s="55">
        <f>SUMIFS('Awards Summary'!$H:$H,'Awards Summary'!$B:$B,$C12,'Awards Summary'!$J:$J,"SMDA")</f>
        <v>0</v>
      </c>
      <c r="GE12" s="55">
        <f>SUMIFS('Disbursements Summary'!$E:$E,'Disbursements Summary'!$C:$C,$C12,'Disbursements Summary'!$A:$A,"SMDA")</f>
        <v>0</v>
      </c>
      <c r="GF12" s="55">
        <f>SUMIFS('Awards Summary'!$H:$H,'Awards Summary'!$B:$B,$C12,'Awards Summary'!$J:$J,"SCOC")</f>
        <v>0</v>
      </c>
      <c r="GG12" s="55">
        <f>SUMIFS('Disbursements Summary'!$E:$E,'Disbursements Summary'!$C:$C,$C12,'Disbursements Summary'!$A:$A,"SCOC")</f>
        <v>0</v>
      </c>
      <c r="GH12" s="55">
        <f>SUMIFS('Awards Summary'!$H:$H,'Awards Summary'!$B:$B,$C12,'Awards Summary'!$J:$J,"SUCF")</f>
        <v>0</v>
      </c>
      <c r="GI12" s="55">
        <f>SUMIFS('Disbursements Summary'!$E:$E,'Disbursements Summary'!$C:$C,$C12,'Disbursements Summary'!$A:$A,"SUCF")</f>
        <v>0</v>
      </c>
      <c r="GJ12" s="55">
        <f>SUMIFS('Awards Summary'!$H:$H,'Awards Summary'!$B:$B,$C12,'Awards Summary'!$J:$J,"SUNY")</f>
        <v>0</v>
      </c>
      <c r="GK12" s="55">
        <f>SUMIFS('Disbursements Summary'!$E:$E,'Disbursements Summary'!$C:$C,$C12,'Disbursements Summary'!$A:$A,"SUNY")</f>
        <v>0</v>
      </c>
      <c r="GL12" s="55">
        <f>SUMIFS('Awards Summary'!$H:$H,'Awards Summary'!$B:$B,$C12,'Awards Summary'!$J:$J,"SRAA")</f>
        <v>0</v>
      </c>
      <c r="GM12" s="55">
        <f>SUMIFS('Disbursements Summary'!$E:$E,'Disbursements Summary'!$C:$C,$C12,'Disbursements Summary'!$A:$A,"SRAA")</f>
        <v>0</v>
      </c>
      <c r="GN12" s="55">
        <f>SUMIFS('Awards Summary'!$H:$H,'Awards Summary'!$B:$B,$C12,'Awards Summary'!$J:$J,"UNDC")</f>
        <v>0</v>
      </c>
      <c r="GO12" s="55">
        <f>SUMIFS('Disbursements Summary'!$E:$E,'Disbursements Summary'!$C:$C,$C12,'Disbursements Summary'!$A:$A,"UNDC")</f>
        <v>0</v>
      </c>
      <c r="GP12" s="55">
        <f>SUMIFS('Awards Summary'!$H:$H,'Awards Summary'!$B:$B,$C12,'Awards Summary'!$J:$J,"MVWA")</f>
        <v>0</v>
      </c>
      <c r="GQ12" s="55">
        <f>SUMIFS('Disbursements Summary'!$E:$E,'Disbursements Summary'!$C:$C,$C12,'Disbursements Summary'!$A:$A,"MVWA")</f>
        <v>0</v>
      </c>
      <c r="GR12" s="55">
        <f>SUMIFS('Awards Summary'!$H:$H,'Awards Summary'!$B:$B,$C12,'Awards Summary'!$J:$J,"WMC")</f>
        <v>0</v>
      </c>
      <c r="GS12" s="55">
        <f>SUMIFS('Disbursements Summary'!$E:$E,'Disbursements Summary'!$C:$C,$C12,'Disbursements Summary'!$A:$A,"WMC")</f>
        <v>0</v>
      </c>
      <c r="GT12" s="55">
        <f>SUMIFS('Awards Summary'!$H:$H,'Awards Summary'!$B:$B,$C12,'Awards Summary'!$J:$J,"WCB")</f>
        <v>0</v>
      </c>
      <c r="GU12" s="55">
        <f>SUMIFS('Disbursements Summary'!$E:$E,'Disbursements Summary'!$C:$C,$C12,'Disbursements Summary'!$A:$A,"WCB")</f>
        <v>0</v>
      </c>
      <c r="GV12" s="32">
        <f t="shared" si="1"/>
        <v>0</v>
      </c>
      <c r="GW12" s="32">
        <f t="shared" si="2"/>
        <v>0</v>
      </c>
      <c r="GX12" s="30" t="b">
        <f t="shared" si="3"/>
        <v>1</v>
      </c>
      <c r="GY12" s="30" t="b">
        <f t="shared" si="4"/>
        <v>1</v>
      </c>
    </row>
    <row r="13" spans="1:207" s="30" customFormat="1">
      <c r="A13" s="22" t="str">
        <f t="shared" si="0"/>
        <v/>
      </c>
      <c r="B13" s="40" t="s">
        <v>236</v>
      </c>
      <c r="C13" s="16">
        <v>141019</v>
      </c>
      <c r="D13" s="26">
        <f>COUNTIF('Awards Summary'!B:B,"141019")</f>
        <v>0</v>
      </c>
      <c r="E13" s="45">
        <f>SUMIFS('Awards Summary'!H:H,'Awards Summary'!B:B,"141019")</f>
        <v>0</v>
      </c>
      <c r="F13" s="46">
        <f>SUMIFS('Disbursements Summary'!E:E,'Disbursements Summary'!C:C, "141019")</f>
        <v>0</v>
      </c>
      <c r="H13" s="55">
        <f>SUMIFS('Awards Summary'!$H:$H,'Awards Summary'!$B:$B,$C13,'Awards Summary'!$J:$J,"APA")</f>
        <v>0</v>
      </c>
      <c r="I13" s="55">
        <f>SUMIFS('Disbursements Summary'!$E:$E,'Disbursements Summary'!$C:$C,$C13,'Disbursements Summary'!$A:$A,"APA")</f>
        <v>0</v>
      </c>
      <c r="J13" s="55">
        <f>SUMIFS('Awards Summary'!$H:$H,'Awards Summary'!$B:$B,$C13,'Awards Summary'!$J:$J,"Ag&amp;Horse")</f>
        <v>0</v>
      </c>
      <c r="K13" s="55">
        <f>SUMIFS('Disbursements Summary'!$E:$E,'Disbursements Summary'!$C:$C,$C13,'Disbursements Summary'!$A:$A,"Ag&amp;Horse")</f>
        <v>0</v>
      </c>
      <c r="L13" s="55">
        <f>SUMIFS('Awards Summary'!$H:$H,'Awards Summary'!$B:$B,$C13,'Awards Summary'!$J:$J,"ACAA")</f>
        <v>0</v>
      </c>
      <c r="M13" s="55">
        <f>SUMIFS('Disbursements Summary'!$E:$E,'Disbursements Summary'!$C:$C,$C13,'Disbursements Summary'!$A:$A,"ACAA")</f>
        <v>0</v>
      </c>
      <c r="N13" s="55">
        <f>SUMIFS('Awards Summary'!$H:$H,'Awards Summary'!$B:$B,$C13,'Awards Summary'!$J:$J,"PortAlbany")</f>
        <v>0</v>
      </c>
      <c r="O13" s="55">
        <f>SUMIFS('Disbursements Summary'!$E:$E,'Disbursements Summary'!$C:$C,$C13,'Disbursements Summary'!$A:$A,"PortAlbany")</f>
        <v>0</v>
      </c>
      <c r="P13" s="55">
        <f>SUMIFS('Awards Summary'!$H:$H,'Awards Summary'!$B:$B,$C13,'Awards Summary'!$J:$J,"SLA")</f>
        <v>0</v>
      </c>
      <c r="Q13" s="55">
        <f>SUMIFS('Disbursements Summary'!$E:$E,'Disbursements Summary'!$C:$C,$C13,'Disbursements Summary'!$A:$A,"SLA")</f>
        <v>0</v>
      </c>
      <c r="R13" s="55">
        <f>SUMIFS('Awards Summary'!$H:$H,'Awards Summary'!$B:$B,$C13,'Awards Summary'!$J:$J,"BPCA")</f>
        <v>0</v>
      </c>
      <c r="S13" s="55">
        <f>SUMIFS('Disbursements Summary'!$E:$E,'Disbursements Summary'!$C:$C,$C13,'Disbursements Summary'!$A:$A,"BPCA")</f>
        <v>0</v>
      </c>
      <c r="T13" s="55">
        <f>SUMIFS('Awards Summary'!$H:$H,'Awards Summary'!$B:$B,$C13,'Awards Summary'!$J:$J,"ELECTIONS")</f>
        <v>0</v>
      </c>
      <c r="U13" s="55">
        <f>SUMIFS('Disbursements Summary'!$E:$E,'Disbursements Summary'!$C:$C,$C13,'Disbursements Summary'!$A:$A,"ELECTIONS")</f>
        <v>0</v>
      </c>
      <c r="V13" s="55">
        <f>SUMIFS('Awards Summary'!$H:$H,'Awards Summary'!$B:$B,$C13,'Awards Summary'!$J:$J,"BFSA")</f>
        <v>0</v>
      </c>
      <c r="W13" s="55">
        <f>SUMIFS('Disbursements Summary'!$E:$E,'Disbursements Summary'!$C:$C,$C13,'Disbursements Summary'!$A:$A,"BFSA")</f>
        <v>0</v>
      </c>
      <c r="X13" s="55">
        <f>SUMIFS('Awards Summary'!$H:$H,'Awards Summary'!$B:$B,$C13,'Awards Summary'!$J:$J,"CDTA")</f>
        <v>0</v>
      </c>
      <c r="Y13" s="55">
        <f>SUMIFS('Disbursements Summary'!$E:$E,'Disbursements Summary'!$C:$C,$C13,'Disbursements Summary'!$A:$A,"CDTA")</f>
        <v>0</v>
      </c>
      <c r="Z13" s="55">
        <f>SUMIFS('Awards Summary'!$H:$H,'Awards Summary'!$B:$B,$C13,'Awards Summary'!$J:$J,"CCWSA")</f>
        <v>0</v>
      </c>
      <c r="AA13" s="55">
        <f>SUMIFS('Disbursements Summary'!$E:$E,'Disbursements Summary'!$C:$C,$C13,'Disbursements Summary'!$A:$A,"CCWSA")</f>
        <v>0</v>
      </c>
      <c r="AB13" s="55">
        <f>SUMIFS('Awards Summary'!$H:$H,'Awards Summary'!$B:$B,$C13,'Awards Summary'!$J:$J,"CNYRTA")</f>
        <v>0</v>
      </c>
      <c r="AC13" s="55">
        <f>SUMIFS('Disbursements Summary'!$E:$E,'Disbursements Summary'!$C:$C,$C13,'Disbursements Summary'!$A:$A,"CNYRTA")</f>
        <v>0</v>
      </c>
      <c r="AD13" s="55">
        <f>SUMIFS('Awards Summary'!$H:$H,'Awards Summary'!$B:$B,$C13,'Awards Summary'!$J:$J,"CUCF")</f>
        <v>0</v>
      </c>
      <c r="AE13" s="55">
        <f>SUMIFS('Disbursements Summary'!$E:$E,'Disbursements Summary'!$C:$C,$C13,'Disbursements Summary'!$A:$A,"CUCF")</f>
        <v>0</v>
      </c>
      <c r="AF13" s="55">
        <f>SUMIFS('Awards Summary'!$H:$H,'Awards Summary'!$B:$B,$C13,'Awards Summary'!$J:$J,"CUNY")</f>
        <v>0</v>
      </c>
      <c r="AG13" s="55">
        <f>SUMIFS('Disbursements Summary'!$E:$E,'Disbursements Summary'!$C:$C,$C13,'Disbursements Summary'!$A:$A,"CUNY")</f>
        <v>0</v>
      </c>
      <c r="AH13" s="55">
        <f>SUMIFS('Awards Summary'!$H:$H,'Awards Summary'!$B:$B,$C13,'Awards Summary'!$J:$J,"ARTS")</f>
        <v>0</v>
      </c>
      <c r="AI13" s="55">
        <f>SUMIFS('Disbursements Summary'!$E:$E,'Disbursements Summary'!$C:$C,$C13,'Disbursements Summary'!$A:$A,"ARTS")</f>
        <v>0</v>
      </c>
      <c r="AJ13" s="55">
        <f>SUMIFS('Awards Summary'!$H:$H,'Awards Summary'!$B:$B,$C13,'Awards Summary'!$J:$J,"AG&amp;MKTS")</f>
        <v>0</v>
      </c>
      <c r="AK13" s="55">
        <f>SUMIFS('Disbursements Summary'!$E:$E,'Disbursements Summary'!$C:$C,$C13,'Disbursements Summary'!$A:$A,"AG&amp;MKTS")</f>
        <v>0</v>
      </c>
      <c r="AL13" s="55">
        <f>SUMIFS('Awards Summary'!$H:$H,'Awards Summary'!$B:$B,$C13,'Awards Summary'!$J:$J,"CS")</f>
        <v>0</v>
      </c>
      <c r="AM13" s="55">
        <f>SUMIFS('Disbursements Summary'!$E:$E,'Disbursements Summary'!$C:$C,$C13,'Disbursements Summary'!$A:$A,"CS")</f>
        <v>0</v>
      </c>
      <c r="AN13" s="55">
        <f>SUMIFS('Awards Summary'!$H:$H,'Awards Summary'!$B:$B,$C13,'Awards Summary'!$J:$J,"DOCCS")</f>
        <v>0</v>
      </c>
      <c r="AO13" s="55">
        <f>SUMIFS('Disbursements Summary'!$E:$E,'Disbursements Summary'!$C:$C,$C13,'Disbursements Summary'!$A:$A,"DOCCS")</f>
        <v>0</v>
      </c>
      <c r="AP13" s="55">
        <f>SUMIFS('Awards Summary'!$H:$H,'Awards Summary'!$B:$B,$C13,'Awards Summary'!$J:$J,"DED")</f>
        <v>0</v>
      </c>
      <c r="AQ13" s="55">
        <f>SUMIFS('Disbursements Summary'!$E:$E,'Disbursements Summary'!$C:$C,$C13,'Disbursements Summary'!$A:$A,"DED")</f>
        <v>0</v>
      </c>
      <c r="AR13" s="55">
        <f>SUMIFS('Awards Summary'!$H:$H,'Awards Summary'!$B:$B,$C13,'Awards Summary'!$J:$J,"DEC")</f>
        <v>0</v>
      </c>
      <c r="AS13" s="55">
        <f>SUMIFS('Disbursements Summary'!$E:$E,'Disbursements Summary'!$C:$C,$C13,'Disbursements Summary'!$A:$A,"DEC")</f>
        <v>0</v>
      </c>
      <c r="AT13" s="55">
        <f>SUMIFS('Awards Summary'!$H:$H,'Awards Summary'!$B:$B,$C13,'Awards Summary'!$J:$J,"DFS")</f>
        <v>0</v>
      </c>
      <c r="AU13" s="55">
        <f>SUMIFS('Disbursements Summary'!$E:$E,'Disbursements Summary'!$C:$C,$C13,'Disbursements Summary'!$A:$A,"DFS")</f>
        <v>0</v>
      </c>
      <c r="AV13" s="55">
        <f>SUMIFS('Awards Summary'!$H:$H,'Awards Summary'!$B:$B,$C13,'Awards Summary'!$J:$J,"DOH")</f>
        <v>0</v>
      </c>
      <c r="AW13" s="55">
        <f>SUMIFS('Disbursements Summary'!$E:$E,'Disbursements Summary'!$C:$C,$C13,'Disbursements Summary'!$A:$A,"DOH")</f>
        <v>0</v>
      </c>
      <c r="AX13" s="55">
        <f>SUMIFS('Awards Summary'!$H:$H,'Awards Summary'!$B:$B,$C13,'Awards Summary'!$J:$J,"DOL")</f>
        <v>0</v>
      </c>
      <c r="AY13" s="55">
        <f>SUMIFS('Disbursements Summary'!$E:$E,'Disbursements Summary'!$C:$C,$C13,'Disbursements Summary'!$A:$A,"DOL")</f>
        <v>0</v>
      </c>
      <c r="AZ13" s="55">
        <f>SUMIFS('Awards Summary'!$H:$H,'Awards Summary'!$B:$B,$C13,'Awards Summary'!$J:$J,"DMV")</f>
        <v>0</v>
      </c>
      <c r="BA13" s="55">
        <f>SUMIFS('Disbursements Summary'!$E:$E,'Disbursements Summary'!$C:$C,$C13,'Disbursements Summary'!$A:$A,"DMV")</f>
        <v>0</v>
      </c>
      <c r="BB13" s="55">
        <f>SUMIFS('Awards Summary'!$H:$H,'Awards Summary'!$B:$B,$C13,'Awards Summary'!$J:$J,"DPS")</f>
        <v>0</v>
      </c>
      <c r="BC13" s="55">
        <f>SUMIFS('Disbursements Summary'!$E:$E,'Disbursements Summary'!$C:$C,$C13,'Disbursements Summary'!$A:$A,"DPS")</f>
        <v>0</v>
      </c>
      <c r="BD13" s="55">
        <f>SUMIFS('Awards Summary'!$H:$H,'Awards Summary'!$B:$B,$C13,'Awards Summary'!$J:$J,"DOS")</f>
        <v>0</v>
      </c>
      <c r="BE13" s="55">
        <f>SUMIFS('Disbursements Summary'!$E:$E,'Disbursements Summary'!$C:$C,$C13,'Disbursements Summary'!$A:$A,"DOS")</f>
        <v>0</v>
      </c>
      <c r="BF13" s="55">
        <f>SUMIFS('Awards Summary'!$H:$H,'Awards Summary'!$B:$B,$C13,'Awards Summary'!$J:$J,"TAX")</f>
        <v>0</v>
      </c>
      <c r="BG13" s="55">
        <f>SUMIFS('Disbursements Summary'!$E:$E,'Disbursements Summary'!$C:$C,$C13,'Disbursements Summary'!$A:$A,"TAX")</f>
        <v>0</v>
      </c>
      <c r="BH13" s="55">
        <f>SUMIFS('Awards Summary'!$H:$H,'Awards Summary'!$B:$B,$C13,'Awards Summary'!$J:$J,"DOT")</f>
        <v>0</v>
      </c>
      <c r="BI13" s="55">
        <f>SUMIFS('Disbursements Summary'!$E:$E,'Disbursements Summary'!$C:$C,$C13,'Disbursements Summary'!$A:$A,"DOT")</f>
        <v>0</v>
      </c>
      <c r="BJ13" s="55">
        <f>SUMIFS('Awards Summary'!$H:$H,'Awards Summary'!$B:$B,$C13,'Awards Summary'!$J:$J,"DANC")</f>
        <v>0</v>
      </c>
      <c r="BK13" s="55">
        <f>SUMIFS('Disbursements Summary'!$E:$E,'Disbursements Summary'!$C:$C,$C13,'Disbursements Summary'!$A:$A,"DANC")</f>
        <v>0</v>
      </c>
      <c r="BL13" s="55">
        <f>SUMIFS('Awards Summary'!$H:$H,'Awards Summary'!$B:$B,$C13,'Awards Summary'!$J:$J,"DOB")</f>
        <v>0</v>
      </c>
      <c r="BM13" s="55">
        <f>SUMIFS('Disbursements Summary'!$E:$E,'Disbursements Summary'!$C:$C,$C13,'Disbursements Summary'!$A:$A,"DOB")</f>
        <v>0</v>
      </c>
      <c r="BN13" s="55">
        <f>SUMIFS('Awards Summary'!$H:$H,'Awards Summary'!$B:$B,$C13,'Awards Summary'!$J:$J,"DCJS")</f>
        <v>0</v>
      </c>
      <c r="BO13" s="55">
        <f>SUMIFS('Disbursements Summary'!$E:$E,'Disbursements Summary'!$C:$C,$C13,'Disbursements Summary'!$A:$A,"DCJS")</f>
        <v>0</v>
      </c>
      <c r="BP13" s="55">
        <f>SUMIFS('Awards Summary'!$H:$H,'Awards Summary'!$B:$B,$C13,'Awards Summary'!$J:$J,"DHSES")</f>
        <v>0</v>
      </c>
      <c r="BQ13" s="55">
        <f>SUMIFS('Disbursements Summary'!$E:$E,'Disbursements Summary'!$C:$C,$C13,'Disbursements Summary'!$A:$A,"DHSES")</f>
        <v>0</v>
      </c>
      <c r="BR13" s="55">
        <f>SUMIFS('Awards Summary'!$H:$H,'Awards Summary'!$B:$B,$C13,'Awards Summary'!$J:$J,"DHR")</f>
        <v>0</v>
      </c>
      <c r="BS13" s="55">
        <f>SUMIFS('Disbursements Summary'!$E:$E,'Disbursements Summary'!$C:$C,$C13,'Disbursements Summary'!$A:$A,"DHR")</f>
        <v>0</v>
      </c>
      <c r="BT13" s="55">
        <f>SUMIFS('Awards Summary'!$H:$H,'Awards Summary'!$B:$B,$C13,'Awards Summary'!$J:$J,"DMNA")</f>
        <v>0</v>
      </c>
      <c r="BU13" s="55">
        <f>SUMIFS('Disbursements Summary'!$E:$E,'Disbursements Summary'!$C:$C,$C13,'Disbursements Summary'!$A:$A,"DMNA")</f>
        <v>0</v>
      </c>
      <c r="BV13" s="55">
        <f>SUMIFS('Awards Summary'!$H:$H,'Awards Summary'!$B:$B,$C13,'Awards Summary'!$J:$J,"TROOPERS")</f>
        <v>0</v>
      </c>
      <c r="BW13" s="55">
        <f>SUMIFS('Disbursements Summary'!$E:$E,'Disbursements Summary'!$C:$C,$C13,'Disbursements Summary'!$A:$A,"TROOPERS")</f>
        <v>0</v>
      </c>
      <c r="BX13" s="55">
        <f>SUMIFS('Awards Summary'!$H:$H,'Awards Summary'!$B:$B,$C13,'Awards Summary'!$J:$J,"DVA")</f>
        <v>0</v>
      </c>
      <c r="BY13" s="55">
        <f>SUMIFS('Disbursements Summary'!$E:$E,'Disbursements Summary'!$C:$C,$C13,'Disbursements Summary'!$A:$A,"DVA")</f>
        <v>0</v>
      </c>
      <c r="BZ13" s="55">
        <f>SUMIFS('Awards Summary'!$H:$H,'Awards Summary'!$B:$B,$C13,'Awards Summary'!$J:$J,"DASNY")</f>
        <v>0</v>
      </c>
      <c r="CA13" s="55">
        <f>SUMIFS('Disbursements Summary'!$E:$E,'Disbursements Summary'!$C:$C,$C13,'Disbursements Summary'!$A:$A,"DASNY")</f>
        <v>0</v>
      </c>
      <c r="CB13" s="55">
        <f>SUMIFS('Awards Summary'!$H:$H,'Awards Summary'!$B:$B,$C13,'Awards Summary'!$J:$J,"EGG")</f>
        <v>0</v>
      </c>
      <c r="CC13" s="55">
        <f>SUMIFS('Disbursements Summary'!$E:$E,'Disbursements Summary'!$C:$C,$C13,'Disbursements Summary'!$A:$A,"EGG")</f>
        <v>0</v>
      </c>
      <c r="CD13" s="55">
        <f>SUMIFS('Awards Summary'!$H:$H,'Awards Summary'!$B:$B,$C13,'Awards Summary'!$J:$J,"ESD")</f>
        <v>0</v>
      </c>
      <c r="CE13" s="55">
        <f>SUMIFS('Disbursements Summary'!$E:$E,'Disbursements Summary'!$C:$C,$C13,'Disbursements Summary'!$A:$A,"ESD")</f>
        <v>0</v>
      </c>
      <c r="CF13" s="55">
        <f>SUMIFS('Awards Summary'!$H:$H,'Awards Summary'!$B:$B,$C13,'Awards Summary'!$J:$J,"EFC")</f>
        <v>0</v>
      </c>
      <c r="CG13" s="55">
        <f>SUMIFS('Disbursements Summary'!$E:$E,'Disbursements Summary'!$C:$C,$C13,'Disbursements Summary'!$A:$A,"EFC")</f>
        <v>0</v>
      </c>
      <c r="CH13" s="55">
        <f>SUMIFS('Awards Summary'!$H:$H,'Awards Summary'!$B:$B,$C13,'Awards Summary'!$J:$J,"ECFSA")</f>
        <v>0</v>
      </c>
      <c r="CI13" s="55">
        <f>SUMIFS('Disbursements Summary'!$E:$E,'Disbursements Summary'!$C:$C,$C13,'Disbursements Summary'!$A:$A,"ECFSA")</f>
        <v>0</v>
      </c>
      <c r="CJ13" s="55">
        <f>SUMIFS('Awards Summary'!$H:$H,'Awards Summary'!$B:$B,$C13,'Awards Summary'!$J:$J,"ECMC")</f>
        <v>0</v>
      </c>
      <c r="CK13" s="55">
        <f>SUMIFS('Disbursements Summary'!$E:$E,'Disbursements Summary'!$C:$C,$C13,'Disbursements Summary'!$A:$A,"ECMC")</f>
        <v>0</v>
      </c>
      <c r="CL13" s="55">
        <f>SUMIFS('Awards Summary'!$H:$H,'Awards Summary'!$B:$B,$C13,'Awards Summary'!$J:$J,"CHAMBER")</f>
        <v>0</v>
      </c>
      <c r="CM13" s="55">
        <f>SUMIFS('Disbursements Summary'!$E:$E,'Disbursements Summary'!$C:$C,$C13,'Disbursements Summary'!$A:$A,"CHAMBER")</f>
        <v>0</v>
      </c>
      <c r="CN13" s="55">
        <f>SUMIFS('Awards Summary'!$H:$H,'Awards Summary'!$B:$B,$C13,'Awards Summary'!$J:$J,"GAMING")</f>
        <v>0</v>
      </c>
      <c r="CO13" s="55">
        <f>SUMIFS('Disbursements Summary'!$E:$E,'Disbursements Summary'!$C:$C,$C13,'Disbursements Summary'!$A:$A,"GAMING")</f>
        <v>0</v>
      </c>
      <c r="CP13" s="55">
        <f>SUMIFS('Awards Summary'!$H:$H,'Awards Summary'!$B:$B,$C13,'Awards Summary'!$J:$J,"GOER")</f>
        <v>0</v>
      </c>
      <c r="CQ13" s="55">
        <f>SUMIFS('Disbursements Summary'!$E:$E,'Disbursements Summary'!$C:$C,$C13,'Disbursements Summary'!$A:$A,"GOER")</f>
        <v>0</v>
      </c>
      <c r="CR13" s="55">
        <f>SUMIFS('Awards Summary'!$H:$H,'Awards Summary'!$B:$B,$C13,'Awards Summary'!$J:$J,"HESC")</f>
        <v>0</v>
      </c>
      <c r="CS13" s="55">
        <f>SUMIFS('Disbursements Summary'!$E:$E,'Disbursements Summary'!$C:$C,$C13,'Disbursements Summary'!$A:$A,"HESC")</f>
        <v>0</v>
      </c>
      <c r="CT13" s="55">
        <f>SUMIFS('Awards Summary'!$H:$H,'Awards Summary'!$B:$B,$C13,'Awards Summary'!$J:$J,"GOSR")</f>
        <v>0</v>
      </c>
      <c r="CU13" s="55">
        <f>SUMIFS('Disbursements Summary'!$E:$E,'Disbursements Summary'!$C:$C,$C13,'Disbursements Summary'!$A:$A,"GOSR")</f>
        <v>0</v>
      </c>
      <c r="CV13" s="55">
        <f>SUMIFS('Awards Summary'!$H:$H,'Awards Summary'!$B:$B,$C13,'Awards Summary'!$J:$J,"HRPT")</f>
        <v>0</v>
      </c>
      <c r="CW13" s="55">
        <f>SUMIFS('Disbursements Summary'!$E:$E,'Disbursements Summary'!$C:$C,$C13,'Disbursements Summary'!$A:$A,"HRPT")</f>
        <v>0</v>
      </c>
      <c r="CX13" s="55">
        <f>SUMIFS('Awards Summary'!$H:$H,'Awards Summary'!$B:$B,$C13,'Awards Summary'!$J:$J,"HRBRRD")</f>
        <v>0</v>
      </c>
      <c r="CY13" s="55">
        <f>SUMIFS('Disbursements Summary'!$E:$E,'Disbursements Summary'!$C:$C,$C13,'Disbursements Summary'!$A:$A,"HRBRRD")</f>
        <v>0</v>
      </c>
      <c r="CZ13" s="55">
        <f>SUMIFS('Awards Summary'!$H:$H,'Awards Summary'!$B:$B,$C13,'Awards Summary'!$J:$J,"ITS")</f>
        <v>0</v>
      </c>
      <c r="DA13" s="55">
        <f>SUMIFS('Disbursements Summary'!$E:$E,'Disbursements Summary'!$C:$C,$C13,'Disbursements Summary'!$A:$A,"ITS")</f>
        <v>0</v>
      </c>
      <c r="DB13" s="55">
        <f>SUMIFS('Awards Summary'!$H:$H,'Awards Summary'!$B:$B,$C13,'Awards Summary'!$J:$J,"JAVITS")</f>
        <v>0</v>
      </c>
      <c r="DC13" s="55">
        <f>SUMIFS('Disbursements Summary'!$E:$E,'Disbursements Summary'!$C:$C,$C13,'Disbursements Summary'!$A:$A,"JAVITS")</f>
        <v>0</v>
      </c>
      <c r="DD13" s="55">
        <f>SUMIFS('Awards Summary'!$H:$H,'Awards Summary'!$B:$B,$C13,'Awards Summary'!$J:$J,"JCOPE")</f>
        <v>0</v>
      </c>
      <c r="DE13" s="55">
        <f>SUMIFS('Disbursements Summary'!$E:$E,'Disbursements Summary'!$C:$C,$C13,'Disbursements Summary'!$A:$A,"JCOPE")</f>
        <v>0</v>
      </c>
      <c r="DF13" s="55">
        <f>SUMIFS('Awards Summary'!$H:$H,'Awards Summary'!$B:$B,$C13,'Awards Summary'!$J:$J,"JUSTICE")</f>
        <v>0</v>
      </c>
      <c r="DG13" s="55">
        <f>SUMIFS('Disbursements Summary'!$E:$E,'Disbursements Summary'!$C:$C,$C13,'Disbursements Summary'!$A:$A,"JUSTICE")</f>
        <v>0</v>
      </c>
      <c r="DH13" s="55">
        <f>SUMIFS('Awards Summary'!$H:$H,'Awards Summary'!$B:$B,$C13,'Awards Summary'!$J:$J,"LCWSA")</f>
        <v>0</v>
      </c>
      <c r="DI13" s="55">
        <f>SUMIFS('Disbursements Summary'!$E:$E,'Disbursements Summary'!$C:$C,$C13,'Disbursements Summary'!$A:$A,"LCWSA")</f>
        <v>0</v>
      </c>
      <c r="DJ13" s="55">
        <f>SUMIFS('Awards Summary'!$H:$H,'Awards Summary'!$B:$B,$C13,'Awards Summary'!$J:$J,"LIPA")</f>
        <v>0</v>
      </c>
      <c r="DK13" s="55">
        <f>SUMIFS('Disbursements Summary'!$E:$E,'Disbursements Summary'!$C:$C,$C13,'Disbursements Summary'!$A:$A,"LIPA")</f>
        <v>0</v>
      </c>
      <c r="DL13" s="55">
        <f>SUMIFS('Awards Summary'!$H:$H,'Awards Summary'!$B:$B,$C13,'Awards Summary'!$J:$J,"MTA")</f>
        <v>0</v>
      </c>
      <c r="DM13" s="55">
        <f>SUMIFS('Disbursements Summary'!$E:$E,'Disbursements Summary'!$C:$C,$C13,'Disbursements Summary'!$A:$A,"MTA")</f>
        <v>0</v>
      </c>
      <c r="DN13" s="55">
        <f>SUMIFS('Awards Summary'!$H:$H,'Awards Summary'!$B:$B,$C13,'Awards Summary'!$J:$J,"NIFA")</f>
        <v>0</v>
      </c>
      <c r="DO13" s="55">
        <f>SUMIFS('Disbursements Summary'!$E:$E,'Disbursements Summary'!$C:$C,$C13,'Disbursements Summary'!$A:$A,"NIFA")</f>
        <v>0</v>
      </c>
      <c r="DP13" s="55">
        <f>SUMIFS('Awards Summary'!$H:$H,'Awards Summary'!$B:$B,$C13,'Awards Summary'!$J:$J,"NHCC")</f>
        <v>0</v>
      </c>
      <c r="DQ13" s="55">
        <f>SUMIFS('Disbursements Summary'!$E:$E,'Disbursements Summary'!$C:$C,$C13,'Disbursements Summary'!$A:$A,"NHCC")</f>
        <v>0</v>
      </c>
      <c r="DR13" s="55">
        <f>SUMIFS('Awards Summary'!$H:$H,'Awards Summary'!$B:$B,$C13,'Awards Summary'!$J:$J,"NHT")</f>
        <v>0</v>
      </c>
      <c r="DS13" s="55">
        <f>SUMIFS('Disbursements Summary'!$E:$E,'Disbursements Summary'!$C:$C,$C13,'Disbursements Summary'!$A:$A,"NHT")</f>
        <v>0</v>
      </c>
      <c r="DT13" s="55">
        <f>SUMIFS('Awards Summary'!$H:$H,'Awards Summary'!$B:$B,$C13,'Awards Summary'!$J:$J,"NYPA")</f>
        <v>0</v>
      </c>
      <c r="DU13" s="55">
        <f>SUMIFS('Disbursements Summary'!$E:$E,'Disbursements Summary'!$C:$C,$C13,'Disbursements Summary'!$A:$A,"NYPA")</f>
        <v>0</v>
      </c>
      <c r="DV13" s="55">
        <f>SUMIFS('Awards Summary'!$H:$H,'Awards Summary'!$B:$B,$C13,'Awards Summary'!$J:$J,"NYSBA")</f>
        <v>0</v>
      </c>
      <c r="DW13" s="55">
        <f>SUMIFS('Disbursements Summary'!$E:$E,'Disbursements Summary'!$C:$C,$C13,'Disbursements Summary'!$A:$A,"NYSBA")</f>
        <v>0</v>
      </c>
      <c r="DX13" s="55">
        <f>SUMIFS('Awards Summary'!$H:$H,'Awards Summary'!$B:$B,$C13,'Awards Summary'!$J:$J,"NYSERDA")</f>
        <v>0</v>
      </c>
      <c r="DY13" s="55">
        <f>SUMIFS('Disbursements Summary'!$E:$E,'Disbursements Summary'!$C:$C,$C13,'Disbursements Summary'!$A:$A,"NYSERDA")</f>
        <v>0</v>
      </c>
      <c r="DZ13" s="55">
        <f>SUMIFS('Awards Summary'!$H:$H,'Awards Summary'!$B:$B,$C13,'Awards Summary'!$J:$J,"DHCR")</f>
        <v>0</v>
      </c>
      <c r="EA13" s="55">
        <f>SUMIFS('Disbursements Summary'!$E:$E,'Disbursements Summary'!$C:$C,$C13,'Disbursements Summary'!$A:$A,"DHCR")</f>
        <v>0</v>
      </c>
      <c r="EB13" s="55">
        <f>SUMIFS('Awards Summary'!$H:$H,'Awards Summary'!$B:$B,$C13,'Awards Summary'!$J:$J,"HFA")</f>
        <v>0</v>
      </c>
      <c r="EC13" s="55">
        <f>SUMIFS('Disbursements Summary'!$E:$E,'Disbursements Summary'!$C:$C,$C13,'Disbursements Summary'!$A:$A,"HFA")</f>
        <v>0</v>
      </c>
      <c r="ED13" s="55">
        <f>SUMIFS('Awards Summary'!$H:$H,'Awards Summary'!$B:$B,$C13,'Awards Summary'!$J:$J,"NYSIF")</f>
        <v>0</v>
      </c>
      <c r="EE13" s="55">
        <f>SUMIFS('Disbursements Summary'!$E:$E,'Disbursements Summary'!$C:$C,$C13,'Disbursements Summary'!$A:$A,"NYSIF")</f>
        <v>0</v>
      </c>
      <c r="EF13" s="55">
        <f>SUMIFS('Awards Summary'!$H:$H,'Awards Summary'!$B:$B,$C13,'Awards Summary'!$J:$J,"NYBREDS")</f>
        <v>0</v>
      </c>
      <c r="EG13" s="55">
        <f>SUMIFS('Disbursements Summary'!$E:$E,'Disbursements Summary'!$C:$C,$C13,'Disbursements Summary'!$A:$A,"NYBREDS")</f>
        <v>0</v>
      </c>
      <c r="EH13" s="55">
        <f>SUMIFS('Awards Summary'!$H:$H,'Awards Summary'!$B:$B,$C13,'Awards Summary'!$J:$J,"NYSTA")</f>
        <v>0</v>
      </c>
      <c r="EI13" s="55">
        <f>SUMIFS('Disbursements Summary'!$E:$E,'Disbursements Summary'!$C:$C,$C13,'Disbursements Summary'!$A:$A,"NYSTA")</f>
        <v>0</v>
      </c>
      <c r="EJ13" s="55">
        <f>SUMIFS('Awards Summary'!$H:$H,'Awards Summary'!$B:$B,$C13,'Awards Summary'!$J:$J,"NFWB")</f>
        <v>0</v>
      </c>
      <c r="EK13" s="55">
        <f>SUMIFS('Disbursements Summary'!$E:$E,'Disbursements Summary'!$C:$C,$C13,'Disbursements Summary'!$A:$A,"NFWB")</f>
        <v>0</v>
      </c>
      <c r="EL13" s="55">
        <f>SUMIFS('Awards Summary'!$H:$H,'Awards Summary'!$B:$B,$C13,'Awards Summary'!$J:$J,"NFTA")</f>
        <v>0</v>
      </c>
      <c r="EM13" s="55">
        <f>SUMIFS('Disbursements Summary'!$E:$E,'Disbursements Summary'!$C:$C,$C13,'Disbursements Summary'!$A:$A,"NFTA")</f>
        <v>0</v>
      </c>
      <c r="EN13" s="55">
        <f>SUMIFS('Awards Summary'!$H:$H,'Awards Summary'!$B:$B,$C13,'Awards Summary'!$J:$J,"OPWDD")</f>
        <v>0</v>
      </c>
      <c r="EO13" s="55">
        <f>SUMIFS('Disbursements Summary'!$E:$E,'Disbursements Summary'!$C:$C,$C13,'Disbursements Summary'!$A:$A,"OPWDD")</f>
        <v>0</v>
      </c>
      <c r="EP13" s="55">
        <f>SUMIFS('Awards Summary'!$H:$H,'Awards Summary'!$B:$B,$C13,'Awards Summary'!$J:$J,"AGING")</f>
        <v>0</v>
      </c>
      <c r="EQ13" s="55">
        <f>SUMIFS('Disbursements Summary'!$E:$E,'Disbursements Summary'!$C:$C,$C13,'Disbursements Summary'!$A:$A,"AGING")</f>
        <v>0</v>
      </c>
      <c r="ER13" s="55">
        <f>SUMIFS('Awards Summary'!$H:$H,'Awards Summary'!$B:$B,$C13,'Awards Summary'!$J:$J,"OPDV")</f>
        <v>0</v>
      </c>
      <c r="ES13" s="55">
        <f>SUMIFS('Disbursements Summary'!$E:$E,'Disbursements Summary'!$C:$C,$C13,'Disbursements Summary'!$A:$A,"OPDV")</f>
        <v>0</v>
      </c>
      <c r="ET13" s="55">
        <f>SUMIFS('Awards Summary'!$H:$H,'Awards Summary'!$B:$B,$C13,'Awards Summary'!$J:$J,"OVS")</f>
        <v>0</v>
      </c>
      <c r="EU13" s="55">
        <f>SUMIFS('Disbursements Summary'!$E:$E,'Disbursements Summary'!$C:$C,$C13,'Disbursements Summary'!$A:$A,"OVS")</f>
        <v>0</v>
      </c>
      <c r="EV13" s="55">
        <f>SUMIFS('Awards Summary'!$H:$H,'Awards Summary'!$B:$B,$C13,'Awards Summary'!$J:$J,"OASAS")</f>
        <v>0</v>
      </c>
      <c r="EW13" s="55">
        <f>SUMIFS('Disbursements Summary'!$E:$E,'Disbursements Summary'!$C:$C,$C13,'Disbursements Summary'!$A:$A,"OASAS")</f>
        <v>0</v>
      </c>
      <c r="EX13" s="55">
        <f>SUMIFS('Awards Summary'!$H:$H,'Awards Summary'!$B:$B,$C13,'Awards Summary'!$J:$J,"OCFS")</f>
        <v>0</v>
      </c>
      <c r="EY13" s="55">
        <f>SUMIFS('Disbursements Summary'!$E:$E,'Disbursements Summary'!$C:$C,$C13,'Disbursements Summary'!$A:$A,"OCFS")</f>
        <v>0</v>
      </c>
      <c r="EZ13" s="55">
        <f>SUMIFS('Awards Summary'!$H:$H,'Awards Summary'!$B:$B,$C13,'Awards Summary'!$J:$J,"OGS")</f>
        <v>0</v>
      </c>
      <c r="FA13" s="55">
        <f>SUMIFS('Disbursements Summary'!$E:$E,'Disbursements Summary'!$C:$C,$C13,'Disbursements Summary'!$A:$A,"OGS")</f>
        <v>0</v>
      </c>
      <c r="FB13" s="55">
        <f>SUMIFS('Awards Summary'!$H:$H,'Awards Summary'!$B:$B,$C13,'Awards Summary'!$J:$J,"OMH")</f>
        <v>0</v>
      </c>
      <c r="FC13" s="55">
        <f>SUMIFS('Disbursements Summary'!$E:$E,'Disbursements Summary'!$C:$C,$C13,'Disbursements Summary'!$A:$A,"OMH")</f>
        <v>0</v>
      </c>
      <c r="FD13" s="55">
        <f>SUMIFS('Awards Summary'!$H:$H,'Awards Summary'!$B:$B,$C13,'Awards Summary'!$J:$J,"PARKS")</f>
        <v>0</v>
      </c>
      <c r="FE13" s="55">
        <f>SUMIFS('Disbursements Summary'!$E:$E,'Disbursements Summary'!$C:$C,$C13,'Disbursements Summary'!$A:$A,"PARKS")</f>
        <v>0</v>
      </c>
      <c r="FF13" s="55">
        <f>SUMIFS('Awards Summary'!$H:$H,'Awards Summary'!$B:$B,$C13,'Awards Summary'!$J:$J,"OTDA")</f>
        <v>0</v>
      </c>
      <c r="FG13" s="55">
        <f>SUMIFS('Disbursements Summary'!$E:$E,'Disbursements Summary'!$C:$C,$C13,'Disbursements Summary'!$A:$A,"OTDA")</f>
        <v>0</v>
      </c>
      <c r="FH13" s="55">
        <f>SUMIFS('Awards Summary'!$H:$H,'Awards Summary'!$B:$B,$C13,'Awards Summary'!$J:$J,"OIG")</f>
        <v>0</v>
      </c>
      <c r="FI13" s="55">
        <f>SUMIFS('Disbursements Summary'!$E:$E,'Disbursements Summary'!$C:$C,$C13,'Disbursements Summary'!$A:$A,"OIG")</f>
        <v>0</v>
      </c>
      <c r="FJ13" s="55">
        <f>SUMIFS('Awards Summary'!$H:$H,'Awards Summary'!$B:$B,$C13,'Awards Summary'!$J:$J,"OMIG")</f>
        <v>0</v>
      </c>
      <c r="FK13" s="55">
        <f>SUMIFS('Disbursements Summary'!$E:$E,'Disbursements Summary'!$C:$C,$C13,'Disbursements Summary'!$A:$A,"OMIG")</f>
        <v>0</v>
      </c>
      <c r="FL13" s="55">
        <f>SUMIFS('Awards Summary'!$H:$H,'Awards Summary'!$B:$B,$C13,'Awards Summary'!$J:$J,"OSC")</f>
        <v>0</v>
      </c>
      <c r="FM13" s="55">
        <f>SUMIFS('Disbursements Summary'!$E:$E,'Disbursements Summary'!$C:$C,$C13,'Disbursements Summary'!$A:$A,"OSC")</f>
        <v>0</v>
      </c>
      <c r="FN13" s="55">
        <f>SUMIFS('Awards Summary'!$H:$H,'Awards Summary'!$B:$B,$C13,'Awards Summary'!$J:$J,"OWIG")</f>
        <v>0</v>
      </c>
      <c r="FO13" s="55">
        <f>SUMIFS('Disbursements Summary'!$E:$E,'Disbursements Summary'!$C:$C,$C13,'Disbursements Summary'!$A:$A,"OWIG")</f>
        <v>0</v>
      </c>
      <c r="FP13" s="55">
        <f>SUMIFS('Awards Summary'!$H:$H,'Awards Summary'!$B:$B,$C13,'Awards Summary'!$J:$J,"OGDEN")</f>
        <v>0</v>
      </c>
      <c r="FQ13" s="55">
        <f>SUMIFS('Disbursements Summary'!$E:$E,'Disbursements Summary'!$C:$C,$C13,'Disbursements Summary'!$A:$A,"OGDEN")</f>
        <v>0</v>
      </c>
      <c r="FR13" s="55">
        <f>SUMIFS('Awards Summary'!$H:$H,'Awards Summary'!$B:$B,$C13,'Awards Summary'!$J:$J,"ORDA")</f>
        <v>0</v>
      </c>
      <c r="FS13" s="55">
        <f>SUMIFS('Disbursements Summary'!$E:$E,'Disbursements Summary'!$C:$C,$C13,'Disbursements Summary'!$A:$A,"ORDA")</f>
        <v>0</v>
      </c>
      <c r="FT13" s="55">
        <f>SUMIFS('Awards Summary'!$H:$H,'Awards Summary'!$B:$B,$C13,'Awards Summary'!$J:$J,"OSWEGO")</f>
        <v>0</v>
      </c>
      <c r="FU13" s="55">
        <f>SUMIFS('Disbursements Summary'!$E:$E,'Disbursements Summary'!$C:$C,$C13,'Disbursements Summary'!$A:$A,"OSWEGO")</f>
        <v>0</v>
      </c>
      <c r="FV13" s="55">
        <f>SUMIFS('Awards Summary'!$H:$H,'Awards Summary'!$B:$B,$C13,'Awards Summary'!$J:$J,"PERB")</f>
        <v>0</v>
      </c>
      <c r="FW13" s="55">
        <f>SUMIFS('Disbursements Summary'!$E:$E,'Disbursements Summary'!$C:$C,$C13,'Disbursements Summary'!$A:$A,"PERB")</f>
        <v>0</v>
      </c>
      <c r="FX13" s="55">
        <f>SUMIFS('Awards Summary'!$H:$H,'Awards Summary'!$B:$B,$C13,'Awards Summary'!$J:$J,"RGRTA")</f>
        <v>0</v>
      </c>
      <c r="FY13" s="55">
        <f>SUMIFS('Disbursements Summary'!$E:$E,'Disbursements Summary'!$C:$C,$C13,'Disbursements Summary'!$A:$A,"RGRTA")</f>
        <v>0</v>
      </c>
      <c r="FZ13" s="55">
        <f>SUMIFS('Awards Summary'!$H:$H,'Awards Summary'!$B:$B,$C13,'Awards Summary'!$J:$J,"RIOC")</f>
        <v>0</v>
      </c>
      <c r="GA13" s="55">
        <f>SUMIFS('Disbursements Summary'!$E:$E,'Disbursements Summary'!$C:$C,$C13,'Disbursements Summary'!$A:$A,"RIOC")</f>
        <v>0</v>
      </c>
      <c r="GB13" s="55">
        <f>SUMIFS('Awards Summary'!$H:$H,'Awards Summary'!$B:$B,$C13,'Awards Summary'!$J:$J,"RPCI")</f>
        <v>0</v>
      </c>
      <c r="GC13" s="55">
        <f>SUMIFS('Disbursements Summary'!$E:$E,'Disbursements Summary'!$C:$C,$C13,'Disbursements Summary'!$A:$A,"RPCI")</f>
        <v>0</v>
      </c>
      <c r="GD13" s="55">
        <f>SUMIFS('Awards Summary'!$H:$H,'Awards Summary'!$B:$B,$C13,'Awards Summary'!$J:$J,"SMDA")</f>
        <v>0</v>
      </c>
      <c r="GE13" s="55">
        <f>SUMIFS('Disbursements Summary'!$E:$E,'Disbursements Summary'!$C:$C,$C13,'Disbursements Summary'!$A:$A,"SMDA")</f>
        <v>0</v>
      </c>
      <c r="GF13" s="55">
        <f>SUMIFS('Awards Summary'!$H:$H,'Awards Summary'!$B:$B,$C13,'Awards Summary'!$J:$J,"SCOC")</f>
        <v>0</v>
      </c>
      <c r="GG13" s="55">
        <f>SUMIFS('Disbursements Summary'!$E:$E,'Disbursements Summary'!$C:$C,$C13,'Disbursements Summary'!$A:$A,"SCOC")</f>
        <v>0</v>
      </c>
      <c r="GH13" s="55">
        <f>SUMIFS('Awards Summary'!$H:$H,'Awards Summary'!$B:$B,$C13,'Awards Summary'!$J:$J,"SUCF")</f>
        <v>0</v>
      </c>
      <c r="GI13" s="55">
        <f>SUMIFS('Disbursements Summary'!$E:$E,'Disbursements Summary'!$C:$C,$C13,'Disbursements Summary'!$A:$A,"SUCF")</f>
        <v>0</v>
      </c>
      <c r="GJ13" s="55">
        <f>SUMIFS('Awards Summary'!$H:$H,'Awards Summary'!$B:$B,$C13,'Awards Summary'!$J:$J,"SUNY")</f>
        <v>0</v>
      </c>
      <c r="GK13" s="55">
        <f>SUMIFS('Disbursements Summary'!$E:$E,'Disbursements Summary'!$C:$C,$C13,'Disbursements Summary'!$A:$A,"SUNY")</f>
        <v>0</v>
      </c>
      <c r="GL13" s="55">
        <f>SUMIFS('Awards Summary'!$H:$H,'Awards Summary'!$B:$B,$C13,'Awards Summary'!$J:$J,"SRAA")</f>
        <v>0</v>
      </c>
      <c r="GM13" s="55">
        <f>SUMIFS('Disbursements Summary'!$E:$E,'Disbursements Summary'!$C:$C,$C13,'Disbursements Summary'!$A:$A,"SRAA")</f>
        <v>0</v>
      </c>
      <c r="GN13" s="55">
        <f>SUMIFS('Awards Summary'!$H:$H,'Awards Summary'!$B:$B,$C13,'Awards Summary'!$J:$J,"UNDC")</f>
        <v>0</v>
      </c>
      <c r="GO13" s="55">
        <f>SUMIFS('Disbursements Summary'!$E:$E,'Disbursements Summary'!$C:$C,$C13,'Disbursements Summary'!$A:$A,"UNDC")</f>
        <v>0</v>
      </c>
      <c r="GP13" s="55">
        <f>SUMIFS('Awards Summary'!$H:$H,'Awards Summary'!$B:$B,$C13,'Awards Summary'!$J:$J,"MVWA")</f>
        <v>0</v>
      </c>
      <c r="GQ13" s="55">
        <f>SUMIFS('Disbursements Summary'!$E:$E,'Disbursements Summary'!$C:$C,$C13,'Disbursements Summary'!$A:$A,"MVWA")</f>
        <v>0</v>
      </c>
      <c r="GR13" s="55">
        <f>SUMIFS('Awards Summary'!$H:$H,'Awards Summary'!$B:$B,$C13,'Awards Summary'!$J:$J,"WMC")</f>
        <v>0</v>
      </c>
      <c r="GS13" s="55">
        <f>SUMIFS('Disbursements Summary'!$E:$E,'Disbursements Summary'!$C:$C,$C13,'Disbursements Summary'!$A:$A,"WMC")</f>
        <v>0</v>
      </c>
      <c r="GT13" s="55">
        <f>SUMIFS('Awards Summary'!$H:$H,'Awards Summary'!$B:$B,$C13,'Awards Summary'!$J:$J,"WCB")</f>
        <v>0</v>
      </c>
      <c r="GU13" s="55">
        <f>SUMIFS('Disbursements Summary'!$E:$E,'Disbursements Summary'!$C:$C,$C13,'Disbursements Summary'!$A:$A,"WCB")</f>
        <v>0</v>
      </c>
      <c r="GV13" s="32">
        <f t="shared" si="1"/>
        <v>0</v>
      </c>
      <c r="GW13" s="32">
        <f t="shared" si="2"/>
        <v>0</v>
      </c>
      <c r="GX13" s="30" t="b">
        <f t="shared" si="3"/>
        <v>1</v>
      </c>
      <c r="GY13" s="30" t="b">
        <f t="shared" si="4"/>
        <v>1</v>
      </c>
    </row>
    <row r="14" spans="1:207" s="30" customFormat="1">
      <c r="A14" s="22" t="str">
        <f t="shared" si="0"/>
        <v/>
      </c>
      <c r="B14" s="21" t="s">
        <v>243</v>
      </c>
      <c r="C14" s="16">
        <v>141020</v>
      </c>
      <c r="D14" s="26">
        <f>COUNTIF('Awards Summary'!B:B,"141020")</f>
        <v>0</v>
      </c>
      <c r="E14" s="45">
        <f>SUMIFS('Awards Summary'!H:H,'Awards Summary'!B:B,"141020")</f>
        <v>0</v>
      </c>
      <c r="F14" s="46">
        <f>SUMIFS('Disbursements Summary'!E:E,'Disbursements Summary'!C:C, "141020")</f>
        <v>0</v>
      </c>
      <c r="H14" s="55">
        <f>SUMIFS('Awards Summary'!$H:$H,'Awards Summary'!$B:$B,$C14,'Awards Summary'!$J:$J,"APA")</f>
        <v>0</v>
      </c>
      <c r="I14" s="55">
        <f>SUMIFS('Disbursements Summary'!$E:$E,'Disbursements Summary'!$C:$C,$C14,'Disbursements Summary'!$A:$A,"APA")</f>
        <v>0</v>
      </c>
      <c r="J14" s="55">
        <f>SUMIFS('Awards Summary'!$H:$H,'Awards Summary'!$B:$B,$C14,'Awards Summary'!$J:$J,"Ag&amp;Horse")</f>
        <v>0</v>
      </c>
      <c r="K14" s="55">
        <f>SUMIFS('Disbursements Summary'!$E:$E,'Disbursements Summary'!$C:$C,$C14,'Disbursements Summary'!$A:$A,"Ag&amp;Horse")</f>
        <v>0</v>
      </c>
      <c r="L14" s="55">
        <f>SUMIFS('Awards Summary'!$H:$H,'Awards Summary'!$B:$B,$C14,'Awards Summary'!$J:$J,"ACAA")</f>
        <v>0</v>
      </c>
      <c r="M14" s="55">
        <f>SUMIFS('Disbursements Summary'!$E:$E,'Disbursements Summary'!$C:$C,$C14,'Disbursements Summary'!$A:$A,"ACAA")</f>
        <v>0</v>
      </c>
      <c r="N14" s="55">
        <f>SUMIFS('Awards Summary'!$H:$H,'Awards Summary'!$B:$B,$C14,'Awards Summary'!$J:$J,"PortAlbany")</f>
        <v>0</v>
      </c>
      <c r="O14" s="55">
        <f>SUMIFS('Disbursements Summary'!$E:$E,'Disbursements Summary'!$C:$C,$C14,'Disbursements Summary'!$A:$A,"PortAlbany")</f>
        <v>0</v>
      </c>
      <c r="P14" s="55">
        <f>SUMIFS('Awards Summary'!$H:$H,'Awards Summary'!$B:$B,$C14,'Awards Summary'!$J:$J,"SLA")</f>
        <v>0</v>
      </c>
      <c r="Q14" s="55">
        <f>SUMIFS('Disbursements Summary'!$E:$E,'Disbursements Summary'!$C:$C,$C14,'Disbursements Summary'!$A:$A,"SLA")</f>
        <v>0</v>
      </c>
      <c r="R14" s="55">
        <f>SUMIFS('Awards Summary'!$H:$H,'Awards Summary'!$B:$B,$C14,'Awards Summary'!$J:$J,"BPCA")</f>
        <v>0</v>
      </c>
      <c r="S14" s="55">
        <f>SUMIFS('Disbursements Summary'!$E:$E,'Disbursements Summary'!$C:$C,$C14,'Disbursements Summary'!$A:$A,"BPCA")</f>
        <v>0</v>
      </c>
      <c r="T14" s="55">
        <f>SUMIFS('Awards Summary'!$H:$H,'Awards Summary'!$B:$B,$C14,'Awards Summary'!$J:$J,"ELECTIONS")</f>
        <v>0</v>
      </c>
      <c r="U14" s="55">
        <f>SUMIFS('Disbursements Summary'!$E:$E,'Disbursements Summary'!$C:$C,$C14,'Disbursements Summary'!$A:$A,"ELECTIONS")</f>
        <v>0</v>
      </c>
      <c r="V14" s="55">
        <f>SUMIFS('Awards Summary'!$H:$H,'Awards Summary'!$B:$B,$C14,'Awards Summary'!$J:$J,"BFSA")</f>
        <v>0</v>
      </c>
      <c r="W14" s="55">
        <f>SUMIFS('Disbursements Summary'!$E:$E,'Disbursements Summary'!$C:$C,$C14,'Disbursements Summary'!$A:$A,"BFSA")</f>
        <v>0</v>
      </c>
      <c r="X14" s="55">
        <f>SUMIFS('Awards Summary'!$H:$H,'Awards Summary'!$B:$B,$C14,'Awards Summary'!$J:$J,"CDTA")</f>
        <v>0</v>
      </c>
      <c r="Y14" s="55">
        <f>SUMIFS('Disbursements Summary'!$E:$E,'Disbursements Summary'!$C:$C,$C14,'Disbursements Summary'!$A:$A,"CDTA")</f>
        <v>0</v>
      </c>
      <c r="Z14" s="55">
        <f>SUMIFS('Awards Summary'!$H:$H,'Awards Summary'!$B:$B,$C14,'Awards Summary'!$J:$J,"CCWSA")</f>
        <v>0</v>
      </c>
      <c r="AA14" s="55">
        <f>SUMIFS('Disbursements Summary'!$E:$E,'Disbursements Summary'!$C:$C,$C14,'Disbursements Summary'!$A:$A,"CCWSA")</f>
        <v>0</v>
      </c>
      <c r="AB14" s="55">
        <f>SUMIFS('Awards Summary'!$H:$H,'Awards Summary'!$B:$B,$C14,'Awards Summary'!$J:$J,"CNYRTA")</f>
        <v>0</v>
      </c>
      <c r="AC14" s="55">
        <f>SUMIFS('Disbursements Summary'!$E:$E,'Disbursements Summary'!$C:$C,$C14,'Disbursements Summary'!$A:$A,"CNYRTA")</f>
        <v>0</v>
      </c>
      <c r="AD14" s="55">
        <f>SUMIFS('Awards Summary'!$H:$H,'Awards Summary'!$B:$B,$C14,'Awards Summary'!$J:$J,"CUCF")</f>
        <v>0</v>
      </c>
      <c r="AE14" s="55">
        <f>SUMIFS('Disbursements Summary'!$E:$E,'Disbursements Summary'!$C:$C,$C14,'Disbursements Summary'!$A:$A,"CUCF")</f>
        <v>0</v>
      </c>
      <c r="AF14" s="55">
        <f>SUMIFS('Awards Summary'!$H:$H,'Awards Summary'!$B:$B,$C14,'Awards Summary'!$J:$J,"CUNY")</f>
        <v>0</v>
      </c>
      <c r="AG14" s="55">
        <f>SUMIFS('Disbursements Summary'!$E:$E,'Disbursements Summary'!$C:$C,$C14,'Disbursements Summary'!$A:$A,"CUNY")</f>
        <v>0</v>
      </c>
      <c r="AH14" s="55">
        <f>SUMIFS('Awards Summary'!$H:$H,'Awards Summary'!$B:$B,$C14,'Awards Summary'!$J:$J,"ARTS")</f>
        <v>0</v>
      </c>
      <c r="AI14" s="55">
        <f>SUMIFS('Disbursements Summary'!$E:$E,'Disbursements Summary'!$C:$C,$C14,'Disbursements Summary'!$A:$A,"ARTS")</f>
        <v>0</v>
      </c>
      <c r="AJ14" s="55">
        <f>SUMIFS('Awards Summary'!$H:$H,'Awards Summary'!$B:$B,$C14,'Awards Summary'!$J:$J,"AG&amp;MKTS")</f>
        <v>0</v>
      </c>
      <c r="AK14" s="55">
        <f>SUMIFS('Disbursements Summary'!$E:$E,'Disbursements Summary'!$C:$C,$C14,'Disbursements Summary'!$A:$A,"AG&amp;MKTS")</f>
        <v>0</v>
      </c>
      <c r="AL14" s="55">
        <f>SUMIFS('Awards Summary'!$H:$H,'Awards Summary'!$B:$B,$C14,'Awards Summary'!$J:$J,"CS")</f>
        <v>0</v>
      </c>
      <c r="AM14" s="55">
        <f>SUMIFS('Disbursements Summary'!$E:$E,'Disbursements Summary'!$C:$C,$C14,'Disbursements Summary'!$A:$A,"CS")</f>
        <v>0</v>
      </c>
      <c r="AN14" s="55">
        <f>SUMIFS('Awards Summary'!$H:$H,'Awards Summary'!$B:$B,$C14,'Awards Summary'!$J:$J,"DOCCS")</f>
        <v>0</v>
      </c>
      <c r="AO14" s="55">
        <f>SUMIFS('Disbursements Summary'!$E:$E,'Disbursements Summary'!$C:$C,$C14,'Disbursements Summary'!$A:$A,"DOCCS")</f>
        <v>0</v>
      </c>
      <c r="AP14" s="55">
        <f>SUMIFS('Awards Summary'!$H:$H,'Awards Summary'!$B:$B,$C14,'Awards Summary'!$J:$J,"DED")</f>
        <v>0</v>
      </c>
      <c r="AQ14" s="55">
        <f>SUMIFS('Disbursements Summary'!$E:$E,'Disbursements Summary'!$C:$C,$C14,'Disbursements Summary'!$A:$A,"DED")</f>
        <v>0</v>
      </c>
      <c r="AR14" s="55">
        <f>SUMIFS('Awards Summary'!$H:$H,'Awards Summary'!$B:$B,$C14,'Awards Summary'!$J:$J,"DEC")</f>
        <v>0</v>
      </c>
      <c r="AS14" s="55">
        <f>SUMIFS('Disbursements Summary'!$E:$E,'Disbursements Summary'!$C:$C,$C14,'Disbursements Summary'!$A:$A,"DEC")</f>
        <v>0</v>
      </c>
      <c r="AT14" s="55">
        <f>SUMIFS('Awards Summary'!$H:$H,'Awards Summary'!$B:$B,$C14,'Awards Summary'!$J:$J,"DFS")</f>
        <v>0</v>
      </c>
      <c r="AU14" s="55">
        <f>SUMIFS('Disbursements Summary'!$E:$E,'Disbursements Summary'!$C:$C,$C14,'Disbursements Summary'!$A:$A,"DFS")</f>
        <v>0</v>
      </c>
      <c r="AV14" s="55">
        <f>SUMIFS('Awards Summary'!$H:$H,'Awards Summary'!$B:$B,$C14,'Awards Summary'!$J:$J,"DOH")</f>
        <v>0</v>
      </c>
      <c r="AW14" s="55">
        <f>SUMIFS('Disbursements Summary'!$E:$E,'Disbursements Summary'!$C:$C,$C14,'Disbursements Summary'!$A:$A,"DOH")</f>
        <v>0</v>
      </c>
      <c r="AX14" s="55">
        <f>SUMIFS('Awards Summary'!$H:$H,'Awards Summary'!$B:$B,$C14,'Awards Summary'!$J:$J,"DOL")</f>
        <v>0</v>
      </c>
      <c r="AY14" s="55">
        <f>SUMIFS('Disbursements Summary'!$E:$E,'Disbursements Summary'!$C:$C,$C14,'Disbursements Summary'!$A:$A,"DOL")</f>
        <v>0</v>
      </c>
      <c r="AZ14" s="55">
        <f>SUMIFS('Awards Summary'!$H:$H,'Awards Summary'!$B:$B,$C14,'Awards Summary'!$J:$J,"DMV")</f>
        <v>0</v>
      </c>
      <c r="BA14" s="55">
        <f>SUMIFS('Disbursements Summary'!$E:$E,'Disbursements Summary'!$C:$C,$C14,'Disbursements Summary'!$A:$A,"DMV")</f>
        <v>0</v>
      </c>
      <c r="BB14" s="55">
        <f>SUMIFS('Awards Summary'!$H:$H,'Awards Summary'!$B:$B,$C14,'Awards Summary'!$J:$J,"DPS")</f>
        <v>0</v>
      </c>
      <c r="BC14" s="55">
        <f>SUMIFS('Disbursements Summary'!$E:$E,'Disbursements Summary'!$C:$C,$C14,'Disbursements Summary'!$A:$A,"DPS")</f>
        <v>0</v>
      </c>
      <c r="BD14" s="55">
        <f>SUMIFS('Awards Summary'!$H:$H,'Awards Summary'!$B:$B,$C14,'Awards Summary'!$J:$J,"DOS")</f>
        <v>0</v>
      </c>
      <c r="BE14" s="55">
        <f>SUMIFS('Disbursements Summary'!$E:$E,'Disbursements Summary'!$C:$C,$C14,'Disbursements Summary'!$A:$A,"DOS")</f>
        <v>0</v>
      </c>
      <c r="BF14" s="55">
        <f>SUMIFS('Awards Summary'!$H:$H,'Awards Summary'!$B:$B,$C14,'Awards Summary'!$J:$J,"TAX")</f>
        <v>0</v>
      </c>
      <c r="BG14" s="55">
        <f>SUMIFS('Disbursements Summary'!$E:$E,'Disbursements Summary'!$C:$C,$C14,'Disbursements Summary'!$A:$A,"TAX")</f>
        <v>0</v>
      </c>
      <c r="BH14" s="55">
        <f>SUMIFS('Awards Summary'!$H:$H,'Awards Summary'!$B:$B,$C14,'Awards Summary'!$J:$J,"DOT")</f>
        <v>0</v>
      </c>
      <c r="BI14" s="55">
        <f>SUMIFS('Disbursements Summary'!$E:$E,'Disbursements Summary'!$C:$C,$C14,'Disbursements Summary'!$A:$A,"DOT")</f>
        <v>0</v>
      </c>
      <c r="BJ14" s="55">
        <f>SUMIFS('Awards Summary'!$H:$H,'Awards Summary'!$B:$B,$C14,'Awards Summary'!$J:$J,"DANC")</f>
        <v>0</v>
      </c>
      <c r="BK14" s="55">
        <f>SUMIFS('Disbursements Summary'!$E:$E,'Disbursements Summary'!$C:$C,$C14,'Disbursements Summary'!$A:$A,"DANC")</f>
        <v>0</v>
      </c>
      <c r="BL14" s="55">
        <f>SUMIFS('Awards Summary'!$H:$H,'Awards Summary'!$B:$B,$C14,'Awards Summary'!$J:$J,"DOB")</f>
        <v>0</v>
      </c>
      <c r="BM14" s="55">
        <f>SUMIFS('Disbursements Summary'!$E:$E,'Disbursements Summary'!$C:$C,$C14,'Disbursements Summary'!$A:$A,"DOB")</f>
        <v>0</v>
      </c>
      <c r="BN14" s="55">
        <f>SUMIFS('Awards Summary'!$H:$H,'Awards Summary'!$B:$B,$C14,'Awards Summary'!$J:$J,"DCJS")</f>
        <v>0</v>
      </c>
      <c r="BO14" s="55">
        <f>SUMIFS('Disbursements Summary'!$E:$E,'Disbursements Summary'!$C:$C,$C14,'Disbursements Summary'!$A:$A,"DCJS")</f>
        <v>0</v>
      </c>
      <c r="BP14" s="55">
        <f>SUMIFS('Awards Summary'!$H:$H,'Awards Summary'!$B:$B,$C14,'Awards Summary'!$J:$J,"DHSES")</f>
        <v>0</v>
      </c>
      <c r="BQ14" s="55">
        <f>SUMIFS('Disbursements Summary'!$E:$E,'Disbursements Summary'!$C:$C,$C14,'Disbursements Summary'!$A:$A,"DHSES")</f>
        <v>0</v>
      </c>
      <c r="BR14" s="55">
        <f>SUMIFS('Awards Summary'!$H:$H,'Awards Summary'!$B:$B,$C14,'Awards Summary'!$J:$J,"DHR")</f>
        <v>0</v>
      </c>
      <c r="BS14" s="55">
        <f>SUMIFS('Disbursements Summary'!$E:$E,'Disbursements Summary'!$C:$C,$C14,'Disbursements Summary'!$A:$A,"DHR")</f>
        <v>0</v>
      </c>
      <c r="BT14" s="55">
        <f>SUMIFS('Awards Summary'!$H:$H,'Awards Summary'!$B:$B,$C14,'Awards Summary'!$J:$J,"DMNA")</f>
        <v>0</v>
      </c>
      <c r="BU14" s="55">
        <f>SUMIFS('Disbursements Summary'!$E:$E,'Disbursements Summary'!$C:$C,$C14,'Disbursements Summary'!$A:$A,"DMNA")</f>
        <v>0</v>
      </c>
      <c r="BV14" s="55">
        <f>SUMIFS('Awards Summary'!$H:$H,'Awards Summary'!$B:$B,$C14,'Awards Summary'!$J:$J,"TROOPERS")</f>
        <v>0</v>
      </c>
      <c r="BW14" s="55">
        <f>SUMIFS('Disbursements Summary'!$E:$E,'Disbursements Summary'!$C:$C,$C14,'Disbursements Summary'!$A:$A,"TROOPERS")</f>
        <v>0</v>
      </c>
      <c r="BX14" s="55">
        <f>SUMIFS('Awards Summary'!$H:$H,'Awards Summary'!$B:$B,$C14,'Awards Summary'!$J:$J,"DVA")</f>
        <v>0</v>
      </c>
      <c r="BY14" s="55">
        <f>SUMIFS('Disbursements Summary'!$E:$E,'Disbursements Summary'!$C:$C,$C14,'Disbursements Summary'!$A:$A,"DVA")</f>
        <v>0</v>
      </c>
      <c r="BZ14" s="55">
        <f>SUMIFS('Awards Summary'!$H:$H,'Awards Summary'!$B:$B,$C14,'Awards Summary'!$J:$J,"DASNY")</f>
        <v>0</v>
      </c>
      <c r="CA14" s="55">
        <f>SUMIFS('Disbursements Summary'!$E:$E,'Disbursements Summary'!$C:$C,$C14,'Disbursements Summary'!$A:$A,"DASNY")</f>
        <v>0</v>
      </c>
      <c r="CB14" s="55">
        <f>SUMIFS('Awards Summary'!$H:$H,'Awards Summary'!$B:$B,$C14,'Awards Summary'!$J:$J,"EGG")</f>
        <v>0</v>
      </c>
      <c r="CC14" s="55">
        <f>SUMIFS('Disbursements Summary'!$E:$E,'Disbursements Summary'!$C:$C,$C14,'Disbursements Summary'!$A:$A,"EGG")</f>
        <v>0</v>
      </c>
      <c r="CD14" s="55">
        <f>SUMIFS('Awards Summary'!$H:$H,'Awards Summary'!$B:$B,$C14,'Awards Summary'!$J:$J,"ESD")</f>
        <v>0</v>
      </c>
      <c r="CE14" s="55">
        <f>SUMIFS('Disbursements Summary'!$E:$E,'Disbursements Summary'!$C:$C,$C14,'Disbursements Summary'!$A:$A,"ESD")</f>
        <v>0</v>
      </c>
      <c r="CF14" s="55">
        <f>SUMIFS('Awards Summary'!$H:$H,'Awards Summary'!$B:$B,$C14,'Awards Summary'!$J:$J,"EFC")</f>
        <v>0</v>
      </c>
      <c r="CG14" s="55">
        <f>SUMIFS('Disbursements Summary'!$E:$E,'Disbursements Summary'!$C:$C,$C14,'Disbursements Summary'!$A:$A,"EFC")</f>
        <v>0</v>
      </c>
      <c r="CH14" s="55">
        <f>SUMIFS('Awards Summary'!$H:$H,'Awards Summary'!$B:$B,$C14,'Awards Summary'!$J:$J,"ECFSA")</f>
        <v>0</v>
      </c>
      <c r="CI14" s="55">
        <f>SUMIFS('Disbursements Summary'!$E:$E,'Disbursements Summary'!$C:$C,$C14,'Disbursements Summary'!$A:$A,"ECFSA")</f>
        <v>0</v>
      </c>
      <c r="CJ14" s="55">
        <f>SUMIFS('Awards Summary'!$H:$H,'Awards Summary'!$B:$B,$C14,'Awards Summary'!$J:$J,"ECMC")</f>
        <v>0</v>
      </c>
      <c r="CK14" s="55">
        <f>SUMIFS('Disbursements Summary'!$E:$E,'Disbursements Summary'!$C:$C,$C14,'Disbursements Summary'!$A:$A,"ECMC")</f>
        <v>0</v>
      </c>
      <c r="CL14" s="55">
        <f>SUMIFS('Awards Summary'!$H:$H,'Awards Summary'!$B:$B,$C14,'Awards Summary'!$J:$J,"CHAMBER")</f>
        <v>0</v>
      </c>
      <c r="CM14" s="55">
        <f>SUMIFS('Disbursements Summary'!$E:$E,'Disbursements Summary'!$C:$C,$C14,'Disbursements Summary'!$A:$A,"CHAMBER")</f>
        <v>0</v>
      </c>
      <c r="CN14" s="55">
        <f>SUMIFS('Awards Summary'!$H:$H,'Awards Summary'!$B:$B,$C14,'Awards Summary'!$J:$J,"GAMING")</f>
        <v>0</v>
      </c>
      <c r="CO14" s="55">
        <f>SUMIFS('Disbursements Summary'!$E:$E,'Disbursements Summary'!$C:$C,$C14,'Disbursements Summary'!$A:$A,"GAMING")</f>
        <v>0</v>
      </c>
      <c r="CP14" s="55">
        <f>SUMIFS('Awards Summary'!$H:$H,'Awards Summary'!$B:$B,$C14,'Awards Summary'!$J:$J,"GOER")</f>
        <v>0</v>
      </c>
      <c r="CQ14" s="55">
        <f>SUMIFS('Disbursements Summary'!$E:$E,'Disbursements Summary'!$C:$C,$C14,'Disbursements Summary'!$A:$A,"GOER")</f>
        <v>0</v>
      </c>
      <c r="CR14" s="55">
        <f>SUMIFS('Awards Summary'!$H:$H,'Awards Summary'!$B:$B,$C14,'Awards Summary'!$J:$J,"HESC")</f>
        <v>0</v>
      </c>
      <c r="CS14" s="55">
        <f>SUMIFS('Disbursements Summary'!$E:$E,'Disbursements Summary'!$C:$C,$C14,'Disbursements Summary'!$A:$A,"HESC")</f>
        <v>0</v>
      </c>
      <c r="CT14" s="55">
        <f>SUMIFS('Awards Summary'!$H:$H,'Awards Summary'!$B:$B,$C14,'Awards Summary'!$J:$J,"GOSR")</f>
        <v>0</v>
      </c>
      <c r="CU14" s="55">
        <f>SUMIFS('Disbursements Summary'!$E:$E,'Disbursements Summary'!$C:$C,$C14,'Disbursements Summary'!$A:$A,"GOSR")</f>
        <v>0</v>
      </c>
      <c r="CV14" s="55">
        <f>SUMIFS('Awards Summary'!$H:$H,'Awards Summary'!$B:$B,$C14,'Awards Summary'!$J:$J,"HRPT")</f>
        <v>0</v>
      </c>
      <c r="CW14" s="55">
        <f>SUMIFS('Disbursements Summary'!$E:$E,'Disbursements Summary'!$C:$C,$C14,'Disbursements Summary'!$A:$A,"HRPT")</f>
        <v>0</v>
      </c>
      <c r="CX14" s="55">
        <f>SUMIFS('Awards Summary'!$H:$H,'Awards Summary'!$B:$B,$C14,'Awards Summary'!$J:$J,"HRBRRD")</f>
        <v>0</v>
      </c>
      <c r="CY14" s="55">
        <f>SUMIFS('Disbursements Summary'!$E:$E,'Disbursements Summary'!$C:$C,$C14,'Disbursements Summary'!$A:$A,"HRBRRD")</f>
        <v>0</v>
      </c>
      <c r="CZ14" s="55">
        <f>SUMIFS('Awards Summary'!$H:$H,'Awards Summary'!$B:$B,$C14,'Awards Summary'!$J:$J,"ITS")</f>
        <v>0</v>
      </c>
      <c r="DA14" s="55">
        <f>SUMIFS('Disbursements Summary'!$E:$E,'Disbursements Summary'!$C:$C,$C14,'Disbursements Summary'!$A:$A,"ITS")</f>
        <v>0</v>
      </c>
      <c r="DB14" s="55">
        <f>SUMIFS('Awards Summary'!$H:$H,'Awards Summary'!$B:$B,$C14,'Awards Summary'!$J:$J,"JAVITS")</f>
        <v>0</v>
      </c>
      <c r="DC14" s="55">
        <f>SUMIFS('Disbursements Summary'!$E:$E,'Disbursements Summary'!$C:$C,$C14,'Disbursements Summary'!$A:$A,"JAVITS")</f>
        <v>0</v>
      </c>
      <c r="DD14" s="55">
        <f>SUMIFS('Awards Summary'!$H:$H,'Awards Summary'!$B:$B,$C14,'Awards Summary'!$J:$J,"JCOPE")</f>
        <v>0</v>
      </c>
      <c r="DE14" s="55">
        <f>SUMIFS('Disbursements Summary'!$E:$E,'Disbursements Summary'!$C:$C,$C14,'Disbursements Summary'!$A:$A,"JCOPE")</f>
        <v>0</v>
      </c>
      <c r="DF14" s="55">
        <f>SUMIFS('Awards Summary'!$H:$H,'Awards Summary'!$B:$B,$C14,'Awards Summary'!$J:$J,"JUSTICE")</f>
        <v>0</v>
      </c>
      <c r="DG14" s="55">
        <f>SUMIFS('Disbursements Summary'!$E:$E,'Disbursements Summary'!$C:$C,$C14,'Disbursements Summary'!$A:$A,"JUSTICE")</f>
        <v>0</v>
      </c>
      <c r="DH14" s="55">
        <f>SUMIFS('Awards Summary'!$H:$H,'Awards Summary'!$B:$B,$C14,'Awards Summary'!$J:$J,"LCWSA")</f>
        <v>0</v>
      </c>
      <c r="DI14" s="55">
        <f>SUMIFS('Disbursements Summary'!$E:$E,'Disbursements Summary'!$C:$C,$C14,'Disbursements Summary'!$A:$A,"LCWSA")</f>
        <v>0</v>
      </c>
      <c r="DJ14" s="55">
        <f>SUMIFS('Awards Summary'!$H:$H,'Awards Summary'!$B:$B,$C14,'Awards Summary'!$J:$J,"LIPA")</f>
        <v>0</v>
      </c>
      <c r="DK14" s="55">
        <f>SUMIFS('Disbursements Summary'!$E:$E,'Disbursements Summary'!$C:$C,$C14,'Disbursements Summary'!$A:$A,"LIPA")</f>
        <v>0</v>
      </c>
      <c r="DL14" s="55">
        <f>SUMIFS('Awards Summary'!$H:$H,'Awards Summary'!$B:$B,$C14,'Awards Summary'!$J:$J,"MTA")</f>
        <v>0</v>
      </c>
      <c r="DM14" s="55">
        <f>SUMIFS('Disbursements Summary'!$E:$E,'Disbursements Summary'!$C:$C,$C14,'Disbursements Summary'!$A:$A,"MTA")</f>
        <v>0</v>
      </c>
      <c r="DN14" s="55">
        <f>SUMIFS('Awards Summary'!$H:$H,'Awards Summary'!$B:$B,$C14,'Awards Summary'!$J:$J,"NIFA")</f>
        <v>0</v>
      </c>
      <c r="DO14" s="55">
        <f>SUMIFS('Disbursements Summary'!$E:$E,'Disbursements Summary'!$C:$C,$C14,'Disbursements Summary'!$A:$A,"NIFA")</f>
        <v>0</v>
      </c>
      <c r="DP14" s="55">
        <f>SUMIFS('Awards Summary'!$H:$H,'Awards Summary'!$B:$B,$C14,'Awards Summary'!$J:$J,"NHCC")</f>
        <v>0</v>
      </c>
      <c r="DQ14" s="55">
        <f>SUMIFS('Disbursements Summary'!$E:$E,'Disbursements Summary'!$C:$C,$C14,'Disbursements Summary'!$A:$A,"NHCC")</f>
        <v>0</v>
      </c>
      <c r="DR14" s="55">
        <f>SUMIFS('Awards Summary'!$H:$H,'Awards Summary'!$B:$B,$C14,'Awards Summary'!$J:$J,"NHT")</f>
        <v>0</v>
      </c>
      <c r="DS14" s="55">
        <f>SUMIFS('Disbursements Summary'!$E:$E,'Disbursements Summary'!$C:$C,$C14,'Disbursements Summary'!$A:$A,"NHT")</f>
        <v>0</v>
      </c>
      <c r="DT14" s="55">
        <f>SUMIFS('Awards Summary'!$H:$H,'Awards Summary'!$B:$B,$C14,'Awards Summary'!$J:$J,"NYPA")</f>
        <v>0</v>
      </c>
      <c r="DU14" s="55">
        <f>SUMIFS('Disbursements Summary'!$E:$E,'Disbursements Summary'!$C:$C,$C14,'Disbursements Summary'!$A:$A,"NYPA")</f>
        <v>0</v>
      </c>
      <c r="DV14" s="55">
        <f>SUMIFS('Awards Summary'!$H:$H,'Awards Summary'!$B:$B,$C14,'Awards Summary'!$J:$J,"NYSBA")</f>
        <v>0</v>
      </c>
      <c r="DW14" s="55">
        <f>SUMIFS('Disbursements Summary'!$E:$E,'Disbursements Summary'!$C:$C,$C14,'Disbursements Summary'!$A:$A,"NYSBA")</f>
        <v>0</v>
      </c>
      <c r="DX14" s="55">
        <f>SUMIFS('Awards Summary'!$H:$H,'Awards Summary'!$B:$B,$C14,'Awards Summary'!$J:$J,"NYSERDA")</f>
        <v>0</v>
      </c>
      <c r="DY14" s="55">
        <f>SUMIFS('Disbursements Summary'!$E:$E,'Disbursements Summary'!$C:$C,$C14,'Disbursements Summary'!$A:$A,"NYSERDA")</f>
        <v>0</v>
      </c>
      <c r="DZ14" s="55">
        <f>SUMIFS('Awards Summary'!$H:$H,'Awards Summary'!$B:$B,$C14,'Awards Summary'!$J:$J,"DHCR")</f>
        <v>0</v>
      </c>
      <c r="EA14" s="55">
        <f>SUMIFS('Disbursements Summary'!$E:$E,'Disbursements Summary'!$C:$C,$C14,'Disbursements Summary'!$A:$A,"DHCR")</f>
        <v>0</v>
      </c>
      <c r="EB14" s="55">
        <f>SUMIFS('Awards Summary'!$H:$H,'Awards Summary'!$B:$B,$C14,'Awards Summary'!$J:$J,"HFA")</f>
        <v>0</v>
      </c>
      <c r="EC14" s="55">
        <f>SUMIFS('Disbursements Summary'!$E:$E,'Disbursements Summary'!$C:$C,$C14,'Disbursements Summary'!$A:$A,"HFA")</f>
        <v>0</v>
      </c>
      <c r="ED14" s="55">
        <f>SUMIFS('Awards Summary'!$H:$H,'Awards Summary'!$B:$B,$C14,'Awards Summary'!$J:$J,"NYSIF")</f>
        <v>0</v>
      </c>
      <c r="EE14" s="55">
        <f>SUMIFS('Disbursements Summary'!$E:$E,'Disbursements Summary'!$C:$C,$C14,'Disbursements Summary'!$A:$A,"NYSIF")</f>
        <v>0</v>
      </c>
      <c r="EF14" s="55">
        <f>SUMIFS('Awards Summary'!$H:$H,'Awards Summary'!$B:$B,$C14,'Awards Summary'!$J:$J,"NYBREDS")</f>
        <v>0</v>
      </c>
      <c r="EG14" s="55">
        <f>SUMIFS('Disbursements Summary'!$E:$E,'Disbursements Summary'!$C:$C,$C14,'Disbursements Summary'!$A:$A,"NYBREDS")</f>
        <v>0</v>
      </c>
      <c r="EH14" s="55">
        <f>SUMIFS('Awards Summary'!$H:$H,'Awards Summary'!$B:$B,$C14,'Awards Summary'!$J:$J,"NYSTA")</f>
        <v>0</v>
      </c>
      <c r="EI14" s="55">
        <f>SUMIFS('Disbursements Summary'!$E:$E,'Disbursements Summary'!$C:$C,$C14,'Disbursements Summary'!$A:$A,"NYSTA")</f>
        <v>0</v>
      </c>
      <c r="EJ14" s="55">
        <f>SUMIFS('Awards Summary'!$H:$H,'Awards Summary'!$B:$B,$C14,'Awards Summary'!$J:$J,"NFWB")</f>
        <v>0</v>
      </c>
      <c r="EK14" s="55">
        <f>SUMIFS('Disbursements Summary'!$E:$E,'Disbursements Summary'!$C:$C,$C14,'Disbursements Summary'!$A:$A,"NFWB")</f>
        <v>0</v>
      </c>
      <c r="EL14" s="55">
        <f>SUMIFS('Awards Summary'!$H:$H,'Awards Summary'!$B:$B,$C14,'Awards Summary'!$J:$J,"NFTA")</f>
        <v>0</v>
      </c>
      <c r="EM14" s="55">
        <f>SUMIFS('Disbursements Summary'!$E:$E,'Disbursements Summary'!$C:$C,$C14,'Disbursements Summary'!$A:$A,"NFTA")</f>
        <v>0</v>
      </c>
      <c r="EN14" s="55">
        <f>SUMIFS('Awards Summary'!$H:$H,'Awards Summary'!$B:$B,$C14,'Awards Summary'!$J:$J,"OPWDD")</f>
        <v>0</v>
      </c>
      <c r="EO14" s="55">
        <f>SUMIFS('Disbursements Summary'!$E:$E,'Disbursements Summary'!$C:$C,$C14,'Disbursements Summary'!$A:$A,"OPWDD")</f>
        <v>0</v>
      </c>
      <c r="EP14" s="55">
        <f>SUMIFS('Awards Summary'!$H:$H,'Awards Summary'!$B:$B,$C14,'Awards Summary'!$J:$J,"AGING")</f>
        <v>0</v>
      </c>
      <c r="EQ14" s="55">
        <f>SUMIFS('Disbursements Summary'!$E:$E,'Disbursements Summary'!$C:$C,$C14,'Disbursements Summary'!$A:$A,"AGING")</f>
        <v>0</v>
      </c>
      <c r="ER14" s="55">
        <f>SUMIFS('Awards Summary'!$H:$H,'Awards Summary'!$B:$B,$C14,'Awards Summary'!$J:$J,"OPDV")</f>
        <v>0</v>
      </c>
      <c r="ES14" s="55">
        <f>SUMIFS('Disbursements Summary'!$E:$E,'Disbursements Summary'!$C:$C,$C14,'Disbursements Summary'!$A:$A,"OPDV")</f>
        <v>0</v>
      </c>
      <c r="ET14" s="55">
        <f>SUMIFS('Awards Summary'!$H:$H,'Awards Summary'!$B:$B,$C14,'Awards Summary'!$J:$J,"OVS")</f>
        <v>0</v>
      </c>
      <c r="EU14" s="55">
        <f>SUMIFS('Disbursements Summary'!$E:$E,'Disbursements Summary'!$C:$C,$C14,'Disbursements Summary'!$A:$A,"OVS")</f>
        <v>0</v>
      </c>
      <c r="EV14" s="55">
        <f>SUMIFS('Awards Summary'!$H:$H,'Awards Summary'!$B:$B,$C14,'Awards Summary'!$J:$J,"OASAS")</f>
        <v>0</v>
      </c>
      <c r="EW14" s="55">
        <f>SUMIFS('Disbursements Summary'!$E:$E,'Disbursements Summary'!$C:$C,$C14,'Disbursements Summary'!$A:$A,"OASAS")</f>
        <v>0</v>
      </c>
      <c r="EX14" s="55">
        <f>SUMIFS('Awards Summary'!$H:$H,'Awards Summary'!$B:$B,$C14,'Awards Summary'!$J:$J,"OCFS")</f>
        <v>0</v>
      </c>
      <c r="EY14" s="55">
        <f>SUMIFS('Disbursements Summary'!$E:$E,'Disbursements Summary'!$C:$C,$C14,'Disbursements Summary'!$A:$A,"OCFS")</f>
        <v>0</v>
      </c>
      <c r="EZ14" s="55">
        <f>SUMIFS('Awards Summary'!$H:$H,'Awards Summary'!$B:$B,$C14,'Awards Summary'!$J:$J,"OGS")</f>
        <v>0</v>
      </c>
      <c r="FA14" s="55">
        <f>SUMIFS('Disbursements Summary'!$E:$E,'Disbursements Summary'!$C:$C,$C14,'Disbursements Summary'!$A:$A,"OGS")</f>
        <v>0</v>
      </c>
      <c r="FB14" s="55">
        <f>SUMIFS('Awards Summary'!$H:$H,'Awards Summary'!$B:$B,$C14,'Awards Summary'!$J:$J,"OMH")</f>
        <v>0</v>
      </c>
      <c r="FC14" s="55">
        <f>SUMIFS('Disbursements Summary'!$E:$E,'Disbursements Summary'!$C:$C,$C14,'Disbursements Summary'!$A:$A,"OMH")</f>
        <v>0</v>
      </c>
      <c r="FD14" s="55">
        <f>SUMIFS('Awards Summary'!$H:$H,'Awards Summary'!$B:$B,$C14,'Awards Summary'!$J:$J,"PARKS")</f>
        <v>0</v>
      </c>
      <c r="FE14" s="55">
        <f>SUMIFS('Disbursements Summary'!$E:$E,'Disbursements Summary'!$C:$C,$C14,'Disbursements Summary'!$A:$A,"PARKS")</f>
        <v>0</v>
      </c>
      <c r="FF14" s="55">
        <f>SUMIFS('Awards Summary'!$H:$H,'Awards Summary'!$B:$B,$C14,'Awards Summary'!$J:$J,"OTDA")</f>
        <v>0</v>
      </c>
      <c r="FG14" s="55">
        <f>SUMIFS('Disbursements Summary'!$E:$E,'Disbursements Summary'!$C:$C,$C14,'Disbursements Summary'!$A:$A,"OTDA")</f>
        <v>0</v>
      </c>
      <c r="FH14" s="55">
        <f>SUMIFS('Awards Summary'!$H:$H,'Awards Summary'!$B:$B,$C14,'Awards Summary'!$J:$J,"OIG")</f>
        <v>0</v>
      </c>
      <c r="FI14" s="55">
        <f>SUMIFS('Disbursements Summary'!$E:$E,'Disbursements Summary'!$C:$C,$C14,'Disbursements Summary'!$A:$A,"OIG")</f>
        <v>0</v>
      </c>
      <c r="FJ14" s="55">
        <f>SUMIFS('Awards Summary'!$H:$H,'Awards Summary'!$B:$B,$C14,'Awards Summary'!$J:$J,"OMIG")</f>
        <v>0</v>
      </c>
      <c r="FK14" s="55">
        <f>SUMIFS('Disbursements Summary'!$E:$E,'Disbursements Summary'!$C:$C,$C14,'Disbursements Summary'!$A:$A,"OMIG")</f>
        <v>0</v>
      </c>
      <c r="FL14" s="55">
        <f>SUMIFS('Awards Summary'!$H:$H,'Awards Summary'!$B:$B,$C14,'Awards Summary'!$J:$J,"OSC")</f>
        <v>0</v>
      </c>
      <c r="FM14" s="55">
        <f>SUMIFS('Disbursements Summary'!$E:$E,'Disbursements Summary'!$C:$C,$C14,'Disbursements Summary'!$A:$A,"OSC")</f>
        <v>0</v>
      </c>
      <c r="FN14" s="55">
        <f>SUMIFS('Awards Summary'!$H:$H,'Awards Summary'!$B:$B,$C14,'Awards Summary'!$J:$J,"OWIG")</f>
        <v>0</v>
      </c>
      <c r="FO14" s="55">
        <f>SUMIFS('Disbursements Summary'!$E:$E,'Disbursements Summary'!$C:$C,$C14,'Disbursements Summary'!$A:$A,"OWIG")</f>
        <v>0</v>
      </c>
      <c r="FP14" s="55">
        <f>SUMIFS('Awards Summary'!$H:$H,'Awards Summary'!$B:$B,$C14,'Awards Summary'!$J:$J,"OGDEN")</f>
        <v>0</v>
      </c>
      <c r="FQ14" s="55">
        <f>SUMIFS('Disbursements Summary'!$E:$E,'Disbursements Summary'!$C:$C,$C14,'Disbursements Summary'!$A:$A,"OGDEN")</f>
        <v>0</v>
      </c>
      <c r="FR14" s="55">
        <f>SUMIFS('Awards Summary'!$H:$H,'Awards Summary'!$B:$B,$C14,'Awards Summary'!$J:$J,"ORDA")</f>
        <v>0</v>
      </c>
      <c r="FS14" s="55">
        <f>SUMIFS('Disbursements Summary'!$E:$E,'Disbursements Summary'!$C:$C,$C14,'Disbursements Summary'!$A:$A,"ORDA")</f>
        <v>0</v>
      </c>
      <c r="FT14" s="55">
        <f>SUMIFS('Awards Summary'!$H:$H,'Awards Summary'!$B:$B,$C14,'Awards Summary'!$J:$J,"OSWEGO")</f>
        <v>0</v>
      </c>
      <c r="FU14" s="55">
        <f>SUMIFS('Disbursements Summary'!$E:$E,'Disbursements Summary'!$C:$C,$C14,'Disbursements Summary'!$A:$A,"OSWEGO")</f>
        <v>0</v>
      </c>
      <c r="FV14" s="55">
        <f>SUMIFS('Awards Summary'!$H:$H,'Awards Summary'!$B:$B,$C14,'Awards Summary'!$J:$J,"PERB")</f>
        <v>0</v>
      </c>
      <c r="FW14" s="55">
        <f>SUMIFS('Disbursements Summary'!$E:$E,'Disbursements Summary'!$C:$C,$C14,'Disbursements Summary'!$A:$A,"PERB")</f>
        <v>0</v>
      </c>
      <c r="FX14" s="55">
        <f>SUMIFS('Awards Summary'!$H:$H,'Awards Summary'!$B:$B,$C14,'Awards Summary'!$J:$J,"RGRTA")</f>
        <v>0</v>
      </c>
      <c r="FY14" s="55">
        <f>SUMIFS('Disbursements Summary'!$E:$E,'Disbursements Summary'!$C:$C,$C14,'Disbursements Summary'!$A:$A,"RGRTA")</f>
        <v>0</v>
      </c>
      <c r="FZ14" s="55">
        <f>SUMIFS('Awards Summary'!$H:$H,'Awards Summary'!$B:$B,$C14,'Awards Summary'!$J:$J,"RIOC")</f>
        <v>0</v>
      </c>
      <c r="GA14" s="55">
        <f>SUMIFS('Disbursements Summary'!$E:$E,'Disbursements Summary'!$C:$C,$C14,'Disbursements Summary'!$A:$A,"RIOC")</f>
        <v>0</v>
      </c>
      <c r="GB14" s="55">
        <f>SUMIFS('Awards Summary'!$H:$H,'Awards Summary'!$B:$B,$C14,'Awards Summary'!$J:$J,"RPCI")</f>
        <v>0</v>
      </c>
      <c r="GC14" s="55">
        <f>SUMIFS('Disbursements Summary'!$E:$E,'Disbursements Summary'!$C:$C,$C14,'Disbursements Summary'!$A:$A,"RPCI")</f>
        <v>0</v>
      </c>
      <c r="GD14" s="55">
        <f>SUMIFS('Awards Summary'!$H:$H,'Awards Summary'!$B:$B,$C14,'Awards Summary'!$J:$J,"SMDA")</f>
        <v>0</v>
      </c>
      <c r="GE14" s="55">
        <f>SUMIFS('Disbursements Summary'!$E:$E,'Disbursements Summary'!$C:$C,$C14,'Disbursements Summary'!$A:$A,"SMDA")</f>
        <v>0</v>
      </c>
      <c r="GF14" s="55">
        <f>SUMIFS('Awards Summary'!$H:$H,'Awards Summary'!$B:$B,$C14,'Awards Summary'!$J:$J,"SCOC")</f>
        <v>0</v>
      </c>
      <c r="GG14" s="55">
        <f>SUMIFS('Disbursements Summary'!$E:$E,'Disbursements Summary'!$C:$C,$C14,'Disbursements Summary'!$A:$A,"SCOC")</f>
        <v>0</v>
      </c>
      <c r="GH14" s="55">
        <f>SUMIFS('Awards Summary'!$H:$H,'Awards Summary'!$B:$B,$C14,'Awards Summary'!$J:$J,"SUCF")</f>
        <v>0</v>
      </c>
      <c r="GI14" s="55">
        <f>SUMIFS('Disbursements Summary'!$E:$E,'Disbursements Summary'!$C:$C,$C14,'Disbursements Summary'!$A:$A,"SUCF")</f>
        <v>0</v>
      </c>
      <c r="GJ14" s="55">
        <f>SUMIFS('Awards Summary'!$H:$H,'Awards Summary'!$B:$B,$C14,'Awards Summary'!$J:$J,"SUNY")</f>
        <v>0</v>
      </c>
      <c r="GK14" s="55">
        <f>SUMIFS('Disbursements Summary'!$E:$E,'Disbursements Summary'!$C:$C,$C14,'Disbursements Summary'!$A:$A,"SUNY")</f>
        <v>0</v>
      </c>
      <c r="GL14" s="55">
        <f>SUMIFS('Awards Summary'!$H:$H,'Awards Summary'!$B:$B,$C14,'Awards Summary'!$J:$J,"SRAA")</f>
        <v>0</v>
      </c>
      <c r="GM14" s="55">
        <f>SUMIFS('Disbursements Summary'!$E:$E,'Disbursements Summary'!$C:$C,$C14,'Disbursements Summary'!$A:$A,"SRAA")</f>
        <v>0</v>
      </c>
      <c r="GN14" s="55">
        <f>SUMIFS('Awards Summary'!$H:$H,'Awards Summary'!$B:$B,$C14,'Awards Summary'!$J:$J,"UNDC")</f>
        <v>0</v>
      </c>
      <c r="GO14" s="55">
        <f>SUMIFS('Disbursements Summary'!$E:$E,'Disbursements Summary'!$C:$C,$C14,'Disbursements Summary'!$A:$A,"UNDC")</f>
        <v>0</v>
      </c>
      <c r="GP14" s="55">
        <f>SUMIFS('Awards Summary'!$H:$H,'Awards Summary'!$B:$B,$C14,'Awards Summary'!$J:$J,"MVWA")</f>
        <v>0</v>
      </c>
      <c r="GQ14" s="55">
        <f>SUMIFS('Disbursements Summary'!$E:$E,'Disbursements Summary'!$C:$C,$C14,'Disbursements Summary'!$A:$A,"MVWA")</f>
        <v>0</v>
      </c>
      <c r="GR14" s="55">
        <f>SUMIFS('Awards Summary'!$H:$H,'Awards Summary'!$B:$B,$C14,'Awards Summary'!$J:$J,"WMC")</f>
        <v>0</v>
      </c>
      <c r="GS14" s="55">
        <f>SUMIFS('Disbursements Summary'!$E:$E,'Disbursements Summary'!$C:$C,$C14,'Disbursements Summary'!$A:$A,"WMC")</f>
        <v>0</v>
      </c>
      <c r="GT14" s="55">
        <f>SUMIFS('Awards Summary'!$H:$H,'Awards Summary'!$B:$B,$C14,'Awards Summary'!$J:$J,"WCB")</f>
        <v>0</v>
      </c>
      <c r="GU14" s="55">
        <f>SUMIFS('Disbursements Summary'!$E:$E,'Disbursements Summary'!$C:$C,$C14,'Disbursements Summary'!$A:$A,"WCB")</f>
        <v>0</v>
      </c>
      <c r="GV14" s="32">
        <f t="shared" si="1"/>
        <v>0</v>
      </c>
      <c r="GW14" s="32">
        <f t="shared" si="2"/>
        <v>0</v>
      </c>
      <c r="GX14" s="30" t="b">
        <f t="shared" si="3"/>
        <v>1</v>
      </c>
      <c r="GY14" s="30" t="b">
        <f t="shared" si="4"/>
        <v>1</v>
      </c>
    </row>
    <row r="15" spans="1:207" s="30" customFormat="1">
      <c r="A15" s="22" t="str">
        <f t="shared" si="0"/>
        <v/>
      </c>
      <c r="B15" s="40" t="s">
        <v>199</v>
      </c>
      <c r="C15" s="16">
        <v>141022</v>
      </c>
      <c r="D15" s="26">
        <f>COUNTIF('Awards Summary'!B:B,"141022")</f>
        <v>0</v>
      </c>
      <c r="E15" s="45">
        <f>SUMIFS('Awards Summary'!H:H,'Awards Summary'!B:B,"141022")</f>
        <v>0</v>
      </c>
      <c r="F15" s="46">
        <f>SUMIFS('Disbursements Summary'!E:E,'Disbursements Summary'!C:C, "141022")</f>
        <v>0</v>
      </c>
      <c r="H15" s="55">
        <f>SUMIFS('Awards Summary'!$H:$H,'Awards Summary'!$B:$B,$C15,'Awards Summary'!$J:$J,"APA")</f>
        <v>0</v>
      </c>
      <c r="I15" s="55">
        <f>SUMIFS('Disbursements Summary'!$E:$E,'Disbursements Summary'!$C:$C,$C15,'Disbursements Summary'!$A:$A,"APA")</f>
        <v>0</v>
      </c>
      <c r="J15" s="55">
        <f>SUMIFS('Awards Summary'!$H:$H,'Awards Summary'!$B:$B,$C15,'Awards Summary'!$J:$J,"Ag&amp;Horse")</f>
        <v>0</v>
      </c>
      <c r="K15" s="55">
        <f>SUMIFS('Disbursements Summary'!$E:$E,'Disbursements Summary'!$C:$C,$C15,'Disbursements Summary'!$A:$A,"Ag&amp;Horse")</f>
        <v>0</v>
      </c>
      <c r="L15" s="55">
        <f>SUMIFS('Awards Summary'!$H:$H,'Awards Summary'!$B:$B,$C15,'Awards Summary'!$J:$J,"ACAA")</f>
        <v>0</v>
      </c>
      <c r="M15" s="55">
        <f>SUMIFS('Disbursements Summary'!$E:$E,'Disbursements Summary'!$C:$C,$C15,'Disbursements Summary'!$A:$A,"ACAA")</f>
        <v>0</v>
      </c>
      <c r="N15" s="55">
        <f>SUMIFS('Awards Summary'!$H:$H,'Awards Summary'!$B:$B,$C15,'Awards Summary'!$J:$J,"PortAlbany")</f>
        <v>0</v>
      </c>
      <c r="O15" s="55">
        <f>SUMIFS('Disbursements Summary'!$E:$E,'Disbursements Summary'!$C:$C,$C15,'Disbursements Summary'!$A:$A,"PortAlbany")</f>
        <v>0</v>
      </c>
      <c r="P15" s="55">
        <f>SUMIFS('Awards Summary'!$H:$H,'Awards Summary'!$B:$B,$C15,'Awards Summary'!$J:$J,"SLA")</f>
        <v>0</v>
      </c>
      <c r="Q15" s="55">
        <f>SUMIFS('Disbursements Summary'!$E:$E,'Disbursements Summary'!$C:$C,$C15,'Disbursements Summary'!$A:$A,"SLA")</f>
        <v>0</v>
      </c>
      <c r="R15" s="55">
        <f>SUMIFS('Awards Summary'!$H:$H,'Awards Summary'!$B:$B,$C15,'Awards Summary'!$J:$J,"BPCA")</f>
        <v>0</v>
      </c>
      <c r="S15" s="55">
        <f>SUMIFS('Disbursements Summary'!$E:$E,'Disbursements Summary'!$C:$C,$C15,'Disbursements Summary'!$A:$A,"BPCA")</f>
        <v>0</v>
      </c>
      <c r="T15" s="55">
        <f>SUMIFS('Awards Summary'!$H:$H,'Awards Summary'!$B:$B,$C15,'Awards Summary'!$J:$J,"ELECTIONS")</f>
        <v>0</v>
      </c>
      <c r="U15" s="55">
        <f>SUMIFS('Disbursements Summary'!$E:$E,'Disbursements Summary'!$C:$C,$C15,'Disbursements Summary'!$A:$A,"ELECTIONS")</f>
        <v>0</v>
      </c>
      <c r="V15" s="55">
        <f>SUMIFS('Awards Summary'!$H:$H,'Awards Summary'!$B:$B,$C15,'Awards Summary'!$J:$J,"BFSA")</f>
        <v>0</v>
      </c>
      <c r="W15" s="55">
        <f>SUMIFS('Disbursements Summary'!$E:$E,'Disbursements Summary'!$C:$C,$C15,'Disbursements Summary'!$A:$A,"BFSA")</f>
        <v>0</v>
      </c>
      <c r="X15" s="55">
        <f>SUMIFS('Awards Summary'!$H:$H,'Awards Summary'!$B:$B,$C15,'Awards Summary'!$J:$J,"CDTA")</f>
        <v>0</v>
      </c>
      <c r="Y15" s="55">
        <f>SUMIFS('Disbursements Summary'!$E:$E,'Disbursements Summary'!$C:$C,$C15,'Disbursements Summary'!$A:$A,"CDTA")</f>
        <v>0</v>
      </c>
      <c r="Z15" s="55">
        <f>SUMIFS('Awards Summary'!$H:$H,'Awards Summary'!$B:$B,$C15,'Awards Summary'!$J:$J,"CCWSA")</f>
        <v>0</v>
      </c>
      <c r="AA15" s="55">
        <f>SUMIFS('Disbursements Summary'!$E:$E,'Disbursements Summary'!$C:$C,$C15,'Disbursements Summary'!$A:$A,"CCWSA")</f>
        <v>0</v>
      </c>
      <c r="AB15" s="55">
        <f>SUMIFS('Awards Summary'!$H:$H,'Awards Summary'!$B:$B,$C15,'Awards Summary'!$J:$J,"CNYRTA")</f>
        <v>0</v>
      </c>
      <c r="AC15" s="55">
        <f>SUMIFS('Disbursements Summary'!$E:$E,'Disbursements Summary'!$C:$C,$C15,'Disbursements Summary'!$A:$A,"CNYRTA")</f>
        <v>0</v>
      </c>
      <c r="AD15" s="55">
        <f>SUMIFS('Awards Summary'!$H:$H,'Awards Summary'!$B:$B,$C15,'Awards Summary'!$J:$J,"CUCF")</f>
        <v>0</v>
      </c>
      <c r="AE15" s="55">
        <f>SUMIFS('Disbursements Summary'!$E:$E,'Disbursements Summary'!$C:$C,$C15,'Disbursements Summary'!$A:$A,"CUCF")</f>
        <v>0</v>
      </c>
      <c r="AF15" s="55">
        <f>SUMIFS('Awards Summary'!$H:$H,'Awards Summary'!$B:$B,$C15,'Awards Summary'!$J:$J,"CUNY")</f>
        <v>0</v>
      </c>
      <c r="AG15" s="55">
        <f>SUMIFS('Disbursements Summary'!$E:$E,'Disbursements Summary'!$C:$C,$C15,'Disbursements Summary'!$A:$A,"CUNY")</f>
        <v>0</v>
      </c>
      <c r="AH15" s="55">
        <f>SUMIFS('Awards Summary'!$H:$H,'Awards Summary'!$B:$B,$C15,'Awards Summary'!$J:$J,"ARTS")</f>
        <v>0</v>
      </c>
      <c r="AI15" s="55">
        <f>SUMIFS('Disbursements Summary'!$E:$E,'Disbursements Summary'!$C:$C,$C15,'Disbursements Summary'!$A:$A,"ARTS")</f>
        <v>0</v>
      </c>
      <c r="AJ15" s="55">
        <f>SUMIFS('Awards Summary'!$H:$H,'Awards Summary'!$B:$B,$C15,'Awards Summary'!$J:$J,"AG&amp;MKTS")</f>
        <v>0</v>
      </c>
      <c r="AK15" s="55">
        <f>SUMIFS('Disbursements Summary'!$E:$E,'Disbursements Summary'!$C:$C,$C15,'Disbursements Summary'!$A:$A,"AG&amp;MKTS")</f>
        <v>0</v>
      </c>
      <c r="AL15" s="55">
        <f>SUMIFS('Awards Summary'!$H:$H,'Awards Summary'!$B:$B,$C15,'Awards Summary'!$J:$J,"CS")</f>
        <v>0</v>
      </c>
      <c r="AM15" s="55">
        <f>SUMIFS('Disbursements Summary'!$E:$E,'Disbursements Summary'!$C:$C,$C15,'Disbursements Summary'!$A:$A,"CS")</f>
        <v>0</v>
      </c>
      <c r="AN15" s="55">
        <f>SUMIFS('Awards Summary'!$H:$H,'Awards Summary'!$B:$B,$C15,'Awards Summary'!$J:$J,"DOCCS")</f>
        <v>0</v>
      </c>
      <c r="AO15" s="55">
        <f>SUMIFS('Disbursements Summary'!$E:$E,'Disbursements Summary'!$C:$C,$C15,'Disbursements Summary'!$A:$A,"DOCCS")</f>
        <v>0</v>
      </c>
      <c r="AP15" s="55">
        <f>SUMIFS('Awards Summary'!$H:$H,'Awards Summary'!$B:$B,$C15,'Awards Summary'!$J:$J,"DED")</f>
        <v>0</v>
      </c>
      <c r="AQ15" s="55">
        <f>SUMIFS('Disbursements Summary'!$E:$E,'Disbursements Summary'!$C:$C,$C15,'Disbursements Summary'!$A:$A,"DED")</f>
        <v>0</v>
      </c>
      <c r="AR15" s="55">
        <f>SUMIFS('Awards Summary'!$H:$H,'Awards Summary'!$B:$B,$C15,'Awards Summary'!$J:$J,"DEC")</f>
        <v>0</v>
      </c>
      <c r="AS15" s="55">
        <f>SUMIFS('Disbursements Summary'!$E:$E,'Disbursements Summary'!$C:$C,$C15,'Disbursements Summary'!$A:$A,"DEC")</f>
        <v>0</v>
      </c>
      <c r="AT15" s="55">
        <f>SUMIFS('Awards Summary'!$H:$H,'Awards Summary'!$B:$B,$C15,'Awards Summary'!$J:$J,"DFS")</f>
        <v>0</v>
      </c>
      <c r="AU15" s="55">
        <f>SUMIFS('Disbursements Summary'!$E:$E,'Disbursements Summary'!$C:$C,$C15,'Disbursements Summary'!$A:$A,"DFS")</f>
        <v>0</v>
      </c>
      <c r="AV15" s="55">
        <f>SUMIFS('Awards Summary'!$H:$H,'Awards Summary'!$B:$B,$C15,'Awards Summary'!$J:$J,"DOH")</f>
        <v>0</v>
      </c>
      <c r="AW15" s="55">
        <f>SUMIFS('Disbursements Summary'!$E:$E,'Disbursements Summary'!$C:$C,$C15,'Disbursements Summary'!$A:$A,"DOH")</f>
        <v>0</v>
      </c>
      <c r="AX15" s="55">
        <f>SUMIFS('Awards Summary'!$H:$H,'Awards Summary'!$B:$B,$C15,'Awards Summary'!$J:$J,"DOL")</f>
        <v>0</v>
      </c>
      <c r="AY15" s="55">
        <f>SUMIFS('Disbursements Summary'!$E:$E,'Disbursements Summary'!$C:$C,$C15,'Disbursements Summary'!$A:$A,"DOL")</f>
        <v>0</v>
      </c>
      <c r="AZ15" s="55">
        <f>SUMIFS('Awards Summary'!$H:$H,'Awards Summary'!$B:$B,$C15,'Awards Summary'!$J:$J,"DMV")</f>
        <v>0</v>
      </c>
      <c r="BA15" s="55">
        <f>SUMIFS('Disbursements Summary'!$E:$E,'Disbursements Summary'!$C:$C,$C15,'Disbursements Summary'!$A:$A,"DMV")</f>
        <v>0</v>
      </c>
      <c r="BB15" s="55">
        <f>SUMIFS('Awards Summary'!$H:$H,'Awards Summary'!$B:$B,$C15,'Awards Summary'!$J:$J,"DPS")</f>
        <v>0</v>
      </c>
      <c r="BC15" s="55">
        <f>SUMIFS('Disbursements Summary'!$E:$E,'Disbursements Summary'!$C:$C,$C15,'Disbursements Summary'!$A:$A,"DPS")</f>
        <v>0</v>
      </c>
      <c r="BD15" s="55">
        <f>SUMIFS('Awards Summary'!$H:$H,'Awards Summary'!$B:$B,$C15,'Awards Summary'!$J:$J,"DOS")</f>
        <v>0</v>
      </c>
      <c r="BE15" s="55">
        <f>SUMIFS('Disbursements Summary'!$E:$E,'Disbursements Summary'!$C:$C,$C15,'Disbursements Summary'!$A:$A,"DOS")</f>
        <v>0</v>
      </c>
      <c r="BF15" s="55">
        <f>SUMIFS('Awards Summary'!$H:$H,'Awards Summary'!$B:$B,$C15,'Awards Summary'!$J:$J,"TAX")</f>
        <v>0</v>
      </c>
      <c r="BG15" s="55">
        <f>SUMIFS('Disbursements Summary'!$E:$E,'Disbursements Summary'!$C:$C,$C15,'Disbursements Summary'!$A:$A,"TAX")</f>
        <v>0</v>
      </c>
      <c r="BH15" s="55">
        <f>SUMIFS('Awards Summary'!$H:$H,'Awards Summary'!$B:$B,$C15,'Awards Summary'!$J:$J,"DOT")</f>
        <v>0</v>
      </c>
      <c r="BI15" s="55">
        <f>SUMIFS('Disbursements Summary'!$E:$E,'Disbursements Summary'!$C:$C,$C15,'Disbursements Summary'!$A:$A,"DOT")</f>
        <v>0</v>
      </c>
      <c r="BJ15" s="55">
        <f>SUMIFS('Awards Summary'!$H:$H,'Awards Summary'!$B:$B,$C15,'Awards Summary'!$J:$J,"DANC")</f>
        <v>0</v>
      </c>
      <c r="BK15" s="55">
        <f>SUMIFS('Disbursements Summary'!$E:$E,'Disbursements Summary'!$C:$C,$C15,'Disbursements Summary'!$A:$A,"DANC")</f>
        <v>0</v>
      </c>
      <c r="BL15" s="55">
        <f>SUMIFS('Awards Summary'!$H:$H,'Awards Summary'!$B:$B,$C15,'Awards Summary'!$J:$J,"DOB")</f>
        <v>0</v>
      </c>
      <c r="BM15" s="55">
        <f>SUMIFS('Disbursements Summary'!$E:$E,'Disbursements Summary'!$C:$C,$C15,'Disbursements Summary'!$A:$A,"DOB")</f>
        <v>0</v>
      </c>
      <c r="BN15" s="55">
        <f>SUMIFS('Awards Summary'!$H:$H,'Awards Summary'!$B:$B,$C15,'Awards Summary'!$J:$J,"DCJS")</f>
        <v>0</v>
      </c>
      <c r="BO15" s="55">
        <f>SUMIFS('Disbursements Summary'!$E:$E,'Disbursements Summary'!$C:$C,$C15,'Disbursements Summary'!$A:$A,"DCJS")</f>
        <v>0</v>
      </c>
      <c r="BP15" s="55">
        <f>SUMIFS('Awards Summary'!$H:$H,'Awards Summary'!$B:$B,$C15,'Awards Summary'!$J:$J,"DHSES")</f>
        <v>0</v>
      </c>
      <c r="BQ15" s="55">
        <f>SUMIFS('Disbursements Summary'!$E:$E,'Disbursements Summary'!$C:$C,$C15,'Disbursements Summary'!$A:$A,"DHSES")</f>
        <v>0</v>
      </c>
      <c r="BR15" s="55">
        <f>SUMIFS('Awards Summary'!$H:$H,'Awards Summary'!$B:$B,$C15,'Awards Summary'!$J:$J,"DHR")</f>
        <v>0</v>
      </c>
      <c r="BS15" s="55">
        <f>SUMIFS('Disbursements Summary'!$E:$E,'Disbursements Summary'!$C:$C,$C15,'Disbursements Summary'!$A:$A,"DHR")</f>
        <v>0</v>
      </c>
      <c r="BT15" s="55">
        <f>SUMIFS('Awards Summary'!$H:$H,'Awards Summary'!$B:$B,$C15,'Awards Summary'!$J:$J,"DMNA")</f>
        <v>0</v>
      </c>
      <c r="BU15" s="55">
        <f>SUMIFS('Disbursements Summary'!$E:$E,'Disbursements Summary'!$C:$C,$C15,'Disbursements Summary'!$A:$A,"DMNA")</f>
        <v>0</v>
      </c>
      <c r="BV15" s="55">
        <f>SUMIFS('Awards Summary'!$H:$H,'Awards Summary'!$B:$B,$C15,'Awards Summary'!$J:$J,"TROOPERS")</f>
        <v>0</v>
      </c>
      <c r="BW15" s="55">
        <f>SUMIFS('Disbursements Summary'!$E:$E,'Disbursements Summary'!$C:$C,$C15,'Disbursements Summary'!$A:$A,"TROOPERS")</f>
        <v>0</v>
      </c>
      <c r="BX15" s="55">
        <f>SUMIFS('Awards Summary'!$H:$H,'Awards Summary'!$B:$B,$C15,'Awards Summary'!$J:$J,"DVA")</f>
        <v>0</v>
      </c>
      <c r="BY15" s="55">
        <f>SUMIFS('Disbursements Summary'!$E:$E,'Disbursements Summary'!$C:$C,$C15,'Disbursements Summary'!$A:$A,"DVA")</f>
        <v>0</v>
      </c>
      <c r="BZ15" s="55">
        <f>SUMIFS('Awards Summary'!$H:$H,'Awards Summary'!$B:$B,$C15,'Awards Summary'!$J:$J,"DASNY")</f>
        <v>0</v>
      </c>
      <c r="CA15" s="55">
        <f>SUMIFS('Disbursements Summary'!$E:$E,'Disbursements Summary'!$C:$C,$C15,'Disbursements Summary'!$A:$A,"DASNY")</f>
        <v>0</v>
      </c>
      <c r="CB15" s="55">
        <f>SUMIFS('Awards Summary'!$H:$H,'Awards Summary'!$B:$B,$C15,'Awards Summary'!$J:$J,"EGG")</f>
        <v>0</v>
      </c>
      <c r="CC15" s="55">
        <f>SUMIFS('Disbursements Summary'!$E:$E,'Disbursements Summary'!$C:$C,$C15,'Disbursements Summary'!$A:$A,"EGG")</f>
        <v>0</v>
      </c>
      <c r="CD15" s="55">
        <f>SUMIFS('Awards Summary'!$H:$H,'Awards Summary'!$B:$B,$C15,'Awards Summary'!$J:$J,"ESD")</f>
        <v>0</v>
      </c>
      <c r="CE15" s="55">
        <f>SUMIFS('Disbursements Summary'!$E:$E,'Disbursements Summary'!$C:$C,$C15,'Disbursements Summary'!$A:$A,"ESD")</f>
        <v>0</v>
      </c>
      <c r="CF15" s="55">
        <f>SUMIFS('Awards Summary'!$H:$H,'Awards Summary'!$B:$B,$C15,'Awards Summary'!$J:$J,"EFC")</f>
        <v>0</v>
      </c>
      <c r="CG15" s="55">
        <f>SUMIFS('Disbursements Summary'!$E:$E,'Disbursements Summary'!$C:$C,$C15,'Disbursements Summary'!$A:$A,"EFC")</f>
        <v>0</v>
      </c>
      <c r="CH15" s="55">
        <f>SUMIFS('Awards Summary'!$H:$H,'Awards Summary'!$B:$B,$C15,'Awards Summary'!$J:$J,"ECFSA")</f>
        <v>0</v>
      </c>
      <c r="CI15" s="55">
        <f>SUMIFS('Disbursements Summary'!$E:$E,'Disbursements Summary'!$C:$C,$C15,'Disbursements Summary'!$A:$A,"ECFSA")</f>
        <v>0</v>
      </c>
      <c r="CJ15" s="55">
        <f>SUMIFS('Awards Summary'!$H:$H,'Awards Summary'!$B:$B,$C15,'Awards Summary'!$J:$J,"ECMC")</f>
        <v>0</v>
      </c>
      <c r="CK15" s="55">
        <f>SUMIFS('Disbursements Summary'!$E:$E,'Disbursements Summary'!$C:$C,$C15,'Disbursements Summary'!$A:$A,"ECMC")</f>
        <v>0</v>
      </c>
      <c r="CL15" s="55">
        <f>SUMIFS('Awards Summary'!$H:$H,'Awards Summary'!$B:$B,$C15,'Awards Summary'!$J:$J,"CHAMBER")</f>
        <v>0</v>
      </c>
      <c r="CM15" s="55">
        <f>SUMIFS('Disbursements Summary'!$E:$E,'Disbursements Summary'!$C:$C,$C15,'Disbursements Summary'!$A:$A,"CHAMBER")</f>
        <v>0</v>
      </c>
      <c r="CN15" s="55">
        <f>SUMIFS('Awards Summary'!$H:$H,'Awards Summary'!$B:$B,$C15,'Awards Summary'!$J:$J,"GAMING")</f>
        <v>0</v>
      </c>
      <c r="CO15" s="55">
        <f>SUMIFS('Disbursements Summary'!$E:$E,'Disbursements Summary'!$C:$C,$C15,'Disbursements Summary'!$A:$A,"GAMING")</f>
        <v>0</v>
      </c>
      <c r="CP15" s="55">
        <f>SUMIFS('Awards Summary'!$H:$H,'Awards Summary'!$B:$B,$C15,'Awards Summary'!$J:$J,"GOER")</f>
        <v>0</v>
      </c>
      <c r="CQ15" s="55">
        <f>SUMIFS('Disbursements Summary'!$E:$E,'Disbursements Summary'!$C:$C,$C15,'Disbursements Summary'!$A:$A,"GOER")</f>
        <v>0</v>
      </c>
      <c r="CR15" s="55">
        <f>SUMIFS('Awards Summary'!$H:$H,'Awards Summary'!$B:$B,$C15,'Awards Summary'!$J:$J,"HESC")</f>
        <v>0</v>
      </c>
      <c r="CS15" s="55">
        <f>SUMIFS('Disbursements Summary'!$E:$E,'Disbursements Summary'!$C:$C,$C15,'Disbursements Summary'!$A:$A,"HESC")</f>
        <v>0</v>
      </c>
      <c r="CT15" s="55">
        <f>SUMIFS('Awards Summary'!$H:$H,'Awards Summary'!$B:$B,$C15,'Awards Summary'!$J:$J,"GOSR")</f>
        <v>0</v>
      </c>
      <c r="CU15" s="55">
        <f>SUMIFS('Disbursements Summary'!$E:$E,'Disbursements Summary'!$C:$C,$C15,'Disbursements Summary'!$A:$A,"GOSR")</f>
        <v>0</v>
      </c>
      <c r="CV15" s="55">
        <f>SUMIFS('Awards Summary'!$H:$H,'Awards Summary'!$B:$B,$C15,'Awards Summary'!$J:$J,"HRPT")</f>
        <v>0</v>
      </c>
      <c r="CW15" s="55">
        <f>SUMIFS('Disbursements Summary'!$E:$E,'Disbursements Summary'!$C:$C,$C15,'Disbursements Summary'!$A:$A,"HRPT")</f>
        <v>0</v>
      </c>
      <c r="CX15" s="55">
        <f>SUMIFS('Awards Summary'!$H:$H,'Awards Summary'!$B:$B,$C15,'Awards Summary'!$J:$J,"HRBRRD")</f>
        <v>0</v>
      </c>
      <c r="CY15" s="55">
        <f>SUMIFS('Disbursements Summary'!$E:$E,'Disbursements Summary'!$C:$C,$C15,'Disbursements Summary'!$A:$A,"HRBRRD")</f>
        <v>0</v>
      </c>
      <c r="CZ15" s="55">
        <f>SUMIFS('Awards Summary'!$H:$H,'Awards Summary'!$B:$B,$C15,'Awards Summary'!$J:$J,"ITS")</f>
        <v>0</v>
      </c>
      <c r="DA15" s="55">
        <f>SUMIFS('Disbursements Summary'!$E:$E,'Disbursements Summary'!$C:$C,$C15,'Disbursements Summary'!$A:$A,"ITS")</f>
        <v>0</v>
      </c>
      <c r="DB15" s="55">
        <f>SUMIFS('Awards Summary'!$H:$H,'Awards Summary'!$B:$B,$C15,'Awards Summary'!$J:$J,"JAVITS")</f>
        <v>0</v>
      </c>
      <c r="DC15" s="55">
        <f>SUMIFS('Disbursements Summary'!$E:$E,'Disbursements Summary'!$C:$C,$C15,'Disbursements Summary'!$A:$A,"JAVITS")</f>
        <v>0</v>
      </c>
      <c r="DD15" s="55">
        <f>SUMIFS('Awards Summary'!$H:$H,'Awards Summary'!$B:$B,$C15,'Awards Summary'!$J:$J,"JCOPE")</f>
        <v>0</v>
      </c>
      <c r="DE15" s="55">
        <f>SUMIFS('Disbursements Summary'!$E:$E,'Disbursements Summary'!$C:$C,$C15,'Disbursements Summary'!$A:$A,"JCOPE")</f>
        <v>0</v>
      </c>
      <c r="DF15" s="55">
        <f>SUMIFS('Awards Summary'!$H:$H,'Awards Summary'!$B:$B,$C15,'Awards Summary'!$J:$J,"JUSTICE")</f>
        <v>0</v>
      </c>
      <c r="DG15" s="55">
        <f>SUMIFS('Disbursements Summary'!$E:$E,'Disbursements Summary'!$C:$C,$C15,'Disbursements Summary'!$A:$A,"JUSTICE")</f>
        <v>0</v>
      </c>
      <c r="DH15" s="55">
        <f>SUMIFS('Awards Summary'!$H:$H,'Awards Summary'!$B:$B,$C15,'Awards Summary'!$J:$J,"LCWSA")</f>
        <v>0</v>
      </c>
      <c r="DI15" s="55">
        <f>SUMIFS('Disbursements Summary'!$E:$E,'Disbursements Summary'!$C:$C,$C15,'Disbursements Summary'!$A:$A,"LCWSA")</f>
        <v>0</v>
      </c>
      <c r="DJ15" s="55">
        <f>SUMIFS('Awards Summary'!$H:$H,'Awards Summary'!$B:$B,$C15,'Awards Summary'!$J:$J,"LIPA")</f>
        <v>0</v>
      </c>
      <c r="DK15" s="55">
        <f>SUMIFS('Disbursements Summary'!$E:$E,'Disbursements Summary'!$C:$C,$C15,'Disbursements Summary'!$A:$A,"LIPA")</f>
        <v>0</v>
      </c>
      <c r="DL15" s="55">
        <f>SUMIFS('Awards Summary'!$H:$H,'Awards Summary'!$B:$B,$C15,'Awards Summary'!$J:$J,"MTA")</f>
        <v>0</v>
      </c>
      <c r="DM15" s="55">
        <f>SUMIFS('Disbursements Summary'!$E:$E,'Disbursements Summary'!$C:$C,$C15,'Disbursements Summary'!$A:$A,"MTA")</f>
        <v>0</v>
      </c>
      <c r="DN15" s="55">
        <f>SUMIFS('Awards Summary'!$H:$H,'Awards Summary'!$B:$B,$C15,'Awards Summary'!$J:$J,"NIFA")</f>
        <v>0</v>
      </c>
      <c r="DO15" s="55">
        <f>SUMIFS('Disbursements Summary'!$E:$E,'Disbursements Summary'!$C:$C,$C15,'Disbursements Summary'!$A:$A,"NIFA")</f>
        <v>0</v>
      </c>
      <c r="DP15" s="55">
        <f>SUMIFS('Awards Summary'!$H:$H,'Awards Summary'!$B:$B,$C15,'Awards Summary'!$J:$J,"NHCC")</f>
        <v>0</v>
      </c>
      <c r="DQ15" s="55">
        <f>SUMIFS('Disbursements Summary'!$E:$E,'Disbursements Summary'!$C:$C,$C15,'Disbursements Summary'!$A:$A,"NHCC")</f>
        <v>0</v>
      </c>
      <c r="DR15" s="55">
        <f>SUMIFS('Awards Summary'!$H:$H,'Awards Summary'!$B:$B,$C15,'Awards Summary'!$J:$J,"NHT")</f>
        <v>0</v>
      </c>
      <c r="DS15" s="55">
        <f>SUMIFS('Disbursements Summary'!$E:$E,'Disbursements Summary'!$C:$C,$C15,'Disbursements Summary'!$A:$A,"NHT")</f>
        <v>0</v>
      </c>
      <c r="DT15" s="55">
        <f>SUMIFS('Awards Summary'!$H:$H,'Awards Summary'!$B:$B,$C15,'Awards Summary'!$J:$J,"NYPA")</f>
        <v>0</v>
      </c>
      <c r="DU15" s="55">
        <f>SUMIFS('Disbursements Summary'!$E:$E,'Disbursements Summary'!$C:$C,$C15,'Disbursements Summary'!$A:$A,"NYPA")</f>
        <v>0</v>
      </c>
      <c r="DV15" s="55">
        <f>SUMIFS('Awards Summary'!$H:$H,'Awards Summary'!$B:$B,$C15,'Awards Summary'!$J:$J,"NYSBA")</f>
        <v>0</v>
      </c>
      <c r="DW15" s="55">
        <f>SUMIFS('Disbursements Summary'!$E:$E,'Disbursements Summary'!$C:$C,$C15,'Disbursements Summary'!$A:$A,"NYSBA")</f>
        <v>0</v>
      </c>
      <c r="DX15" s="55">
        <f>SUMIFS('Awards Summary'!$H:$H,'Awards Summary'!$B:$B,$C15,'Awards Summary'!$J:$J,"NYSERDA")</f>
        <v>0</v>
      </c>
      <c r="DY15" s="55">
        <f>SUMIFS('Disbursements Summary'!$E:$E,'Disbursements Summary'!$C:$C,$C15,'Disbursements Summary'!$A:$A,"NYSERDA")</f>
        <v>0</v>
      </c>
      <c r="DZ15" s="55">
        <f>SUMIFS('Awards Summary'!$H:$H,'Awards Summary'!$B:$B,$C15,'Awards Summary'!$J:$J,"DHCR")</f>
        <v>0</v>
      </c>
      <c r="EA15" s="55">
        <f>SUMIFS('Disbursements Summary'!$E:$E,'Disbursements Summary'!$C:$C,$C15,'Disbursements Summary'!$A:$A,"DHCR")</f>
        <v>0</v>
      </c>
      <c r="EB15" s="55">
        <f>SUMIFS('Awards Summary'!$H:$H,'Awards Summary'!$B:$B,$C15,'Awards Summary'!$J:$J,"HFA")</f>
        <v>0</v>
      </c>
      <c r="EC15" s="55">
        <f>SUMIFS('Disbursements Summary'!$E:$E,'Disbursements Summary'!$C:$C,$C15,'Disbursements Summary'!$A:$A,"HFA")</f>
        <v>0</v>
      </c>
      <c r="ED15" s="55">
        <f>SUMIFS('Awards Summary'!$H:$H,'Awards Summary'!$B:$B,$C15,'Awards Summary'!$J:$J,"NYSIF")</f>
        <v>0</v>
      </c>
      <c r="EE15" s="55">
        <f>SUMIFS('Disbursements Summary'!$E:$E,'Disbursements Summary'!$C:$C,$C15,'Disbursements Summary'!$A:$A,"NYSIF")</f>
        <v>0</v>
      </c>
      <c r="EF15" s="55">
        <f>SUMIFS('Awards Summary'!$H:$H,'Awards Summary'!$B:$B,$C15,'Awards Summary'!$J:$J,"NYBREDS")</f>
        <v>0</v>
      </c>
      <c r="EG15" s="55">
        <f>SUMIFS('Disbursements Summary'!$E:$E,'Disbursements Summary'!$C:$C,$C15,'Disbursements Summary'!$A:$A,"NYBREDS")</f>
        <v>0</v>
      </c>
      <c r="EH15" s="55">
        <f>SUMIFS('Awards Summary'!$H:$H,'Awards Summary'!$B:$B,$C15,'Awards Summary'!$J:$J,"NYSTA")</f>
        <v>0</v>
      </c>
      <c r="EI15" s="55">
        <f>SUMIFS('Disbursements Summary'!$E:$E,'Disbursements Summary'!$C:$C,$C15,'Disbursements Summary'!$A:$A,"NYSTA")</f>
        <v>0</v>
      </c>
      <c r="EJ15" s="55">
        <f>SUMIFS('Awards Summary'!$H:$H,'Awards Summary'!$B:$B,$C15,'Awards Summary'!$J:$J,"NFWB")</f>
        <v>0</v>
      </c>
      <c r="EK15" s="55">
        <f>SUMIFS('Disbursements Summary'!$E:$E,'Disbursements Summary'!$C:$C,$C15,'Disbursements Summary'!$A:$A,"NFWB")</f>
        <v>0</v>
      </c>
      <c r="EL15" s="55">
        <f>SUMIFS('Awards Summary'!$H:$H,'Awards Summary'!$B:$B,$C15,'Awards Summary'!$J:$J,"NFTA")</f>
        <v>0</v>
      </c>
      <c r="EM15" s="55">
        <f>SUMIFS('Disbursements Summary'!$E:$E,'Disbursements Summary'!$C:$C,$C15,'Disbursements Summary'!$A:$A,"NFTA")</f>
        <v>0</v>
      </c>
      <c r="EN15" s="55">
        <f>SUMIFS('Awards Summary'!$H:$H,'Awards Summary'!$B:$B,$C15,'Awards Summary'!$J:$J,"OPWDD")</f>
        <v>0</v>
      </c>
      <c r="EO15" s="55">
        <f>SUMIFS('Disbursements Summary'!$E:$E,'Disbursements Summary'!$C:$C,$C15,'Disbursements Summary'!$A:$A,"OPWDD")</f>
        <v>0</v>
      </c>
      <c r="EP15" s="55">
        <f>SUMIFS('Awards Summary'!$H:$H,'Awards Summary'!$B:$B,$C15,'Awards Summary'!$J:$J,"AGING")</f>
        <v>0</v>
      </c>
      <c r="EQ15" s="55">
        <f>SUMIFS('Disbursements Summary'!$E:$E,'Disbursements Summary'!$C:$C,$C15,'Disbursements Summary'!$A:$A,"AGING")</f>
        <v>0</v>
      </c>
      <c r="ER15" s="55">
        <f>SUMIFS('Awards Summary'!$H:$H,'Awards Summary'!$B:$B,$C15,'Awards Summary'!$J:$J,"OPDV")</f>
        <v>0</v>
      </c>
      <c r="ES15" s="55">
        <f>SUMIFS('Disbursements Summary'!$E:$E,'Disbursements Summary'!$C:$C,$C15,'Disbursements Summary'!$A:$A,"OPDV")</f>
        <v>0</v>
      </c>
      <c r="ET15" s="55">
        <f>SUMIFS('Awards Summary'!$H:$H,'Awards Summary'!$B:$B,$C15,'Awards Summary'!$J:$J,"OVS")</f>
        <v>0</v>
      </c>
      <c r="EU15" s="55">
        <f>SUMIFS('Disbursements Summary'!$E:$E,'Disbursements Summary'!$C:$C,$C15,'Disbursements Summary'!$A:$A,"OVS")</f>
        <v>0</v>
      </c>
      <c r="EV15" s="55">
        <f>SUMIFS('Awards Summary'!$H:$H,'Awards Summary'!$B:$B,$C15,'Awards Summary'!$J:$J,"OASAS")</f>
        <v>0</v>
      </c>
      <c r="EW15" s="55">
        <f>SUMIFS('Disbursements Summary'!$E:$E,'Disbursements Summary'!$C:$C,$C15,'Disbursements Summary'!$A:$A,"OASAS")</f>
        <v>0</v>
      </c>
      <c r="EX15" s="55">
        <f>SUMIFS('Awards Summary'!$H:$H,'Awards Summary'!$B:$B,$C15,'Awards Summary'!$J:$J,"OCFS")</f>
        <v>0</v>
      </c>
      <c r="EY15" s="55">
        <f>SUMIFS('Disbursements Summary'!$E:$E,'Disbursements Summary'!$C:$C,$C15,'Disbursements Summary'!$A:$A,"OCFS")</f>
        <v>0</v>
      </c>
      <c r="EZ15" s="55">
        <f>SUMIFS('Awards Summary'!$H:$H,'Awards Summary'!$B:$B,$C15,'Awards Summary'!$J:$J,"OGS")</f>
        <v>0</v>
      </c>
      <c r="FA15" s="55">
        <f>SUMIFS('Disbursements Summary'!$E:$E,'Disbursements Summary'!$C:$C,$C15,'Disbursements Summary'!$A:$A,"OGS")</f>
        <v>0</v>
      </c>
      <c r="FB15" s="55">
        <f>SUMIFS('Awards Summary'!$H:$H,'Awards Summary'!$B:$B,$C15,'Awards Summary'!$J:$J,"OMH")</f>
        <v>0</v>
      </c>
      <c r="FC15" s="55">
        <f>SUMIFS('Disbursements Summary'!$E:$E,'Disbursements Summary'!$C:$C,$C15,'Disbursements Summary'!$A:$A,"OMH")</f>
        <v>0</v>
      </c>
      <c r="FD15" s="55">
        <f>SUMIFS('Awards Summary'!$H:$H,'Awards Summary'!$B:$B,$C15,'Awards Summary'!$J:$J,"PARKS")</f>
        <v>0</v>
      </c>
      <c r="FE15" s="55">
        <f>SUMIFS('Disbursements Summary'!$E:$E,'Disbursements Summary'!$C:$C,$C15,'Disbursements Summary'!$A:$A,"PARKS")</f>
        <v>0</v>
      </c>
      <c r="FF15" s="55">
        <f>SUMIFS('Awards Summary'!$H:$H,'Awards Summary'!$B:$B,$C15,'Awards Summary'!$J:$J,"OTDA")</f>
        <v>0</v>
      </c>
      <c r="FG15" s="55">
        <f>SUMIFS('Disbursements Summary'!$E:$E,'Disbursements Summary'!$C:$C,$C15,'Disbursements Summary'!$A:$A,"OTDA")</f>
        <v>0</v>
      </c>
      <c r="FH15" s="55">
        <f>SUMIFS('Awards Summary'!$H:$H,'Awards Summary'!$B:$B,$C15,'Awards Summary'!$J:$J,"OIG")</f>
        <v>0</v>
      </c>
      <c r="FI15" s="55">
        <f>SUMIFS('Disbursements Summary'!$E:$E,'Disbursements Summary'!$C:$C,$C15,'Disbursements Summary'!$A:$A,"OIG")</f>
        <v>0</v>
      </c>
      <c r="FJ15" s="55">
        <f>SUMIFS('Awards Summary'!$H:$H,'Awards Summary'!$B:$B,$C15,'Awards Summary'!$J:$J,"OMIG")</f>
        <v>0</v>
      </c>
      <c r="FK15" s="55">
        <f>SUMIFS('Disbursements Summary'!$E:$E,'Disbursements Summary'!$C:$C,$C15,'Disbursements Summary'!$A:$A,"OMIG")</f>
        <v>0</v>
      </c>
      <c r="FL15" s="55">
        <f>SUMIFS('Awards Summary'!$H:$H,'Awards Summary'!$B:$B,$C15,'Awards Summary'!$J:$J,"OSC")</f>
        <v>0</v>
      </c>
      <c r="FM15" s="55">
        <f>SUMIFS('Disbursements Summary'!$E:$E,'Disbursements Summary'!$C:$C,$C15,'Disbursements Summary'!$A:$A,"OSC")</f>
        <v>0</v>
      </c>
      <c r="FN15" s="55">
        <f>SUMIFS('Awards Summary'!$H:$H,'Awards Summary'!$B:$B,$C15,'Awards Summary'!$J:$J,"OWIG")</f>
        <v>0</v>
      </c>
      <c r="FO15" s="55">
        <f>SUMIFS('Disbursements Summary'!$E:$E,'Disbursements Summary'!$C:$C,$C15,'Disbursements Summary'!$A:$A,"OWIG")</f>
        <v>0</v>
      </c>
      <c r="FP15" s="55">
        <f>SUMIFS('Awards Summary'!$H:$H,'Awards Summary'!$B:$B,$C15,'Awards Summary'!$J:$J,"OGDEN")</f>
        <v>0</v>
      </c>
      <c r="FQ15" s="55">
        <f>SUMIFS('Disbursements Summary'!$E:$E,'Disbursements Summary'!$C:$C,$C15,'Disbursements Summary'!$A:$A,"OGDEN")</f>
        <v>0</v>
      </c>
      <c r="FR15" s="55">
        <f>SUMIFS('Awards Summary'!$H:$H,'Awards Summary'!$B:$B,$C15,'Awards Summary'!$J:$J,"ORDA")</f>
        <v>0</v>
      </c>
      <c r="FS15" s="55">
        <f>SUMIFS('Disbursements Summary'!$E:$E,'Disbursements Summary'!$C:$C,$C15,'Disbursements Summary'!$A:$A,"ORDA")</f>
        <v>0</v>
      </c>
      <c r="FT15" s="55">
        <f>SUMIFS('Awards Summary'!$H:$H,'Awards Summary'!$B:$B,$C15,'Awards Summary'!$J:$J,"OSWEGO")</f>
        <v>0</v>
      </c>
      <c r="FU15" s="55">
        <f>SUMIFS('Disbursements Summary'!$E:$E,'Disbursements Summary'!$C:$C,$C15,'Disbursements Summary'!$A:$A,"OSWEGO")</f>
        <v>0</v>
      </c>
      <c r="FV15" s="55">
        <f>SUMIFS('Awards Summary'!$H:$H,'Awards Summary'!$B:$B,$C15,'Awards Summary'!$J:$J,"PERB")</f>
        <v>0</v>
      </c>
      <c r="FW15" s="55">
        <f>SUMIFS('Disbursements Summary'!$E:$E,'Disbursements Summary'!$C:$C,$C15,'Disbursements Summary'!$A:$A,"PERB")</f>
        <v>0</v>
      </c>
      <c r="FX15" s="55">
        <f>SUMIFS('Awards Summary'!$H:$H,'Awards Summary'!$B:$B,$C15,'Awards Summary'!$J:$J,"RGRTA")</f>
        <v>0</v>
      </c>
      <c r="FY15" s="55">
        <f>SUMIFS('Disbursements Summary'!$E:$E,'Disbursements Summary'!$C:$C,$C15,'Disbursements Summary'!$A:$A,"RGRTA")</f>
        <v>0</v>
      </c>
      <c r="FZ15" s="55">
        <f>SUMIFS('Awards Summary'!$H:$H,'Awards Summary'!$B:$B,$C15,'Awards Summary'!$J:$J,"RIOC")</f>
        <v>0</v>
      </c>
      <c r="GA15" s="55">
        <f>SUMIFS('Disbursements Summary'!$E:$E,'Disbursements Summary'!$C:$C,$C15,'Disbursements Summary'!$A:$A,"RIOC")</f>
        <v>0</v>
      </c>
      <c r="GB15" s="55">
        <f>SUMIFS('Awards Summary'!$H:$H,'Awards Summary'!$B:$B,$C15,'Awards Summary'!$J:$J,"RPCI")</f>
        <v>0</v>
      </c>
      <c r="GC15" s="55">
        <f>SUMIFS('Disbursements Summary'!$E:$E,'Disbursements Summary'!$C:$C,$C15,'Disbursements Summary'!$A:$A,"RPCI")</f>
        <v>0</v>
      </c>
      <c r="GD15" s="55">
        <f>SUMIFS('Awards Summary'!$H:$H,'Awards Summary'!$B:$B,$C15,'Awards Summary'!$J:$J,"SMDA")</f>
        <v>0</v>
      </c>
      <c r="GE15" s="55">
        <f>SUMIFS('Disbursements Summary'!$E:$E,'Disbursements Summary'!$C:$C,$C15,'Disbursements Summary'!$A:$A,"SMDA")</f>
        <v>0</v>
      </c>
      <c r="GF15" s="55">
        <f>SUMIFS('Awards Summary'!$H:$H,'Awards Summary'!$B:$B,$C15,'Awards Summary'!$J:$J,"SCOC")</f>
        <v>0</v>
      </c>
      <c r="GG15" s="55">
        <f>SUMIFS('Disbursements Summary'!$E:$E,'Disbursements Summary'!$C:$C,$C15,'Disbursements Summary'!$A:$A,"SCOC")</f>
        <v>0</v>
      </c>
      <c r="GH15" s="55">
        <f>SUMIFS('Awards Summary'!$H:$H,'Awards Summary'!$B:$B,$C15,'Awards Summary'!$J:$J,"SUCF")</f>
        <v>0</v>
      </c>
      <c r="GI15" s="55">
        <f>SUMIFS('Disbursements Summary'!$E:$E,'Disbursements Summary'!$C:$C,$C15,'Disbursements Summary'!$A:$A,"SUCF")</f>
        <v>0</v>
      </c>
      <c r="GJ15" s="55">
        <f>SUMIFS('Awards Summary'!$H:$H,'Awards Summary'!$B:$B,$C15,'Awards Summary'!$J:$J,"SUNY")</f>
        <v>0</v>
      </c>
      <c r="GK15" s="55">
        <f>SUMIFS('Disbursements Summary'!$E:$E,'Disbursements Summary'!$C:$C,$C15,'Disbursements Summary'!$A:$A,"SUNY")</f>
        <v>0</v>
      </c>
      <c r="GL15" s="55">
        <f>SUMIFS('Awards Summary'!$H:$H,'Awards Summary'!$B:$B,$C15,'Awards Summary'!$J:$J,"SRAA")</f>
        <v>0</v>
      </c>
      <c r="GM15" s="55">
        <f>SUMIFS('Disbursements Summary'!$E:$E,'Disbursements Summary'!$C:$C,$C15,'Disbursements Summary'!$A:$A,"SRAA")</f>
        <v>0</v>
      </c>
      <c r="GN15" s="55">
        <f>SUMIFS('Awards Summary'!$H:$H,'Awards Summary'!$B:$B,$C15,'Awards Summary'!$J:$J,"UNDC")</f>
        <v>0</v>
      </c>
      <c r="GO15" s="55">
        <f>SUMIFS('Disbursements Summary'!$E:$E,'Disbursements Summary'!$C:$C,$C15,'Disbursements Summary'!$A:$A,"UNDC")</f>
        <v>0</v>
      </c>
      <c r="GP15" s="55">
        <f>SUMIFS('Awards Summary'!$H:$H,'Awards Summary'!$B:$B,$C15,'Awards Summary'!$J:$J,"MVWA")</f>
        <v>0</v>
      </c>
      <c r="GQ15" s="55">
        <f>SUMIFS('Disbursements Summary'!$E:$E,'Disbursements Summary'!$C:$C,$C15,'Disbursements Summary'!$A:$A,"MVWA")</f>
        <v>0</v>
      </c>
      <c r="GR15" s="55">
        <f>SUMIFS('Awards Summary'!$H:$H,'Awards Summary'!$B:$B,$C15,'Awards Summary'!$J:$J,"WMC")</f>
        <v>0</v>
      </c>
      <c r="GS15" s="55">
        <f>SUMIFS('Disbursements Summary'!$E:$E,'Disbursements Summary'!$C:$C,$C15,'Disbursements Summary'!$A:$A,"WMC")</f>
        <v>0</v>
      </c>
      <c r="GT15" s="55">
        <f>SUMIFS('Awards Summary'!$H:$H,'Awards Summary'!$B:$B,$C15,'Awards Summary'!$J:$J,"WCB")</f>
        <v>0</v>
      </c>
      <c r="GU15" s="55">
        <f>SUMIFS('Disbursements Summary'!$E:$E,'Disbursements Summary'!$C:$C,$C15,'Disbursements Summary'!$A:$A,"WCB")</f>
        <v>0</v>
      </c>
      <c r="GV15" s="32">
        <f t="shared" si="1"/>
        <v>0</v>
      </c>
      <c r="GW15" s="32">
        <f t="shared" si="2"/>
        <v>0</v>
      </c>
      <c r="GX15" s="30" t="b">
        <f t="shared" si="3"/>
        <v>1</v>
      </c>
      <c r="GY15" s="30" t="b">
        <f t="shared" si="4"/>
        <v>1</v>
      </c>
    </row>
    <row r="16" spans="1:207" s="30" customFormat="1">
      <c r="A16" s="22" t="str">
        <f t="shared" si="0"/>
        <v/>
      </c>
      <c r="B16" s="40" t="s">
        <v>80</v>
      </c>
      <c r="C16" s="16">
        <v>141024</v>
      </c>
      <c r="D16" s="26">
        <f>COUNTIF('Awards Summary'!B:B,"141024")</f>
        <v>0</v>
      </c>
      <c r="E16" s="45">
        <f>SUMIFS('Awards Summary'!H:H,'Awards Summary'!B:B,"141024")</f>
        <v>0</v>
      </c>
      <c r="F16" s="46">
        <f>SUMIFS('Disbursements Summary'!E:E,'Disbursements Summary'!C:C, "141024")</f>
        <v>0</v>
      </c>
      <c r="H16" s="55">
        <f>SUMIFS('Awards Summary'!$H:$H,'Awards Summary'!$B:$B,$C16,'Awards Summary'!$J:$J,"APA")</f>
        <v>0</v>
      </c>
      <c r="I16" s="55">
        <f>SUMIFS('Disbursements Summary'!$E:$E,'Disbursements Summary'!$C:$C,$C16,'Disbursements Summary'!$A:$A,"APA")</f>
        <v>0</v>
      </c>
      <c r="J16" s="55">
        <f>SUMIFS('Awards Summary'!$H:$H,'Awards Summary'!$B:$B,$C16,'Awards Summary'!$J:$J,"Ag&amp;Horse")</f>
        <v>0</v>
      </c>
      <c r="K16" s="55">
        <f>SUMIFS('Disbursements Summary'!$E:$E,'Disbursements Summary'!$C:$C,$C16,'Disbursements Summary'!$A:$A,"Ag&amp;Horse")</f>
        <v>0</v>
      </c>
      <c r="L16" s="55">
        <f>SUMIFS('Awards Summary'!$H:$H,'Awards Summary'!$B:$B,$C16,'Awards Summary'!$J:$J,"ACAA")</f>
        <v>0</v>
      </c>
      <c r="M16" s="55">
        <f>SUMIFS('Disbursements Summary'!$E:$E,'Disbursements Summary'!$C:$C,$C16,'Disbursements Summary'!$A:$A,"ACAA")</f>
        <v>0</v>
      </c>
      <c r="N16" s="55">
        <f>SUMIFS('Awards Summary'!$H:$H,'Awards Summary'!$B:$B,$C16,'Awards Summary'!$J:$J,"PortAlbany")</f>
        <v>0</v>
      </c>
      <c r="O16" s="55">
        <f>SUMIFS('Disbursements Summary'!$E:$E,'Disbursements Summary'!$C:$C,$C16,'Disbursements Summary'!$A:$A,"PortAlbany")</f>
        <v>0</v>
      </c>
      <c r="P16" s="55">
        <f>SUMIFS('Awards Summary'!$H:$H,'Awards Summary'!$B:$B,$C16,'Awards Summary'!$J:$J,"SLA")</f>
        <v>0</v>
      </c>
      <c r="Q16" s="55">
        <f>SUMIFS('Disbursements Summary'!$E:$E,'Disbursements Summary'!$C:$C,$C16,'Disbursements Summary'!$A:$A,"SLA")</f>
        <v>0</v>
      </c>
      <c r="R16" s="55">
        <f>SUMIFS('Awards Summary'!$H:$H,'Awards Summary'!$B:$B,$C16,'Awards Summary'!$J:$J,"BPCA")</f>
        <v>0</v>
      </c>
      <c r="S16" s="55">
        <f>SUMIFS('Disbursements Summary'!$E:$E,'Disbursements Summary'!$C:$C,$C16,'Disbursements Summary'!$A:$A,"BPCA")</f>
        <v>0</v>
      </c>
      <c r="T16" s="55">
        <f>SUMIFS('Awards Summary'!$H:$H,'Awards Summary'!$B:$B,$C16,'Awards Summary'!$J:$J,"ELECTIONS")</f>
        <v>0</v>
      </c>
      <c r="U16" s="55">
        <f>SUMIFS('Disbursements Summary'!$E:$E,'Disbursements Summary'!$C:$C,$C16,'Disbursements Summary'!$A:$A,"ELECTIONS")</f>
        <v>0</v>
      </c>
      <c r="V16" s="55">
        <f>SUMIFS('Awards Summary'!$H:$H,'Awards Summary'!$B:$B,$C16,'Awards Summary'!$J:$J,"BFSA")</f>
        <v>0</v>
      </c>
      <c r="W16" s="55">
        <f>SUMIFS('Disbursements Summary'!$E:$E,'Disbursements Summary'!$C:$C,$C16,'Disbursements Summary'!$A:$A,"BFSA")</f>
        <v>0</v>
      </c>
      <c r="X16" s="55">
        <f>SUMIFS('Awards Summary'!$H:$H,'Awards Summary'!$B:$B,$C16,'Awards Summary'!$J:$J,"CDTA")</f>
        <v>0</v>
      </c>
      <c r="Y16" s="55">
        <f>SUMIFS('Disbursements Summary'!$E:$E,'Disbursements Summary'!$C:$C,$C16,'Disbursements Summary'!$A:$A,"CDTA")</f>
        <v>0</v>
      </c>
      <c r="Z16" s="55">
        <f>SUMIFS('Awards Summary'!$H:$H,'Awards Summary'!$B:$B,$C16,'Awards Summary'!$J:$J,"CCWSA")</f>
        <v>0</v>
      </c>
      <c r="AA16" s="55">
        <f>SUMIFS('Disbursements Summary'!$E:$E,'Disbursements Summary'!$C:$C,$C16,'Disbursements Summary'!$A:$A,"CCWSA")</f>
        <v>0</v>
      </c>
      <c r="AB16" s="55">
        <f>SUMIFS('Awards Summary'!$H:$H,'Awards Summary'!$B:$B,$C16,'Awards Summary'!$J:$J,"CNYRTA")</f>
        <v>0</v>
      </c>
      <c r="AC16" s="55">
        <f>SUMIFS('Disbursements Summary'!$E:$E,'Disbursements Summary'!$C:$C,$C16,'Disbursements Summary'!$A:$A,"CNYRTA")</f>
        <v>0</v>
      </c>
      <c r="AD16" s="55">
        <f>SUMIFS('Awards Summary'!$H:$H,'Awards Summary'!$B:$B,$C16,'Awards Summary'!$J:$J,"CUCF")</f>
        <v>0</v>
      </c>
      <c r="AE16" s="55">
        <f>SUMIFS('Disbursements Summary'!$E:$E,'Disbursements Summary'!$C:$C,$C16,'Disbursements Summary'!$A:$A,"CUCF")</f>
        <v>0</v>
      </c>
      <c r="AF16" s="55">
        <f>SUMIFS('Awards Summary'!$H:$H,'Awards Summary'!$B:$B,$C16,'Awards Summary'!$J:$J,"CUNY")</f>
        <v>0</v>
      </c>
      <c r="AG16" s="55">
        <f>SUMIFS('Disbursements Summary'!$E:$E,'Disbursements Summary'!$C:$C,$C16,'Disbursements Summary'!$A:$A,"CUNY")</f>
        <v>0</v>
      </c>
      <c r="AH16" s="55">
        <f>SUMIFS('Awards Summary'!$H:$H,'Awards Summary'!$B:$B,$C16,'Awards Summary'!$J:$J,"ARTS")</f>
        <v>0</v>
      </c>
      <c r="AI16" s="55">
        <f>SUMIFS('Disbursements Summary'!$E:$E,'Disbursements Summary'!$C:$C,$C16,'Disbursements Summary'!$A:$A,"ARTS")</f>
        <v>0</v>
      </c>
      <c r="AJ16" s="55">
        <f>SUMIFS('Awards Summary'!$H:$H,'Awards Summary'!$B:$B,$C16,'Awards Summary'!$J:$J,"AG&amp;MKTS")</f>
        <v>0</v>
      </c>
      <c r="AK16" s="55">
        <f>SUMIFS('Disbursements Summary'!$E:$E,'Disbursements Summary'!$C:$C,$C16,'Disbursements Summary'!$A:$A,"AG&amp;MKTS")</f>
        <v>0</v>
      </c>
      <c r="AL16" s="55">
        <f>SUMIFS('Awards Summary'!$H:$H,'Awards Summary'!$B:$B,$C16,'Awards Summary'!$J:$J,"CS")</f>
        <v>0</v>
      </c>
      <c r="AM16" s="55">
        <f>SUMIFS('Disbursements Summary'!$E:$E,'Disbursements Summary'!$C:$C,$C16,'Disbursements Summary'!$A:$A,"CS")</f>
        <v>0</v>
      </c>
      <c r="AN16" s="55">
        <f>SUMIFS('Awards Summary'!$H:$H,'Awards Summary'!$B:$B,$C16,'Awards Summary'!$J:$J,"DOCCS")</f>
        <v>0</v>
      </c>
      <c r="AO16" s="55">
        <f>SUMIFS('Disbursements Summary'!$E:$E,'Disbursements Summary'!$C:$C,$C16,'Disbursements Summary'!$A:$A,"DOCCS")</f>
        <v>0</v>
      </c>
      <c r="AP16" s="55">
        <f>SUMIFS('Awards Summary'!$H:$H,'Awards Summary'!$B:$B,$C16,'Awards Summary'!$J:$J,"DED")</f>
        <v>0</v>
      </c>
      <c r="AQ16" s="55">
        <f>SUMIFS('Disbursements Summary'!$E:$E,'Disbursements Summary'!$C:$C,$C16,'Disbursements Summary'!$A:$A,"DED")</f>
        <v>0</v>
      </c>
      <c r="AR16" s="55">
        <f>SUMIFS('Awards Summary'!$H:$H,'Awards Summary'!$B:$B,$C16,'Awards Summary'!$J:$J,"DEC")</f>
        <v>0</v>
      </c>
      <c r="AS16" s="55">
        <f>SUMIFS('Disbursements Summary'!$E:$E,'Disbursements Summary'!$C:$C,$C16,'Disbursements Summary'!$A:$A,"DEC")</f>
        <v>0</v>
      </c>
      <c r="AT16" s="55">
        <f>SUMIFS('Awards Summary'!$H:$H,'Awards Summary'!$B:$B,$C16,'Awards Summary'!$J:$J,"DFS")</f>
        <v>0</v>
      </c>
      <c r="AU16" s="55">
        <f>SUMIFS('Disbursements Summary'!$E:$E,'Disbursements Summary'!$C:$C,$C16,'Disbursements Summary'!$A:$A,"DFS")</f>
        <v>0</v>
      </c>
      <c r="AV16" s="55">
        <f>SUMIFS('Awards Summary'!$H:$H,'Awards Summary'!$B:$B,$C16,'Awards Summary'!$J:$J,"DOH")</f>
        <v>0</v>
      </c>
      <c r="AW16" s="55">
        <f>SUMIFS('Disbursements Summary'!$E:$E,'Disbursements Summary'!$C:$C,$C16,'Disbursements Summary'!$A:$A,"DOH")</f>
        <v>0</v>
      </c>
      <c r="AX16" s="55">
        <f>SUMIFS('Awards Summary'!$H:$H,'Awards Summary'!$B:$B,$C16,'Awards Summary'!$J:$J,"DOL")</f>
        <v>0</v>
      </c>
      <c r="AY16" s="55">
        <f>SUMIFS('Disbursements Summary'!$E:$E,'Disbursements Summary'!$C:$C,$C16,'Disbursements Summary'!$A:$A,"DOL")</f>
        <v>0</v>
      </c>
      <c r="AZ16" s="55">
        <f>SUMIFS('Awards Summary'!$H:$H,'Awards Summary'!$B:$B,$C16,'Awards Summary'!$J:$J,"DMV")</f>
        <v>0</v>
      </c>
      <c r="BA16" s="55">
        <f>SUMIFS('Disbursements Summary'!$E:$E,'Disbursements Summary'!$C:$C,$C16,'Disbursements Summary'!$A:$A,"DMV")</f>
        <v>0</v>
      </c>
      <c r="BB16" s="55">
        <f>SUMIFS('Awards Summary'!$H:$H,'Awards Summary'!$B:$B,$C16,'Awards Summary'!$J:$J,"DPS")</f>
        <v>0</v>
      </c>
      <c r="BC16" s="55">
        <f>SUMIFS('Disbursements Summary'!$E:$E,'Disbursements Summary'!$C:$C,$C16,'Disbursements Summary'!$A:$A,"DPS")</f>
        <v>0</v>
      </c>
      <c r="BD16" s="55">
        <f>SUMIFS('Awards Summary'!$H:$H,'Awards Summary'!$B:$B,$C16,'Awards Summary'!$J:$J,"DOS")</f>
        <v>0</v>
      </c>
      <c r="BE16" s="55">
        <f>SUMIFS('Disbursements Summary'!$E:$E,'Disbursements Summary'!$C:$C,$C16,'Disbursements Summary'!$A:$A,"DOS")</f>
        <v>0</v>
      </c>
      <c r="BF16" s="55">
        <f>SUMIFS('Awards Summary'!$H:$H,'Awards Summary'!$B:$B,$C16,'Awards Summary'!$J:$J,"TAX")</f>
        <v>0</v>
      </c>
      <c r="BG16" s="55">
        <f>SUMIFS('Disbursements Summary'!$E:$E,'Disbursements Summary'!$C:$C,$C16,'Disbursements Summary'!$A:$A,"TAX")</f>
        <v>0</v>
      </c>
      <c r="BH16" s="55">
        <f>SUMIFS('Awards Summary'!$H:$H,'Awards Summary'!$B:$B,$C16,'Awards Summary'!$J:$J,"DOT")</f>
        <v>0</v>
      </c>
      <c r="BI16" s="55">
        <f>SUMIFS('Disbursements Summary'!$E:$E,'Disbursements Summary'!$C:$C,$C16,'Disbursements Summary'!$A:$A,"DOT")</f>
        <v>0</v>
      </c>
      <c r="BJ16" s="55">
        <f>SUMIFS('Awards Summary'!$H:$H,'Awards Summary'!$B:$B,$C16,'Awards Summary'!$J:$J,"DANC")</f>
        <v>0</v>
      </c>
      <c r="BK16" s="55">
        <f>SUMIFS('Disbursements Summary'!$E:$E,'Disbursements Summary'!$C:$C,$C16,'Disbursements Summary'!$A:$A,"DANC")</f>
        <v>0</v>
      </c>
      <c r="BL16" s="55">
        <f>SUMIFS('Awards Summary'!$H:$H,'Awards Summary'!$B:$B,$C16,'Awards Summary'!$J:$J,"DOB")</f>
        <v>0</v>
      </c>
      <c r="BM16" s="55">
        <f>SUMIFS('Disbursements Summary'!$E:$E,'Disbursements Summary'!$C:$C,$C16,'Disbursements Summary'!$A:$A,"DOB")</f>
        <v>0</v>
      </c>
      <c r="BN16" s="55">
        <f>SUMIFS('Awards Summary'!$H:$H,'Awards Summary'!$B:$B,$C16,'Awards Summary'!$J:$J,"DCJS")</f>
        <v>0</v>
      </c>
      <c r="BO16" s="55">
        <f>SUMIFS('Disbursements Summary'!$E:$E,'Disbursements Summary'!$C:$C,$C16,'Disbursements Summary'!$A:$A,"DCJS")</f>
        <v>0</v>
      </c>
      <c r="BP16" s="55">
        <f>SUMIFS('Awards Summary'!$H:$H,'Awards Summary'!$B:$B,$C16,'Awards Summary'!$J:$J,"DHSES")</f>
        <v>0</v>
      </c>
      <c r="BQ16" s="55">
        <f>SUMIFS('Disbursements Summary'!$E:$E,'Disbursements Summary'!$C:$C,$C16,'Disbursements Summary'!$A:$A,"DHSES")</f>
        <v>0</v>
      </c>
      <c r="BR16" s="55">
        <f>SUMIFS('Awards Summary'!$H:$H,'Awards Summary'!$B:$B,$C16,'Awards Summary'!$J:$J,"DHR")</f>
        <v>0</v>
      </c>
      <c r="BS16" s="55">
        <f>SUMIFS('Disbursements Summary'!$E:$E,'Disbursements Summary'!$C:$C,$C16,'Disbursements Summary'!$A:$A,"DHR")</f>
        <v>0</v>
      </c>
      <c r="BT16" s="55">
        <f>SUMIFS('Awards Summary'!$H:$H,'Awards Summary'!$B:$B,$C16,'Awards Summary'!$J:$J,"DMNA")</f>
        <v>0</v>
      </c>
      <c r="BU16" s="55">
        <f>SUMIFS('Disbursements Summary'!$E:$E,'Disbursements Summary'!$C:$C,$C16,'Disbursements Summary'!$A:$A,"DMNA")</f>
        <v>0</v>
      </c>
      <c r="BV16" s="55">
        <f>SUMIFS('Awards Summary'!$H:$H,'Awards Summary'!$B:$B,$C16,'Awards Summary'!$J:$J,"TROOPERS")</f>
        <v>0</v>
      </c>
      <c r="BW16" s="55">
        <f>SUMIFS('Disbursements Summary'!$E:$E,'Disbursements Summary'!$C:$C,$C16,'Disbursements Summary'!$A:$A,"TROOPERS")</f>
        <v>0</v>
      </c>
      <c r="BX16" s="55">
        <f>SUMIFS('Awards Summary'!$H:$H,'Awards Summary'!$B:$B,$C16,'Awards Summary'!$J:$J,"DVA")</f>
        <v>0</v>
      </c>
      <c r="BY16" s="55">
        <f>SUMIFS('Disbursements Summary'!$E:$E,'Disbursements Summary'!$C:$C,$C16,'Disbursements Summary'!$A:$A,"DVA")</f>
        <v>0</v>
      </c>
      <c r="BZ16" s="55">
        <f>SUMIFS('Awards Summary'!$H:$H,'Awards Summary'!$B:$B,$C16,'Awards Summary'!$J:$J,"DASNY")</f>
        <v>0</v>
      </c>
      <c r="CA16" s="55">
        <f>SUMIFS('Disbursements Summary'!$E:$E,'Disbursements Summary'!$C:$C,$C16,'Disbursements Summary'!$A:$A,"DASNY")</f>
        <v>0</v>
      </c>
      <c r="CB16" s="55">
        <f>SUMIFS('Awards Summary'!$H:$H,'Awards Summary'!$B:$B,$C16,'Awards Summary'!$J:$J,"EGG")</f>
        <v>0</v>
      </c>
      <c r="CC16" s="55">
        <f>SUMIFS('Disbursements Summary'!$E:$E,'Disbursements Summary'!$C:$C,$C16,'Disbursements Summary'!$A:$A,"EGG")</f>
        <v>0</v>
      </c>
      <c r="CD16" s="55">
        <f>SUMIFS('Awards Summary'!$H:$H,'Awards Summary'!$B:$B,$C16,'Awards Summary'!$J:$J,"ESD")</f>
        <v>0</v>
      </c>
      <c r="CE16" s="55">
        <f>SUMIFS('Disbursements Summary'!$E:$E,'Disbursements Summary'!$C:$C,$C16,'Disbursements Summary'!$A:$A,"ESD")</f>
        <v>0</v>
      </c>
      <c r="CF16" s="55">
        <f>SUMIFS('Awards Summary'!$H:$H,'Awards Summary'!$B:$B,$C16,'Awards Summary'!$J:$J,"EFC")</f>
        <v>0</v>
      </c>
      <c r="CG16" s="55">
        <f>SUMIFS('Disbursements Summary'!$E:$E,'Disbursements Summary'!$C:$C,$C16,'Disbursements Summary'!$A:$A,"EFC")</f>
        <v>0</v>
      </c>
      <c r="CH16" s="55">
        <f>SUMIFS('Awards Summary'!$H:$H,'Awards Summary'!$B:$B,$C16,'Awards Summary'!$J:$J,"ECFSA")</f>
        <v>0</v>
      </c>
      <c r="CI16" s="55">
        <f>SUMIFS('Disbursements Summary'!$E:$E,'Disbursements Summary'!$C:$C,$C16,'Disbursements Summary'!$A:$A,"ECFSA")</f>
        <v>0</v>
      </c>
      <c r="CJ16" s="55">
        <f>SUMIFS('Awards Summary'!$H:$H,'Awards Summary'!$B:$B,$C16,'Awards Summary'!$J:$J,"ECMC")</f>
        <v>0</v>
      </c>
      <c r="CK16" s="55">
        <f>SUMIFS('Disbursements Summary'!$E:$E,'Disbursements Summary'!$C:$C,$C16,'Disbursements Summary'!$A:$A,"ECMC")</f>
        <v>0</v>
      </c>
      <c r="CL16" s="55">
        <f>SUMIFS('Awards Summary'!$H:$H,'Awards Summary'!$B:$B,$C16,'Awards Summary'!$J:$J,"CHAMBER")</f>
        <v>0</v>
      </c>
      <c r="CM16" s="55">
        <f>SUMIFS('Disbursements Summary'!$E:$E,'Disbursements Summary'!$C:$C,$C16,'Disbursements Summary'!$A:$A,"CHAMBER")</f>
        <v>0</v>
      </c>
      <c r="CN16" s="55">
        <f>SUMIFS('Awards Summary'!$H:$H,'Awards Summary'!$B:$B,$C16,'Awards Summary'!$J:$J,"GAMING")</f>
        <v>0</v>
      </c>
      <c r="CO16" s="55">
        <f>SUMIFS('Disbursements Summary'!$E:$E,'Disbursements Summary'!$C:$C,$C16,'Disbursements Summary'!$A:$A,"GAMING")</f>
        <v>0</v>
      </c>
      <c r="CP16" s="55">
        <f>SUMIFS('Awards Summary'!$H:$H,'Awards Summary'!$B:$B,$C16,'Awards Summary'!$J:$J,"GOER")</f>
        <v>0</v>
      </c>
      <c r="CQ16" s="55">
        <f>SUMIFS('Disbursements Summary'!$E:$E,'Disbursements Summary'!$C:$C,$C16,'Disbursements Summary'!$A:$A,"GOER")</f>
        <v>0</v>
      </c>
      <c r="CR16" s="55">
        <f>SUMIFS('Awards Summary'!$H:$H,'Awards Summary'!$B:$B,$C16,'Awards Summary'!$J:$J,"HESC")</f>
        <v>0</v>
      </c>
      <c r="CS16" s="55">
        <f>SUMIFS('Disbursements Summary'!$E:$E,'Disbursements Summary'!$C:$C,$C16,'Disbursements Summary'!$A:$A,"HESC")</f>
        <v>0</v>
      </c>
      <c r="CT16" s="55">
        <f>SUMIFS('Awards Summary'!$H:$H,'Awards Summary'!$B:$B,$C16,'Awards Summary'!$J:$J,"GOSR")</f>
        <v>0</v>
      </c>
      <c r="CU16" s="55">
        <f>SUMIFS('Disbursements Summary'!$E:$E,'Disbursements Summary'!$C:$C,$C16,'Disbursements Summary'!$A:$A,"GOSR")</f>
        <v>0</v>
      </c>
      <c r="CV16" s="55">
        <f>SUMIFS('Awards Summary'!$H:$H,'Awards Summary'!$B:$B,$C16,'Awards Summary'!$J:$J,"HRPT")</f>
        <v>0</v>
      </c>
      <c r="CW16" s="55">
        <f>SUMIFS('Disbursements Summary'!$E:$E,'Disbursements Summary'!$C:$C,$C16,'Disbursements Summary'!$A:$A,"HRPT")</f>
        <v>0</v>
      </c>
      <c r="CX16" s="55">
        <f>SUMIFS('Awards Summary'!$H:$H,'Awards Summary'!$B:$B,$C16,'Awards Summary'!$J:$J,"HRBRRD")</f>
        <v>0</v>
      </c>
      <c r="CY16" s="55">
        <f>SUMIFS('Disbursements Summary'!$E:$E,'Disbursements Summary'!$C:$C,$C16,'Disbursements Summary'!$A:$A,"HRBRRD")</f>
        <v>0</v>
      </c>
      <c r="CZ16" s="55">
        <f>SUMIFS('Awards Summary'!$H:$H,'Awards Summary'!$B:$B,$C16,'Awards Summary'!$J:$J,"ITS")</f>
        <v>0</v>
      </c>
      <c r="DA16" s="55">
        <f>SUMIFS('Disbursements Summary'!$E:$E,'Disbursements Summary'!$C:$C,$C16,'Disbursements Summary'!$A:$A,"ITS")</f>
        <v>0</v>
      </c>
      <c r="DB16" s="55">
        <f>SUMIFS('Awards Summary'!$H:$H,'Awards Summary'!$B:$B,$C16,'Awards Summary'!$J:$J,"JAVITS")</f>
        <v>0</v>
      </c>
      <c r="DC16" s="55">
        <f>SUMIFS('Disbursements Summary'!$E:$E,'Disbursements Summary'!$C:$C,$C16,'Disbursements Summary'!$A:$A,"JAVITS")</f>
        <v>0</v>
      </c>
      <c r="DD16" s="55">
        <f>SUMIFS('Awards Summary'!$H:$H,'Awards Summary'!$B:$B,$C16,'Awards Summary'!$J:$J,"JCOPE")</f>
        <v>0</v>
      </c>
      <c r="DE16" s="55">
        <f>SUMIFS('Disbursements Summary'!$E:$E,'Disbursements Summary'!$C:$C,$C16,'Disbursements Summary'!$A:$A,"JCOPE")</f>
        <v>0</v>
      </c>
      <c r="DF16" s="55">
        <f>SUMIFS('Awards Summary'!$H:$H,'Awards Summary'!$B:$B,$C16,'Awards Summary'!$J:$J,"JUSTICE")</f>
        <v>0</v>
      </c>
      <c r="DG16" s="55">
        <f>SUMIFS('Disbursements Summary'!$E:$E,'Disbursements Summary'!$C:$C,$C16,'Disbursements Summary'!$A:$A,"JUSTICE")</f>
        <v>0</v>
      </c>
      <c r="DH16" s="55">
        <f>SUMIFS('Awards Summary'!$H:$H,'Awards Summary'!$B:$B,$C16,'Awards Summary'!$J:$J,"LCWSA")</f>
        <v>0</v>
      </c>
      <c r="DI16" s="55">
        <f>SUMIFS('Disbursements Summary'!$E:$E,'Disbursements Summary'!$C:$C,$C16,'Disbursements Summary'!$A:$A,"LCWSA")</f>
        <v>0</v>
      </c>
      <c r="DJ16" s="55">
        <f>SUMIFS('Awards Summary'!$H:$H,'Awards Summary'!$B:$B,$C16,'Awards Summary'!$J:$J,"LIPA")</f>
        <v>0</v>
      </c>
      <c r="DK16" s="55">
        <f>SUMIFS('Disbursements Summary'!$E:$E,'Disbursements Summary'!$C:$C,$C16,'Disbursements Summary'!$A:$A,"LIPA")</f>
        <v>0</v>
      </c>
      <c r="DL16" s="55">
        <f>SUMIFS('Awards Summary'!$H:$H,'Awards Summary'!$B:$B,$C16,'Awards Summary'!$J:$J,"MTA")</f>
        <v>0</v>
      </c>
      <c r="DM16" s="55">
        <f>SUMIFS('Disbursements Summary'!$E:$E,'Disbursements Summary'!$C:$C,$C16,'Disbursements Summary'!$A:$A,"MTA")</f>
        <v>0</v>
      </c>
      <c r="DN16" s="55">
        <f>SUMIFS('Awards Summary'!$H:$H,'Awards Summary'!$B:$B,$C16,'Awards Summary'!$J:$J,"NIFA")</f>
        <v>0</v>
      </c>
      <c r="DO16" s="55">
        <f>SUMIFS('Disbursements Summary'!$E:$E,'Disbursements Summary'!$C:$C,$C16,'Disbursements Summary'!$A:$A,"NIFA")</f>
        <v>0</v>
      </c>
      <c r="DP16" s="55">
        <f>SUMIFS('Awards Summary'!$H:$H,'Awards Summary'!$B:$B,$C16,'Awards Summary'!$J:$J,"NHCC")</f>
        <v>0</v>
      </c>
      <c r="DQ16" s="55">
        <f>SUMIFS('Disbursements Summary'!$E:$E,'Disbursements Summary'!$C:$C,$C16,'Disbursements Summary'!$A:$A,"NHCC")</f>
        <v>0</v>
      </c>
      <c r="DR16" s="55">
        <f>SUMIFS('Awards Summary'!$H:$H,'Awards Summary'!$B:$B,$C16,'Awards Summary'!$J:$J,"NHT")</f>
        <v>0</v>
      </c>
      <c r="DS16" s="55">
        <f>SUMIFS('Disbursements Summary'!$E:$E,'Disbursements Summary'!$C:$C,$C16,'Disbursements Summary'!$A:$A,"NHT")</f>
        <v>0</v>
      </c>
      <c r="DT16" s="55">
        <f>SUMIFS('Awards Summary'!$H:$H,'Awards Summary'!$B:$B,$C16,'Awards Summary'!$J:$J,"NYPA")</f>
        <v>0</v>
      </c>
      <c r="DU16" s="55">
        <f>SUMIFS('Disbursements Summary'!$E:$E,'Disbursements Summary'!$C:$C,$C16,'Disbursements Summary'!$A:$A,"NYPA")</f>
        <v>0</v>
      </c>
      <c r="DV16" s="55">
        <f>SUMIFS('Awards Summary'!$H:$H,'Awards Summary'!$B:$B,$C16,'Awards Summary'!$J:$J,"NYSBA")</f>
        <v>0</v>
      </c>
      <c r="DW16" s="55">
        <f>SUMIFS('Disbursements Summary'!$E:$E,'Disbursements Summary'!$C:$C,$C16,'Disbursements Summary'!$A:$A,"NYSBA")</f>
        <v>0</v>
      </c>
      <c r="DX16" s="55">
        <f>SUMIFS('Awards Summary'!$H:$H,'Awards Summary'!$B:$B,$C16,'Awards Summary'!$J:$J,"NYSERDA")</f>
        <v>0</v>
      </c>
      <c r="DY16" s="55">
        <f>SUMIFS('Disbursements Summary'!$E:$E,'Disbursements Summary'!$C:$C,$C16,'Disbursements Summary'!$A:$A,"NYSERDA")</f>
        <v>0</v>
      </c>
      <c r="DZ16" s="55">
        <f>SUMIFS('Awards Summary'!$H:$H,'Awards Summary'!$B:$B,$C16,'Awards Summary'!$J:$J,"DHCR")</f>
        <v>0</v>
      </c>
      <c r="EA16" s="55">
        <f>SUMIFS('Disbursements Summary'!$E:$E,'Disbursements Summary'!$C:$C,$C16,'Disbursements Summary'!$A:$A,"DHCR")</f>
        <v>0</v>
      </c>
      <c r="EB16" s="55">
        <f>SUMIFS('Awards Summary'!$H:$H,'Awards Summary'!$B:$B,$C16,'Awards Summary'!$J:$J,"HFA")</f>
        <v>0</v>
      </c>
      <c r="EC16" s="55">
        <f>SUMIFS('Disbursements Summary'!$E:$E,'Disbursements Summary'!$C:$C,$C16,'Disbursements Summary'!$A:$A,"HFA")</f>
        <v>0</v>
      </c>
      <c r="ED16" s="55">
        <f>SUMIFS('Awards Summary'!$H:$H,'Awards Summary'!$B:$B,$C16,'Awards Summary'!$J:$J,"NYSIF")</f>
        <v>0</v>
      </c>
      <c r="EE16" s="55">
        <f>SUMIFS('Disbursements Summary'!$E:$E,'Disbursements Summary'!$C:$C,$C16,'Disbursements Summary'!$A:$A,"NYSIF")</f>
        <v>0</v>
      </c>
      <c r="EF16" s="55">
        <f>SUMIFS('Awards Summary'!$H:$H,'Awards Summary'!$B:$B,$C16,'Awards Summary'!$J:$J,"NYBREDS")</f>
        <v>0</v>
      </c>
      <c r="EG16" s="55">
        <f>SUMIFS('Disbursements Summary'!$E:$E,'Disbursements Summary'!$C:$C,$C16,'Disbursements Summary'!$A:$A,"NYBREDS")</f>
        <v>0</v>
      </c>
      <c r="EH16" s="55">
        <f>SUMIFS('Awards Summary'!$H:$H,'Awards Summary'!$B:$B,$C16,'Awards Summary'!$J:$J,"NYSTA")</f>
        <v>0</v>
      </c>
      <c r="EI16" s="55">
        <f>SUMIFS('Disbursements Summary'!$E:$E,'Disbursements Summary'!$C:$C,$C16,'Disbursements Summary'!$A:$A,"NYSTA")</f>
        <v>0</v>
      </c>
      <c r="EJ16" s="55">
        <f>SUMIFS('Awards Summary'!$H:$H,'Awards Summary'!$B:$B,$C16,'Awards Summary'!$J:$J,"NFWB")</f>
        <v>0</v>
      </c>
      <c r="EK16" s="55">
        <f>SUMIFS('Disbursements Summary'!$E:$E,'Disbursements Summary'!$C:$C,$C16,'Disbursements Summary'!$A:$A,"NFWB")</f>
        <v>0</v>
      </c>
      <c r="EL16" s="55">
        <f>SUMIFS('Awards Summary'!$H:$H,'Awards Summary'!$B:$B,$C16,'Awards Summary'!$J:$J,"NFTA")</f>
        <v>0</v>
      </c>
      <c r="EM16" s="55">
        <f>SUMIFS('Disbursements Summary'!$E:$E,'Disbursements Summary'!$C:$C,$C16,'Disbursements Summary'!$A:$A,"NFTA")</f>
        <v>0</v>
      </c>
      <c r="EN16" s="55">
        <f>SUMIFS('Awards Summary'!$H:$H,'Awards Summary'!$B:$B,$C16,'Awards Summary'!$J:$J,"OPWDD")</f>
        <v>0</v>
      </c>
      <c r="EO16" s="55">
        <f>SUMIFS('Disbursements Summary'!$E:$E,'Disbursements Summary'!$C:$C,$C16,'Disbursements Summary'!$A:$A,"OPWDD")</f>
        <v>0</v>
      </c>
      <c r="EP16" s="55">
        <f>SUMIFS('Awards Summary'!$H:$H,'Awards Summary'!$B:$B,$C16,'Awards Summary'!$J:$J,"AGING")</f>
        <v>0</v>
      </c>
      <c r="EQ16" s="55">
        <f>SUMIFS('Disbursements Summary'!$E:$E,'Disbursements Summary'!$C:$C,$C16,'Disbursements Summary'!$A:$A,"AGING")</f>
        <v>0</v>
      </c>
      <c r="ER16" s="55">
        <f>SUMIFS('Awards Summary'!$H:$H,'Awards Summary'!$B:$B,$C16,'Awards Summary'!$J:$J,"OPDV")</f>
        <v>0</v>
      </c>
      <c r="ES16" s="55">
        <f>SUMIFS('Disbursements Summary'!$E:$E,'Disbursements Summary'!$C:$C,$C16,'Disbursements Summary'!$A:$A,"OPDV")</f>
        <v>0</v>
      </c>
      <c r="ET16" s="55">
        <f>SUMIFS('Awards Summary'!$H:$H,'Awards Summary'!$B:$B,$C16,'Awards Summary'!$J:$J,"OVS")</f>
        <v>0</v>
      </c>
      <c r="EU16" s="55">
        <f>SUMIFS('Disbursements Summary'!$E:$E,'Disbursements Summary'!$C:$C,$C16,'Disbursements Summary'!$A:$A,"OVS")</f>
        <v>0</v>
      </c>
      <c r="EV16" s="55">
        <f>SUMIFS('Awards Summary'!$H:$H,'Awards Summary'!$B:$B,$C16,'Awards Summary'!$J:$J,"OASAS")</f>
        <v>0</v>
      </c>
      <c r="EW16" s="55">
        <f>SUMIFS('Disbursements Summary'!$E:$E,'Disbursements Summary'!$C:$C,$C16,'Disbursements Summary'!$A:$A,"OASAS")</f>
        <v>0</v>
      </c>
      <c r="EX16" s="55">
        <f>SUMIFS('Awards Summary'!$H:$H,'Awards Summary'!$B:$B,$C16,'Awards Summary'!$J:$J,"OCFS")</f>
        <v>0</v>
      </c>
      <c r="EY16" s="55">
        <f>SUMIFS('Disbursements Summary'!$E:$E,'Disbursements Summary'!$C:$C,$C16,'Disbursements Summary'!$A:$A,"OCFS")</f>
        <v>0</v>
      </c>
      <c r="EZ16" s="55">
        <f>SUMIFS('Awards Summary'!$H:$H,'Awards Summary'!$B:$B,$C16,'Awards Summary'!$J:$J,"OGS")</f>
        <v>0</v>
      </c>
      <c r="FA16" s="55">
        <f>SUMIFS('Disbursements Summary'!$E:$E,'Disbursements Summary'!$C:$C,$C16,'Disbursements Summary'!$A:$A,"OGS")</f>
        <v>0</v>
      </c>
      <c r="FB16" s="55">
        <f>SUMIFS('Awards Summary'!$H:$H,'Awards Summary'!$B:$B,$C16,'Awards Summary'!$J:$J,"OMH")</f>
        <v>0</v>
      </c>
      <c r="FC16" s="55">
        <f>SUMIFS('Disbursements Summary'!$E:$E,'Disbursements Summary'!$C:$C,$C16,'Disbursements Summary'!$A:$A,"OMH")</f>
        <v>0</v>
      </c>
      <c r="FD16" s="55">
        <f>SUMIFS('Awards Summary'!$H:$H,'Awards Summary'!$B:$B,$C16,'Awards Summary'!$J:$J,"PARKS")</f>
        <v>0</v>
      </c>
      <c r="FE16" s="55">
        <f>SUMIFS('Disbursements Summary'!$E:$E,'Disbursements Summary'!$C:$C,$C16,'Disbursements Summary'!$A:$A,"PARKS")</f>
        <v>0</v>
      </c>
      <c r="FF16" s="55">
        <f>SUMIFS('Awards Summary'!$H:$H,'Awards Summary'!$B:$B,$C16,'Awards Summary'!$J:$J,"OTDA")</f>
        <v>0</v>
      </c>
      <c r="FG16" s="55">
        <f>SUMIFS('Disbursements Summary'!$E:$E,'Disbursements Summary'!$C:$C,$C16,'Disbursements Summary'!$A:$A,"OTDA")</f>
        <v>0</v>
      </c>
      <c r="FH16" s="55">
        <f>SUMIFS('Awards Summary'!$H:$H,'Awards Summary'!$B:$B,$C16,'Awards Summary'!$J:$J,"OIG")</f>
        <v>0</v>
      </c>
      <c r="FI16" s="55">
        <f>SUMIFS('Disbursements Summary'!$E:$E,'Disbursements Summary'!$C:$C,$C16,'Disbursements Summary'!$A:$A,"OIG")</f>
        <v>0</v>
      </c>
      <c r="FJ16" s="55">
        <f>SUMIFS('Awards Summary'!$H:$H,'Awards Summary'!$B:$B,$C16,'Awards Summary'!$J:$J,"OMIG")</f>
        <v>0</v>
      </c>
      <c r="FK16" s="55">
        <f>SUMIFS('Disbursements Summary'!$E:$E,'Disbursements Summary'!$C:$C,$C16,'Disbursements Summary'!$A:$A,"OMIG")</f>
        <v>0</v>
      </c>
      <c r="FL16" s="55">
        <f>SUMIFS('Awards Summary'!$H:$H,'Awards Summary'!$B:$B,$C16,'Awards Summary'!$J:$J,"OSC")</f>
        <v>0</v>
      </c>
      <c r="FM16" s="55">
        <f>SUMIFS('Disbursements Summary'!$E:$E,'Disbursements Summary'!$C:$C,$C16,'Disbursements Summary'!$A:$A,"OSC")</f>
        <v>0</v>
      </c>
      <c r="FN16" s="55">
        <f>SUMIFS('Awards Summary'!$H:$H,'Awards Summary'!$B:$B,$C16,'Awards Summary'!$J:$J,"OWIG")</f>
        <v>0</v>
      </c>
      <c r="FO16" s="55">
        <f>SUMIFS('Disbursements Summary'!$E:$E,'Disbursements Summary'!$C:$C,$C16,'Disbursements Summary'!$A:$A,"OWIG")</f>
        <v>0</v>
      </c>
      <c r="FP16" s="55">
        <f>SUMIFS('Awards Summary'!$H:$H,'Awards Summary'!$B:$B,$C16,'Awards Summary'!$J:$J,"OGDEN")</f>
        <v>0</v>
      </c>
      <c r="FQ16" s="55">
        <f>SUMIFS('Disbursements Summary'!$E:$E,'Disbursements Summary'!$C:$C,$C16,'Disbursements Summary'!$A:$A,"OGDEN")</f>
        <v>0</v>
      </c>
      <c r="FR16" s="55">
        <f>SUMIFS('Awards Summary'!$H:$H,'Awards Summary'!$B:$B,$C16,'Awards Summary'!$J:$J,"ORDA")</f>
        <v>0</v>
      </c>
      <c r="FS16" s="55">
        <f>SUMIFS('Disbursements Summary'!$E:$E,'Disbursements Summary'!$C:$C,$C16,'Disbursements Summary'!$A:$A,"ORDA")</f>
        <v>0</v>
      </c>
      <c r="FT16" s="55">
        <f>SUMIFS('Awards Summary'!$H:$H,'Awards Summary'!$B:$B,$C16,'Awards Summary'!$J:$J,"OSWEGO")</f>
        <v>0</v>
      </c>
      <c r="FU16" s="55">
        <f>SUMIFS('Disbursements Summary'!$E:$E,'Disbursements Summary'!$C:$C,$C16,'Disbursements Summary'!$A:$A,"OSWEGO")</f>
        <v>0</v>
      </c>
      <c r="FV16" s="55">
        <f>SUMIFS('Awards Summary'!$H:$H,'Awards Summary'!$B:$B,$C16,'Awards Summary'!$J:$J,"PERB")</f>
        <v>0</v>
      </c>
      <c r="FW16" s="55">
        <f>SUMIFS('Disbursements Summary'!$E:$E,'Disbursements Summary'!$C:$C,$C16,'Disbursements Summary'!$A:$A,"PERB")</f>
        <v>0</v>
      </c>
      <c r="FX16" s="55">
        <f>SUMIFS('Awards Summary'!$H:$H,'Awards Summary'!$B:$B,$C16,'Awards Summary'!$J:$J,"RGRTA")</f>
        <v>0</v>
      </c>
      <c r="FY16" s="55">
        <f>SUMIFS('Disbursements Summary'!$E:$E,'Disbursements Summary'!$C:$C,$C16,'Disbursements Summary'!$A:$A,"RGRTA")</f>
        <v>0</v>
      </c>
      <c r="FZ16" s="55">
        <f>SUMIFS('Awards Summary'!$H:$H,'Awards Summary'!$B:$B,$C16,'Awards Summary'!$J:$J,"RIOC")</f>
        <v>0</v>
      </c>
      <c r="GA16" s="55">
        <f>SUMIFS('Disbursements Summary'!$E:$E,'Disbursements Summary'!$C:$C,$C16,'Disbursements Summary'!$A:$A,"RIOC")</f>
        <v>0</v>
      </c>
      <c r="GB16" s="55">
        <f>SUMIFS('Awards Summary'!$H:$H,'Awards Summary'!$B:$B,$C16,'Awards Summary'!$J:$J,"RPCI")</f>
        <v>0</v>
      </c>
      <c r="GC16" s="55">
        <f>SUMIFS('Disbursements Summary'!$E:$E,'Disbursements Summary'!$C:$C,$C16,'Disbursements Summary'!$A:$A,"RPCI")</f>
        <v>0</v>
      </c>
      <c r="GD16" s="55">
        <f>SUMIFS('Awards Summary'!$H:$H,'Awards Summary'!$B:$B,$C16,'Awards Summary'!$J:$J,"SMDA")</f>
        <v>0</v>
      </c>
      <c r="GE16" s="55">
        <f>SUMIFS('Disbursements Summary'!$E:$E,'Disbursements Summary'!$C:$C,$C16,'Disbursements Summary'!$A:$A,"SMDA")</f>
        <v>0</v>
      </c>
      <c r="GF16" s="55">
        <f>SUMIFS('Awards Summary'!$H:$H,'Awards Summary'!$B:$B,$C16,'Awards Summary'!$J:$J,"SCOC")</f>
        <v>0</v>
      </c>
      <c r="GG16" s="55">
        <f>SUMIFS('Disbursements Summary'!$E:$E,'Disbursements Summary'!$C:$C,$C16,'Disbursements Summary'!$A:$A,"SCOC")</f>
        <v>0</v>
      </c>
      <c r="GH16" s="55">
        <f>SUMIFS('Awards Summary'!$H:$H,'Awards Summary'!$B:$B,$C16,'Awards Summary'!$J:$J,"SUCF")</f>
        <v>0</v>
      </c>
      <c r="GI16" s="55">
        <f>SUMIFS('Disbursements Summary'!$E:$E,'Disbursements Summary'!$C:$C,$C16,'Disbursements Summary'!$A:$A,"SUCF")</f>
        <v>0</v>
      </c>
      <c r="GJ16" s="55">
        <f>SUMIFS('Awards Summary'!$H:$H,'Awards Summary'!$B:$B,$C16,'Awards Summary'!$J:$J,"SUNY")</f>
        <v>0</v>
      </c>
      <c r="GK16" s="55">
        <f>SUMIFS('Disbursements Summary'!$E:$E,'Disbursements Summary'!$C:$C,$C16,'Disbursements Summary'!$A:$A,"SUNY")</f>
        <v>0</v>
      </c>
      <c r="GL16" s="55">
        <f>SUMIFS('Awards Summary'!$H:$H,'Awards Summary'!$B:$B,$C16,'Awards Summary'!$J:$J,"SRAA")</f>
        <v>0</v>
      </c>
      <c r="GM16" s="55">
        <f>SUMIFS('Disbursements Summary'!$E:$E,'Disbursements Summary'!$C:$C,$C16,'Disbursements Summary'!$A:$A,"SRAA")</f>
        <v>0</v>
      </c>
      <c r="GN16" s="55">
        <f>SUMIFS('Awards Summary'!$H:$H,'Awards Summary'!$B:$B,$C16,'Awards Summary'!$J:$J,"UNDC")</f>
        <v>0</v>
      </c>
      <c r="GO16" s="55">
        <f>SUMIFS('Disbursements Summary'!$E:$E,'Disbursements Summary'!$C:$C,$C16,'Disbursements Summary'!$A:$A,"UNDC")</f>
        <v>0</v>
      </c>
      <c r="GP16" s="55">
        <f>SUMIFS('Awards Summary'!$H:$H,'Awards Summary'!$B:$B,$C16,'Awards Summary'!$J:$J,"MVWA")</f>
        <v>0</v>
      </c>
      <c r="GQ16" s="55">
        <f>SUMIFS('Disbursements Summary'!$E:$E,'Disbursements Summary'!$C:$C,$C16,'Disbursements Summary'!$A:$A,"MVWA")</f>
        <v>0</v>
      </c>
      <c r="GR16" s="55">
        <f>SUMIFS('Awards Summary'!$H:$H,'Awards Summary'!$B:$B,$C16,'Awards Summary'!$J:$J,"WMC")</f>
        <v>0</v>
      </c>
      <c r="GS16" s="55">
        <f>SUMIFS('Disbursements Summary'!$E:$E,'Disbursements Summary'!$C:$C,$C16,'Disbursements Summary'!$A:$A,"WMC")</f>
        <v>0</v>
      </c>
      <c r="GT16" s="55">
        <f>SUMIFS('Awards Summary'!$H:$H,'Awards Summary'!$B:$B,$C16,'Awards Summary'!$J:$J,"WCB")</f>
        <v>0</v>
      </c>
      <c r="GU16" s="55">
        <f>SUMIFS('Disbursements Summary'!$E:$E,'Disbursements Summary'!$C:$C,$C16,'Disbursements Summary'!$A:$A,"WCB")</f>
        <v>0</v>
      </c>
      <c r="GV16" s="32">
        <f t="shared" si="1"/>
        <v>0</v>
      </c>
      <c r="GW16" s="32">
        <f t="shared" si="2"/>
        <v>0</v>
      </c>
      <c r="GX16" s="30" t="b">
        <f t="shared" si="3"/>
        <v>1</v>
      </c>
      <c r="GY16" s="30" t="b">
        <f t="shared" si="4"/>
        <v>1</v>
      </c>
    </row>
    <row r="17" spans="1:207" s="30" customFormat="1">
      <c r="A17" s="22" t="str">
        <f t="shared" si="0"/>
        <v/>
      </c>
      <c r="B17" s="40" t="s">
        <v>28</v>
      </c>
      <c r="C17" s="16">
        <v>141026</v>
      </c>
      <c r="D17" s="26">
        <f>COUNTIF('Awards Summary'!B:B,"141026")</f>
        <v>0</v>
      </c>
      <c r="E17" s="45">
        <f>SUMIFS('Awards Summary'!H:H,'Awards Summary'!B:B,"141026")</f>
        <v>0</v>
      </c>
      <c r="F17" s="46">
        <f>SUMIFS('Disbursements Summary'!E:E,'Disbursements Summary'!C:C, "141026")</f>
        <v>0</v>
      </c>
      <c r="H17" s="55">
        <f>SUMIFS('Awards Summary'!$H:$H,'Awards Summary'!$B:$B,$C17,'Awards Summary'!$J:$J,"APA")</f>
        <v>0</v>
      </c>
      <c r="I17" s="55">
        <f>SUMIFS('Disbursements Summary'!$E:$E,'Disbursements Summary'!$C:$C,$C17,'Disbursements Summary'!$A:$A,"APA")</f>
        <v>0</v>
      </c>
      <c r="J17" s="55">
        <f>SUMIFS('Awards Summary'!$H:$H,'Awards Summary'!$B:$B,$C17,'Awards Summary'!$J:$J,"Ag&amp;Horse")</f>
        <v>0</v>
      </c>
      <c r="K17" s="55">
        <f>SUMIFS('Disbursements Summary'!$E:$E,'Disbursements Summary'!$C:$C,$C17,'Disbursements Summary'!$A:$A,"Ag&amp;Horse")</f>
        <v>0</v>
      </c>
      <c r="L17" s="55">
        <f>SUMIFS('Awards Summary'!$H:$H,'Awards Summary'!$B:$B,$C17,'Awards Summary'!$J:$J,"ACAA")</f>
        <v>0</v>
      </c>
      <c r="M17" s="55">
        <f>SUMIFS('Disbursements Summary'!$E:$E,'Disbursements Summary'!$C:$C,$C17,'Disbursements Summary'!$A:$A,"ACAA")</f>
        <v>0</v>
      </c>
      <c r="N17" s="55">
        <f>SUMIFS('Awards Summary'!$H:$H,'Awards Summary'!$B:$B,$C17,'Awards Summary'!$J:$J,"PortAlbany")</f>
        <v>0</v>
      </c>
      <c r="O17" s="55">
        <f>SUMIFS('Disbursements Summary'!$E:$E,'Disbursements Summary'!$C:$C,$C17,'Disbursements Summary'!$A:$A,"PortAlbany")</f>
        <v>0</v>
      </c>
      <c r="P17" s="55">
        <f>SUMIFS('Awards Summary'!$H:$H,'Awards Summary'!$B:$B,$C17,'Awards Summary'!$J:$J,"SLA")</f>
        <v>0</v>
      </c>
      <c r="Q17" s="55">
        <f>SUMIFS('Disbursements Summary'!$E:$E,'Disbursements Summary'!$C:$C,$C17,'Disbursements Summary'!$A:$A,"SLA")</f>
        <v>0</v>
      </c>
      <c r="R17" s="55">
        <f>SUMIFS('Awards Summary'!$H:$H,'Awards Summary'!$B:$B,$C17,'Awards Summary'!$J:$J,"BPCA")</f>
        <v>0</v>
      </c>
      <c r="S17" s="55">
        <f>SUMIFS('Disbursements Summary'!$E:$E,'Disbursements Summary'!$C:$C,$C17,'Disbursements Summary'!$A:$A,"BPCA")</f>
        <v>0</v>
      </c>
      <c r="T17" s="55">
        <f>SUMIFS('Awards Summary'!$H:$H,'Awards Summary'!$B:$B,$C17,'Awards Summary'!$J:$J,"ELECTIONS")</f>
        <v>0</v>
      </c>
      <c r="U17" s="55">
        <f>SUMIFS('Disbursements Summary'!$E:$E,'Disbursements Summary'!$C:$C,$C17,'Disbursements Summary'!$A:$A,"ELECTIONS")</f>
        <v>0</v>
      </c>
      <c r="V17" s="55">
        <f>SUMIFS('Awards Summary'!$H:$H,'Awards Summary'!$B:$B,$C17,'Awards Summary'!$J:$J,"BFSA")</f>
        <v>0</v>
      </c>
      <c r="W17" s="55">
        <f>SUMIFS('Disbursements Summary'!$E:$E,'Disbursements Summary'!$C:$C,$C17,'Disbursements Summary'!$A:$A,"BFSA")</f>
        <v>0</v>
      </c>
      <c r="X17" s="55">
        <f>SUMIFS('Awards Summary'!$H:$H,'Awards Summary'!$B:$B,$C17,'Awards Summary'!$J:$J,"CDTA")</f>
        <v>0</v>
      </c>
      <c r="Y17" s="55">
        <f>SUMIFS('Disbursements Summary'!$E:$E,'Disbursements Summary'!$C:$C,$C17,'Disbursements Summary'!$A:$A,"CDTA")</f>
        <v>0</v>
      </c>
      <c r="Z17" s="55">
        <f>SUMIFS('Awards Summary'!$H:$H,'Awards Summary'!$B:$B,$C17,'Awards Summary'!$J:$J,"CCWSA")</f>
        <v>0</v>
      </c>
      <c r="AA17" s="55">
        <f>SUMIFS('Disbursements Summary'!$E:$E,'Disbursements Summary'!$C:$C,$C17,'Disbursements Summary'!$A:$A,"CCWSA")</f>
        <v>0</v>
      </c>
      <c r="AB17" s="55">
        <f>SUMIFS('Awards Summary'!$H:$H,'Awards Summary'!$B:$B,$C17,'Awards Summary'!$J:$J,"CNYRTA")</f>
        <v>0</v>
      </c>
      <c r="AC17" s="55">
        <f>SUMIFS('Disbursements Summary'!$E:$E,'Disbursements Summary'!$C:$C,$C17,'Disbursements Summary'!$A:$A,"CNYRTA")</f>
        <v>0</v>
      </c>
      <c r="AD17" s="55">
        <f>SUMIFS('Awards Summary'!$H:$H,'Awards Summary'!$B:$B,$C17,'Awards Summary'!$J:$J,"CUCF")</f>
        <v>0</v>
      </c>
      <c r="AE17" s="55">
        <f>SUMIFS('Disbursements Summary'!$E:$E,'Disbursements Summary'!$C:$C,$C17,'Disbursements Summary'!$A:$A,"CUCF")</f>
        <v>0</v>
      </c>
      <c r="AF17" s="55">
        <f>SUMIFS('Awards Summary'!$H:$H,'Awards Summary'!$B:$B,$C17,'Awards Summary'!$J:$J,"CUNY")</f>
        <v>0</v>
      </c>
      <c r="AG17" s="55">
        <f>SUMIFS('Disbursements Summary'!$E:$E,'Disbursements Summary'!$C:$C,$C17,'Disbursements Summary'!$A:$A,"CUNY")</f>
        <v>0</v>
      </c>
      <c r="AH17" s="55">
        <f>SUMIFS('Awards Summary'!$H:$H,'Awards Summary'!$B:$B,$C17,'Awards Summary'!$J:$J,"ARTS")</f>
        <v>0</v>
      </c>
      <c r="AI17" s="55">
        <f>SUMIFS('Disbursements Summary'!$E:$E,'Disbursements Summary'!$C:$C,$C17,'Disbursements Summary'!$A:$A,"ARTS")</f>
        <v>0</v>
      </c>
      <c r="AJ17" s="55">
        <f>SUMIFS('Awards Summary'!$H:$H,'Awards Summary'!$B:$B,$C17,'Awards Summary'!$J:$J,"AG&amp;MKTS")</f>
        <v>0</v>
      </c>
      <c r="AK17" s="55">
        <f>SUMIFS('Disbursements Summary'!$E:$E,'Disbursements Summary'!$C:$C,$C17,'Disbursements Summary'!$A:$A,"AG&amp;MKTS")</f>
        <v>0</v>
      </c>
      <c r="AL17" s="55">
        <f>SUMIFS('Awards Summary'!$H:$H,'Awards Summary'!$B:$B,$C17,'Awards Summary'!$J:$J,"CS")</f>
        <v>0</v>
      </c>
      <c r="AM17" s="55">
        <f>SUMIFS('Disbursements Summary'!$E:$E,'Disbursements Summary'!$C:$C,$C17,'Disbursements Summary'!$A:$A,"CS")</f>
        <v>0</v>
      </c>
      <c r="AN17" s="55">
        <f>SUMIFS('Awards Summary'!$H:$H,'Awards Summary'!$B:$B,$C17,'Awards Summary'!$J:$J,"DOCCS")</f>
        <v>0</v>
      </c>
      <c r="AO17" s="55">
        <f>SUMIFS('Disbursements Summary'!$E:$E,'Disbursements Summary'!$C:$C,$C17,'Disbursements Summary'!$A:$A,"DOCCS")</f>
        <v>0</v>
      </c>
      <c r="AP17" s="55">
        <f>SUMIFS('Awards Summary'!$H:$H,'Awards Summary'!$B:$B,$C17,'Awards Summary'!$J:$J,"DED")</f>
        <v>0</v>
      </c>
      <c r="AQ17" s="55">
        <f>SUMIFS('Disbursements Summary'!$E:$E,'Disbursements Summary'!$C:$C,$C17,'Disbursements Summary'!$A:$A,"DED")</f>
        <v>0</v>
      </c>
      <c r="AR17" s="55">
        <f>SUMIFS('Awards Summary'!$H:$H,'Awards Summary'!$B:$B,$C17,'Awards Summary'!$J:$J,"DEC")</f>
        <v>0</v>
      </c>
      <c r="AS17" s="55">
        <f>SUMIFS('Disbursements Summary'!$E:$E,'Disbursements Summary'!$C:$C,$C17,'Disbursements Summary'!$A:$A,"DEC")</f>
        <v>0</v>
      </c>
      <c r="AT17" s="55">
        <f>SUMIFS('Awards Summary'!$H:$H,'Awards Summary'!$B:$B,$C17,'Awards Summary'!$J:$J,"DFS")</f>
        <v>0</v>
      </c>
      <c r="AU17" s="55">
        <f>SUMIFS('Disbursements Summary'!$E:$E,'Disbursements Summary'!$C:$C,$C17,'Disbursements Summary'!$A:$A,"DFS")</f>
        <v>0</v>
      </c>
      <c r="AV17" s="55">
        <f>SUMIFS('Awards Summary'!$H:$H,'Awards Summary'!$B:$B,$C17,'Awards Summary'!$J:$J,"DOH")</f>
        <v>0</v>
      </c>
      <c r="AW17" s="55">
        <f>SUMIFS('Disbursements Summary'!$E:$E,'Disbursements Summary'!$C:$C,$C17,'Disbursements Summary'!$A:$A,"DOH")</f>
        <v>0</v>
      </c>
      <c r="AX17" s="55">
        <f>SUMIFS('Awards Summary'!$H:$H,'Awards Summary'!$B:$B,$C17,'Awards Summary'!$J:$J,"DOL")</f>
        <v>0</v>
      </c>
      <c r="AY17" s="55">
        <f>SUMIFS('Disbursements Summary'!$E:$E,'Disbursements Summary'!$C:$C,$C17,'Disbursements Summary'!$A:$A,"DOL")</f>
        <v>0</v>
      </c>
      <c r="AZ17" s="55">
        <f>SUMIFS('Awards Summary'!$H:$H,'Awards Summary'!$B:$B,$C17,'Awards Summary'!$J:$J,"DMV")</f>
        <v>0</v>
      </c>
      <c r="BA17" s="55">
        <f>SUMIFS('Disbursements Summary'!$E:$E,'Disbursements Summary'!$C:$C,$C17,'Disbursements Summary'!$A:$A,"DMV")</f>
        <v>0</v>
      </c>
      <c r="BB17" s="55">
        <f>SUMIFS('Awards Summary'!$H:$H,'Awards Summary'!$B:$B,$C17,'Awards Summary'!$J:$J,"DPS")</f>
        <v>0</v>
      </c>
      <c r="BC17" s="55">
        <f>SUMIFS('Disbursements Summary'!$E:$E,'Disbursements Summary'!$C:$C,$C17,'Disbursements Summary'!$A:$A,"DPS")</f>
        <v>0</v>
      </c>
      <c r="BD17" s="55">
        <f>SUMIFS('Awards Summary'!$H:$H,'Awards Summary'!$B:$B,$C17,'Awards Summary'!$J:$J,"DOS")</f>
        <v>0</v>
      </c>
      <c r="BE17" s="55">
        <f>SUMIFS('Disbursements Summary'!$E:$E,'Disbursements Summary'!$C:$C,$C17,'Disbursements Summary'!$A:$A,"DOS")</f>
        <v>0</v>
      </c>
      <c r="BF17" s="55">
        <f>SUMIFS('Awards Summary'!$H:$H,'Awards Summary'!$B:$B,$C17,'Awards Summary'!$J:$J,"TAX")</f>
        <v>0</v>
      </c>
      <c r="BG17" s="55">
        <f>SUMIFS('Disbursements Summary'!$E:$E,'Disbursements Summary'!$C:$C,$C17,'Disbursements Summary'!$A:$A,"TAX")</f>
        <v>0</v>
      </c>
      <c r="BH17" s="55">
        <f>SUMIFS('Awards Summary'!$H:$H,'Awards Summary'!$B:$B,$C17,'Awards Summary'!$J:$J,"DOT")</f>
        <v>0</v>
      </c>
      <c r="BI17" s="55">
        <f>SUMIFS('Disbursements Summary'!$E:$E,'Disbursements Summary'!$C:$C,$C17,'Disbursements Summary'!$A:$A,"DOT")</f>
        <v>0</v>
      </c>
      <c r="BJ17" s="55">
        <f>SUMIFS('Awards Summary'!$H:$H,'Awards Summary'!$B:$B,$C17,'Awards Summary'!$J:$J,"DANC")</f>
        <v>0</v>
      </c>
      <c r="BK17" s="55">
        <f>SUMIFS('Disbursements Summary'!$E:$E,'Disbursements Summary'!$C:$C,$C17,'Disbursements Summary'!$A:$A,"DANC")</f>
        <v>0</v>
      </c>
      <c r="BL17" s="55">
        <f>SUMIFS('Awards Summary'!$H:$H,'Awards Summary'!$B:$B,$C17,'Awards Summary'!$J:$J,"DOB")</f>
        <v>0</v>
      </c>
      <c r="BM17" s="55">
        <f>SUMIFS('Disbursements Summary'!$E:$E,'Disbursements Summary'!$C:$C,$C17,'Disbursements Summary'!$A:$A,"DOB")</f>
        <v>0</v>
      </c>
      <c r="BN17" s="55">
        <f>SUMIFS('Awards Summary'!$H:$H,'Awards Summary'!$B:$B,$C17,'Awards Summary'!$J:$J,"DCJS")</f>
        <v>0</v>
      </c>
      <c r="BO17" s="55">
        <f>SUMIFS('Disbursements Summary'!$E:$E,'Disbursements Summary'!$C:$C,$C17,'Disbursements Summary'!$A:$A,"DCJS")</f>
        <v>0</v>
      </c>
      <c r="BP17" s="55">
        <f>SUMIFS('Awards Summary'!$H:$H,'Awards Summary'!$B:$B,$C17,'Awards Summary'!$J:$J,"DHSES")</f>
        <v>0</v>
      </c>
      <c r="BQ17" s="55">
        <f>SUMIFS('Disbursements Summary'!$E:$E,'Disbursements Summary'!$C:$C,$C17,'Disbursements Summary'!$A:$A,"DHSES")</f>
        <v>0</v>
      </c>
      <c r="BR17" s="55">
        <f>SUMIFS('Awards Summary'!$H:$H,'Awards Summary'!$B:$B,$C17,'Awards Summary'!$J:$J,"DHR")</f>
        <v>0</v>
      </c>
      <c r="BS17" s="55">
        <f>SUMIFS('Disbursements Summary'!$E:$E,'Disbursements Summary'!$C:$C,$C17,'Disbursements Summary'!$A:$A,"DHR")</f>
        <v>0</v>
      </c>
      <c r="BT17" s="55">
        <f>SUMIFS('Awards Summary'!$H:$H,'Awards Summary'!$B:$B,$C17,'Awards Summary'!$J:$J,"DMNA")</f>
        <v>0</v>
      </c>
      <c r="BU17" s="55">
        <f>SUMIFS('Disbursements Summary'!$E:$E,'Disbursements Summary'!$C:$C,$C17,'Disbursements Summary'!$A:$A,"DMNA")</f>
        <v>0</v>
      </c>
      <c r="BV17" s="55">
        <f>SUMIFS('Awards Summary'!$H:$H,'Awards Summary'!$B:$B,$C17,'Awards Summary'!$J:$J,"TROOPERS")</f>
        <v>0</v>
      </c>
      <c r="BW17" s="55">
        <f>SUMIFS('Disbursements Summary'!$E:$E,'Disbursements Summary'!$C:$C,$C17,'Disbursements Summary'!$A:$A,"TROOPERS")</f>
        <v>0</v>
      </c>
      <c r="BX17" s="55">
        <f>SUMIFS('Awards Summary'!$H:$H,'Awards Summary'!$B:$B,$C17,'Awards Summary'!$J:$J,"DVA")</f>
        <v>0</v>
      </c>
      <c r="BY17" s="55">
        <f>SUMIFS('Disbursements Summary'!$E:$E,'Disbursements Summary'!$C:$C,$C17,'Disbursements Summary'!$A:$A,"DVA")</f>
        <v>0</v>
      </c>
      <c r="BZ17" s="55">
        <f>SUMIFS('Awards Summary'!$H:$H,'Awards Summary'!$B:$B,$C17,'Awards Summary'!$J:$J,"DASNY")</f>
        <v>0</v>
      </c>
      <c r="CA17" s="55">
        <f>SUMIFS('Disbursements Summary'!$E:$E,'Disbursements Summary'!$C:$C,$C17,'Disbursements Summary'!$A:$A,"DASNY")</f>
        <v>0</v>
      </c>
      <c r="CB17" s="55">
        <f>SUMIFS('Awards Summary'!$H:$H,'Awards Summary'!$B:$B,$C17,'Awards Summary'!$J:$J,"EGG")</f>
        <v>0</v>
      </c>
      <c r="CC17" s="55">
        <f>SUMIFS('Disbursements Summary'!$E:$E,'Disbursements Summary'!$C:$C,$C17,'Disbursements Summary'!$A:$A,"EGG")</f>
        <v>0</v>
      </c>
      <c r="CD17" s="55">
        <f>SUMIFS('Awards Summary'!$H:$H,'Awards Summary'!$B:$B,$C17,'Awards Summary'!$J:$J,"ESD")</f>
        <v>0</v>
      </c>
      <c r="CE17" s="55">
        <f>SUMIFS('Disbursements Summary'!$E:$E,'Disbursements Summary'!$C:$C,$C17,'Disbursements Summary'!$A:$A,"ESD")</f>
        <v>0</v>
      </c>
      <c r="CF17" s="55">
        <f>SUMIFS('Awards Summary'!$H:$H,'Awards Summary'!$B:$B,$C17,'Awards Summary'!$J:$J,"EFC")</f>
        <v>0</v>
      </c>
      <c r="CG17" s="55">
        <f>SUMIFS('Disbursements Summary'!$E:$E,'Disbursements Summary'!$C:$C,$C17,'Disbursements Summary'!$A:$A,"EFC")</f>
        <v>0</v>
      </c>
      <c r="CH17" s="55">
        <f>SUMIFS('Awards Summary'!$H:$H,'Awards Summary'!$B:$B,$C17,'Awards Summary'!$J:$J,"ECFSA")</f>
        <v>0</v>
      </c>
      <c r="CI17" s="55">
        <f>SUMIFS('Disbursements Summary'!$E:$E,'Disbursements Summary'!$C:$C,$C17,'Disbursements Summary'!$A:$A,"ECFSA")</f>
        <v>0</v>
      </c>
      <c r="CJ17" s="55">
        <f>SUMIFS('Awards Summary'!$H:$H,'Awards Summary'!$B:$B,$C17,'Awards Summary'!$J:$J,"ECMC")</f>
        <v>0</v>
      </c>
      <c r="CK17" s="55">
        <f>SUMIFS('Disbursements Summary'!$E:$E,'Disbursements Summary'!$C:$C,$C17,'Disbursements Summary'!$A:$A,"ECMC")</f>
        <v>0</v>
      </c>
      <c r="CL17" s="55">
        <f>SUMIFS('Awards Summary'!$H:$H,'Awards Summary'!$B:$B,$C17,'Awards Summary'!$J:$J,"CHAMBER")</f>
        <v>0</v>
      </c>
      <c r="CM17" s="55">
        <f>SUMIFS('Disbursements Summary'!$E:$E,'Disbursements Summary'!$C:$C,$C17,'Disbursements Summary'!$A:$A,"CHAMBER")</f>
        <v>0</v>
      </c>
      <c r="CN17" s="55">
        <f>SUMIFS('Awards Summary'!$H:$H,'Awards Summary'!$B:$B,$C17,'Awards Summary'!$J:$J,"GAMING")</f>
        <v>0</v>
      </c>
      <c r="CO17" s="55">
        <f>SUMIFS('Disbursements Summary'!$E:$E,'Disbursements Summary'!$C:$C,$C17,'Disbursements Summary'!$A:$A,"GAMING")</f>
        <v>0</v>
      </c>
      <c r="CP17" s="55">
        <f>SUMIFS('Awards Summary'!$H:$H,'Awards Summary'!$B:$B,$C17,'Awards Summary'!$J:$J,"GOER")</f>
        <v>0</v>
      </c>
      <c r="CQ17" s="55">
        <f>SUMIFS('Disbursements Summary'!$E:$E,'Disbursements Summary'!$C:$C,$C17,'Disbursements Summary'!$A:$A,"GOER")</f>
        <v>0</v>
      </c>
      <c r="CR17" s="55">
        <f>SUMIFS('Awards Summary'!$H:$H,'Awards Summary'!$B:$B,$C17,'Awards Summary'!$J:$J,"HESC")</f>
        <v>0</v>
      </c>
      <c r="CS17" s="55">
        <f>SUMIFS('Disbursements Summary'!$E:$E,'Disbursements Summary'!$C:$C,$C17,'Disbursements Summary'!$A:$A,"HESC")</f>
        <v>0</v>
      </c>
      <c r="CT17" s="55">
        <f>SUMIFS('Awards Summary'!$H:$H,'Awards Summary'!$B:$B,$C17,'Awards Summary'!$J:$J,"GOSR")</f>
        <v>0</v>
      </c>
      <c r="CU17" s="55">
        <f>SUMIFS('Disbursements Summary'!$E:$E,'Disbursements Summary'!$C:$C,$C17,'Disbursements Summary'!$A:$A,"GOSR")</f>
        <v>0</v>
      </c>
      <c r="CV17" s="55">
        <f>SUMIFS('Awards Summary'!$H:$H,'Awards Summary'!$B:$B,$C17,'Awards Summary'!$J:$J,"HRPT")</f>
        <v>0</v>
      </c>
      <c r="CW17" s="55">
        <f>SUMIFS('Disbursements Summary'!$E:$E,'Disbursements Summary'!$C:$C,$C17,'Disbursements Summary'!$A:$A,"HRPT")</f>
        <v>0</v>
      </c>
      <c r="CX17" s="55">
        <f>SUMIFS('Awards Summary'!$H:$H,'Awards Summary'!$B:$B,$C17,'Awards Summary'!$J:$J,"HRBRRD")</f>
        <v>0</v>
      </c>
      <c r="CY17" s="55">
        <f>SUMIFS('Disbursements Summary'!$E:$E,'Disbursements Summary'!$C:$C,$C17,'Disbursements Summary'!$A:$A,"HRBRRD")</f>
        <v>0</v>
      </c>
      <c r="CZ17" s="55">
        <f>SUMIFS('Awards Summary'!$H:$H,'Awards Summary'!$B:$B,$C17,'Awards Summary'!$J:$J,"ITS")</f>
        <v>0</v>
      </c>
      <c r="DA17" s="55">
        <f>SUMIFS('Disbursements Summary'!$E:$E,'Disbursements Summary'!$C:$C,$C17,'Disbursements Summary'!$A:$A,"ITS")</f>
        <v>0</v>
      </c>
      <c r="DB17" s="55">
        <f>SUMIFS('Awards Summary'!$H:$H,'Awards Summary'!$B:$B,$C17,'Awards Summary'!$J:$J,"JAVITS")</f>
        <v>0</v>
      </c>
      <c r="DC17" s="55">
        <f>SUMIFS('Disbursements Summary'!$E:$E,'Disbursements Summary'!$C:$C,$C17,'Disbursements Summary'!$A:$A,"JAVITS")</f>
        <v>0</v>
      </c>
      <c r="DD17" s="55">
        <f>SUMIFS('Awards Summary'!$H:$H,'Awards Summary'!$B:$B,$C17,'Awards Summary'!$J:$J,"JCOPE")</f>
        <v>0</v>
      </c>
      <c r="DE17" s="55">
        <f>SUMIFS('Disbursements Summary'!$E:$E,'Disbursements Summary'!$C:$C,$C17,'Disbursements Summary'!$A:$A,"JCOPE")</f>
        <v>0</v>
      </c>
      <c r="DF17" s="55">
        <f>SUMIFS('Awards Summary'!$H:$H,'Awards Summary'!$B:$B,$C17,'Awards Summary'!$J:$J,"JUSTICE")</f>
        <v>0</v>
      </c>
      <c r="DG17" s="55">
        <f>SUMIFS('Disbursements Summary'!$E:$E,'Disbursements Summary'!$C:$C,$C17,'Disbursements Summary'!$A:$A,"JUSTICE")</f>
        <v>0</v>
      </c>
      <c r="DH17" s="55">
        <f>SUMIFS('Awards Summary'!$H:$H,'Awards Summary'!$B:$B,$C17,'Awards Summary'!$J:$J,"LCWSA")</f>
        <v>0</v>
      </c>
      <c r="DI17" s="55">
        <f>SUMIFS('Disbursements Summary'!$E:$E,'Disbursements Summary'!$C:$C,$C17,'Disbursements Summary'!$A:$A,"LCWSA")</f>
        <v>0</v>
      </c>
      <c r="DJ17" s="55">
        <f>SUMIFS('Awards Summary'!$H:$H,'Awards Summary'!$B:$B,$C17,'Awards Summary'!$J:$J,"LIPA")</f>
        <v>0</v>
      </c>
      <c r="DK17" s="55">
        <f>SUMIFS('Disbursements Summary'!$E:$E,'Disbursements Summary'!$C:$C,$C17,'Disbursements Summary'!$A:$A,"LIPA")</f>
        <v>0</v>
      </c>
      <c r="DL17" s="55">
        <f>SUMIFS('Awards Summary'!$H:$H,'Awards Summary'!$B:$B,$C17,'Awards Summary'!$J:$J,"MTA")</f>
        <v>0</v>
      </c>
      <c r="DM17" s="55">
        <f>SUMIFS('Disbursements Summary'!$E:$E,'Disbursements Summary'!$C:$C,$C17,'Disbursements Summary'!$A:$A,"MTA")</f>
        <v>0</v>
      </c>
      <c r="DN17" s="55">
        <f>SUMIFS('Awards Summary'!$H:$H,'Awards Summary'!$B:$B,$C17,'Awards Summary'!$J:$J,"NIFA")</f>
        <v>0</v>
      </c>
      <c r="DO17" s="55">
        <f>SUMIFS('Disbursements Summary'!$E:$E,'Disbursements Summary'!$C:$C,$C17,'Disbursements Summary'!$A:$A,"NIFA")</f>
        <v>0</v>
      </c>
      <c r="DP17" s="55">
        <f>SUMIFS('Awards Summary'!$H:$H,'Awards Summary'!$B:$B,$C17,'Awards Summary'!$J:$J,"NHCC")</f>
        <v>0</v>
      </c>
      <c r="DQ17" s="55">
        <f>SUMIFS('Disbursements Summary'!$E:$E,'Disbursements Summary'!$C:$C,$C17,'Disbursements Summary'!$A:$A,"NHCC")</f>
        <v>0</v>
      </c>
      <c r="DR17" s="55">
        <f>SUMIFS('Awards Summary'!$H:$H,'Awards Summary'!$B:$B,$C17,'Awards Summary'!$J:$J,"NHT")</f>
        <v>0</v>
      </c>
      <c r="DS17" s="55">
        <f>SUMIFS('Disbursements Summary'!$E:$E,'Disbursements Summary'!$C:$C,$C17,'Disbursements Summary'!$A:$A,"NHT")</f>
        <v>0</v>
      </c>
      <c r="DT17" s="55">
        <f>SUMIFS('Awards Summary'!$H:$H,'Awards Summary'!$B:$B,$C17,'Awards Summary'!$J:$J,"NYPA")</f>
        <v>0</v>
      </c>
      <c r="DU17" s="55">
        <f>SUMIFS('Disbursements Summary'!$E:$E,'Disbursements Summary'!$C:$C,$C17,'Disbursements Summary'!$A:$A,"NYPA")</f>
        <v>0</v>
      </c>
      <c r="DV17" s="55">
        <f>SUMIFS('Awards Summary'!$H:$H,'Awards Summary'!$B:$B,$C17,'Awards Summary'!$J:$J,"NYSBA")</f>
        <v>0</v>
      </c>
      <c r="DW17" s="55">
        <f>SUMIFS('Disbursements Summary'!$E:$E,'Disbursements Summary'!$C:$C,$C17,'Disbursements Summary'!$A:$A,"NYSBA")</f>
        <v>0</v>
      </c>
      <c r="DX17" s="55">
        <f>SUMIFS('Awards Summary'!$H:$H,'Awards Summary'!$B:$B,$C17,'Awards Summary'!$J:$J,"NYSERDA")</f>
        <v>0</v>
      </c>
      <c r="DY17" s="55">
        <f>SUMIFS('Disbursements Summary'!$E:$E,'Disbursements Summary'!$C:$C,$C17,'Disbursements Summary'!$A:$A,"NYSERDA")</f>
        <v>0</v>
      </c>
      <c r="DZ17" s="55">
        <f>SUMIFS('Awards Summary'!$H:$H,'Awards Summary'!$B:$B,$C17,'Awards Summary'!$J:$J,"DHCR")</f>
        <v>0</v>
      </c>
      <c r="EA17" s="55">
        <f>SUMIFS('Disbursements Summary'!$E:$E,'Disbursements Summary'!$C:$C,$C17,'Disbursements Summary'!$A:$A,"DHCR")</f>
        <v>0</v>
      </c>
      <c r="EB17" s="55">
        <f>SUMIFS('Awards Summary'!$H:$H,'Awards Summary'!$B:$B,$C17,'Awards Summary'!$J:$J,"HFA")</f>
        <v>0</v>
      </c>
      <c r="EC17" s="55">
        <f>SUMIFS('Disbursements Summary'!$E:$E,'Disbursements Summary'!$C:$C,$C17,'Disbursements Summary'!$A:$A,"HFA")</f>
        <v>0</v>
      </c>
      <c r="ED17" s="55">
        <f>SUMIFS('Awards Summary'!$H:$H,'Awards Summary'!$B:$B,$C17,'Awards Summary'!$J:$J,"NYSIF")</f>
        <v>0</v>
      </c>
      <c r="EE17" s="55">
        <f>SUMIFS('Disbursements Summary'!$E:$E,'Disbursements Summary'!$C:$C,$C17,'Disbursements Summary'!$A:$A,"NYSIF")</f>
        <v>0</v>
      </c>
      <c r="EF17" s="55">
        <f>SUMIFS('Awards Summary'!$H:$H,'Awards Summary'!$B:$B,$C17,'Awards Summary'!$J:$J,"NYBREDS")</f>
        <v>0</v>
      </c>
      <c r="EG17" s="55">
        <f>SUMIFS('Disbursements Summary'!$E:$E,'Disbursements Summary'!$C:$C,$C17,'Disbursements Summary'!$A:$A,"NYBREDS")</f>
        <v>0</v>
      </c>
      <c r="EH17" s="55">
        <f>SUMIFS('Awards Summary'!$H:$H,'Awards Summary'!$B:$B,$C17,'Awards Summary'!$J:$J,"NYSTA")</f>
        <v>0</v>
      </c>
      <c r="EI17" s="55">
        <f>SUMIFS('Disbursements Summary'!$E:$E,'Disbursements Summary'!$C:$C,$C17,'Disbursements Summary'!$A:$A,"NYSTA")</f>
        <v>0</v>
      </c>
      <c r="EJ17" s="55">
        <f>SUMIFS('Awards Summary'!$H:$H,'Awards Summary'!$B:$B,$C17,'Awards Summary'!$J:$J,"NFWB")</f>
        <v>0</v>
      </c>
      <c r="EK17" s="55">
        <f>SUMIFS('Disbursements Summary'!$E:$E,'Disbursements Summary'!$C:$C,$C17,'Disbursements Summary'!$A:$A,"NFWB")</f>
        <v>0</v>
      </c>
      <c r="EL17" s="55">
        <f>SUMIFS('Awards Summary'!$H:$H,'Awards Summary'!$B:$B,$C17,'Awards Summary'!$J:$J,"NFTA")</f>
        <v>0</v>
      </c>
      <c r="EM17" s="55">
        <f>SUMIFS('Disbursements Summary'!$E:$E,'Disbursements Summary'!$C:$C,$C17,'Disbursements Summary'!$A:$A,"NFTA")</f>
        <v>0</v>
      </c>
      <c r="EN17" s="55">
        <f>SUMIFS('Awards Summary'!$H:$H,'Awards Summary'!$B:$B,$C17,'Awards Summary'!$J:$J,"OPWDD")</f>
        <v>0</v>
      </c>
      <c r="EO17" s="55">
        <f>SUMIFS('Disbursements Summary'!$E:$E,'Disbursements Summary'!$C:$C,$C17,'Disbursements Summary'!$A:$A,"OPWDD")</f>
        <v>0</v>
      </c>
      <c r="EP17" s="55">
        <f>SUMIFS('Awards Summary'!$H:$H,'Awards Summary'!$B:$B,$C17,'Awards Summary'!$J:$J,"AGING")</f>
        <v>0</v>
      </c>
      <c r="EQ17" s="55">
        <f>SUMIFS('Disbursements Summary'!$E:$E,'Disbursements Summary'!$C:$C,$C17,'Disbursements Summary'!$A:$A,"AGING")</f>
        <v>0</v>
      </c>
      <c r="ER17" s="55">
        <f>SUMIFS('Awards Summary'!$H:$H,'Awards Summary'!$B:$B,$C17,'Awards Summary'!$J:$J,"OPDV")</f>
        <v>0</v>
      </c>
      <c r="ES17" s="55">
        <f>SUMIFS('Disbursements Summary'!$E:$E,'Disbursements Summary'!$C:$C,$C17,'Disbursements Summary'!$A:$A,"OPDV")</f>
        <v>0</v>
      </c>
      <c r="ET17" s="55">
        <f>SUMIFS('Awards Summary'!$H:$H,'Awards Summary'!$B:$B,$C17,'Awards Summary'!$J:$J,"OVS")</f>
        <v>0</v>
      </c>
      <c r="EU17" s="55">
        <f>SUMIFS('Disbursements Summary'!$E:$E,'Disbursements Summary'!$C:$C,$C17,'Disbursements Summary'!$A:$A,"OVS")</f>
        <v>0</v>
      </c>
      <c r="EV17" s="55">
        <f>SUMIFS('Awards Summary'!$H:$H,'Awards Summary'!$B:$B,$C17,'Awards Summary'!$J:$J,"OASAS")</f>
        <v>0</v>
      </c>
      <c r="EW17" s="55">
        <f>SUMIFS('Disbursements Summary'!$E:$E,'Disbursements Summary'!$C:$C,$C17,'Disbursements Summary'!$A:$A,"OASAS")</f>
        <v>0</v>
      </c>
      <c r="EX17" s="55">
        <f>SUMIFS('Awards Summary'!$H:$H,'Awards Summary'!$B:$B,$C17,'Awards Summary'!$J:$J,"OCFS")</f>
        <v>0</v>
      </c>
      <c r="EY17" s="55">
        <f>SUMIFS('Disbursements Summary'!$E:$E,'Disbursements Summary'!$C:$C,$C17,'Disbursements Summary'!$A:$A,"OCFS")</f>
        <v>0</v>
      </c>
      <c r="EZ17" s="55">
        <f>SUMIFS('Awards Summary'!$H:$H,'Awards Summary'!$B:$B,$C17,'Awards Summary'!$J:$J,"OGS")</f>
        <v>0</v>
      </c>
      <c r="FA17" s="55">
        <f>SUMIFS('Disbursements Summary'!$E:$E,'Disbursements Summary'!$C:$C,$C17,'Disbursements Summary'!$A:$A,"OGS")</f>
        <v>0</v>
      </c>
      <c r="FB17" s="55">
        <f>SUMIFS('Awards Summary'!$H:$H,'Awards Summary'!$B:$B,$C17,'Awards Summary'!$J:$J,"OMH")</f>
        <v>0</v>
      </c>
      <c r="FC17" s="55">
        <f>SUMIFS('Disbursements Summary'!$E:$E,'Disbursements Summary'!$C:$C,$C17,'Disbursements Summary'!$A:$A,"OMH")</f>
        <v>0</v>
      </c>
      <c r="FD17" s="55">
        <f>SUMIFS('Awards Summary'!$H:$H,'Awards Summary'!$B:$B,$C17,'Awards Summary'!$J:$J,"PARKS")</f>
        <v>0</v>
      </c>
      <c r="FE17" s="55">
        <f>SUMIFS('Disbursements Summary'!$E:$E,'Disbursements Summary'!$C:$C,$C17,'Disbursements Summary'!$A:$A,"PARKS")</f>
        <v>0</v>
      </c>
      <c r="FF17" s="55">
        <f>SUMIFS('Awards Summary'!$H:$H,'Awards Summary'!$B:$B,$C17,'Awards Summary'!$J:$J,"OTDA")</f>
        <v>0</v>
      </c>
      <c r="FG17" s="55">
        <f>SUMIFS('Disbursements Summary'!$E:$E,'Disbursements Summary'!$C:$C,$C17,'Disbursements Summary'!$A:$A,"OTDA")</f>
        <v>0</v>
      </c>
      <c r="FH17" s="55">
        <f>SUMIFS('Awards Summary'!$H:$H,'Awards Summary'!$B:$B,$C17,'Awards Summary'!$J:$J,"OIG")</f>
        <v>0</v>
      </c>
      <c r="FI17" s="55">
        <f>SUMIFS('Disbursements Summary'!$E:$E,'Disbursements Summary'!$C:$C,$C17,'Disbursements Summary'!$A:$A,"OIG")</f>
        <v>0</v>
      </c>
      <c r="FJ17" s="55">
        <f>SUMIFS('Awards Summary'!$H:$H,'Awards Summary'!$B:$B,$C17,'Awards Summary'!$J:$J,"OMIG")</f>
        <v>0</v>
      </c>
      <c r="FK17" s="55">
        <f>SUMIFS('Disbursements Summary'!$E:$E,'Disbursements Summary'!$C:$C,$C17,'Disbursements Summary'!$A:$A,"OMIG")</f>
        <v>0</v>
      </c>
      <c r="FL17" s="55">
        <f>SUMIFS('Awards Summary'!$H:$H,'Awards Summary'!$B:$B,$C17,'Awards Summary'!$J:$J,"OSC")</f>
        <v>0</v>
      </c>
      <c r="FM17" s="55">
        <f>SUMIFS('Disbursements Summary'!$E:$E,'Disbursements Summary'!$C:$C,$C17,'Disbursements Summary'!$A:$A,"OSC")</f>
        <v>0</v>
      </c>
      <c r="FN17" s="55">
        <f>SUMIFS('Awards Summary'!$H:$H,'Awards Summary'!$B:$B,$C17,'Awards Summary'!$J:$J,"OWIG")</f>
        <v>0</v>
      </c>
      <c r="FO17" s="55">
        <f>SUMIFS('Disbursements Summary'!$E:$E,'Disbursements Summary'!$C:$C,$C17,'Disbursements Summary'!$A:$A,"OWIG")</f>
        <v>0</v>
      </c>
      <c r="FP17" s="55">
        <f>SUMIFS('Awards Summary'!$H:$H,'Awards Summary'!$B:$B,$C17,'Awards Summary'!$J:$J,"OGDEN")</f>
        <v>0</v>
      </c>
      <c r="FQ17" s="55">
        <f>SUMIFS('Disbursements Summary'!$E:$E,'Disbursements Summary'!$C:$C,$C17,'Disbursements Summary'!$A:$A,"OGDEN")</f>
        <v>0</v>
      </c>
      <c r="FR17" s="55">
        <f>SUMIFS('Awards Summary'!$H:$H,'Awards Summary'!$B:$B,$C17,'Awards Summary'!$J:$J,"ORDA")</f>
        <v>0</v>
      </c>
      <c r="FS17" s="55">
        <f>SUMIFS('Disbursements Summary'!$E:$E,'Disbursements Summary'!$C:$C,$C17,'Disbursements Summary'!$A:$A,"ORDA")</f>
        <v>0</v>
      </c>
      <c r="FT17" s="55">
        <f>SUMIFS('Awards Summary'!$H:$H,'Awards Summary'!$B:$B,$C17,'Awards Summary'!$J:$J,"OSWEGO")</f>
        <v>0</v>
      </c>
      <c r="FU17" s="55">
        <f>SUMIFS('Disbursements Summary'!$E:$E,'Disbursements Summary'!$C:$C,$C17,'Disbursements Summary'!$A:$A,"OSWEGO")</f>
        <v>0</v>
      </c>
      <c r="FV17" s="55">
        <f>SUMIFS('Awards Summary'!$H:$H,'Awards Summary'!$B:$B,$C17,'Awards Summary'!$J:$J,"PERB")</f>
        <v>0</v>
      </c>
      <c r="FW17" s="55">
        <f>SUMIFS('Disbursements Summary'!$E:$E,'Disbursements Summary'!$C:$C,$C17,'Disbursements Summary'!$A:$A,"PERB")</f>
        <v>0</v>
      </c>
      <c r="FX17" s="55">
        <f>SUMIFS('Awards Summary'!$H:$H,'Awards Summary'!$B:$B,$C17,'Awards Summary'!$J:$J,"RGRTA")</f>
        <v>0</v>
      </c>
      <c r="FY17" s="55">
        <f>SUMIFS('Disbursements Summary'!$E:$E,'Disbursements Summary'!$C:$C,$C17,'Disbursements Summary'!$A:$A,"RGRTA")</f>
        <v>0</v>
      </c>
      <c r="FZ17" s="55">
        <f>SUMIFS('Awards Summary'!$H:$H,'Awards Summary'!$B:$B,$C17,'Awards Summary'!$J:$J,"RIOC")</f>
        <v>0</v>
      </c>
      <c r="GA17" s="55">
        <f>SUMIFS('Disbursements Summary'!$E:$E,'Disbursements Summary'!$C:$C,$C17,'Disbursements Summary'!$A:$A,"RIOC")</f>
        <v>0</v>
      </c>
      <c r="GB17" s="55">
        <f>SUMIFS('Awards Summary'!$H:$H,'Awards Summary'!$B:$B,$C17,'Awards Summary'!$J:$J,"RPCI")</f>
        <v>0</v>
      </c>
      <c r="GC17" s="55">
        <f>SUMIFS('Disbursements Summary'!$E:$E,'Disbursements Summary'!$C:$C,$C17,'Disbursements Summary'!$A:$A,"RPCI")</f>
        <v>0</v>
      </c>
      <c r="GD17" s="55">
        <f>SUMIFS('Awards Summary'!$H:$H,'Awards Summary'!$B:$B,$C17,'Awards Summary'!$J:$J,"SMDA")</f>
        <v>0</v>
      </c>
      <c r="GE17" s="55">
        <f>SUMIFS('Disbursements Summary'!$E:$E,'Disbursements Summary'!$C:$C,$C17,'Disbursements Summary'!$A:$A,"SMDA")</f>
        <v>0</v>
      </c>
      <c r="GF17" s="55">
        <f>SUMIFS('Awards Summary'!$H:$H,'Awards Summary'!$B:$B,$C17,'Awards Summary'!$J:$J,"SCOC")</f>
        <v>0</v>
      </c>
      <c r="GG17" s="55">
        <f>SUMIFS('Disbursements Summary'!$E:$E,'Disbursements Summary'!$C:$C,$C17,'Disbursements Summary'!$A:$A,"SCOC")</f>
        <v>0</v>
      </c>
      <c r="GH17" s="55">
        <f>SUMIFS('Awards Summary'!$H:$H,'Awards Summary'!$B:$B,$C17,'Awards Summary'!$J:$J,"SUCF")</f>
        <v>0</v>
      </c>
      <c r="GI17" s="55">
        <f>SUMIFS('Disbursements Summary'!$E:$E,'Disbursements Summary'!$C:$C,$C17,'Disbursements Summary'!$A:$A,"SUCF")</f>
        <v>0</v>
      </c>
      <c r="GJ17" s="55">
        <f>SUMIFS('Awards Summary'!$H:$H,'Awards Summary'!$B:$B,$C17,'Awards Summary'!$J:$J,"SUNY")</f>
        <v>0</v>
      </c>
      <c r="GK17" s="55">
        <f>SUMIFS('Disbursements Summary'!$E:$E,'Disbursements Summary'!$C:$C,$C17,'Disbursements Summary'!$A:$A,"SUNY")</f>
        <v>0</v>
      </c>
      <c r="GL17" s="55">
        <f>SUMIFS('Awards Summary'!$H:$H,'Awards Summary'!$B:$B,$C17,'Awards Summary'!$J:$J,"SRAA")</f>
        <v>0</v>
      </c>
      <c r="GM17" s="55">
        <f>SUMIFS('Disbursements Summary'!$E:$E,'Disbursements Summary'!$C:$C,$C17,'Disbursements Summary'!$A:$A,"SRAA")</f>
        <v>0</v>
      </c>
      <c r="GN17" s="55">
        <f>SUMIFS('Awards Summary'!$H:$H,'Awards Summary'!$B:$B,$C17,'Awards Summary'!$J:$J,"UNDC")</f>
        <v>0</v>
      </c>
      <c r="GO17" s="55">
        <f>SUMIFS('Disbursements Summary'!$E:$E,'Disbursements Summary'!$C:$C,$C17,'Disbursements Summary'!$A:$A,"UNDC")</f>
        <v>0</v>
      </c>
      <c r="GP17" s="55">
        <f>SUMIFS('Awards Summary'!$H:$H,'Awards Summary'!$B:$B,$C17,'Awards Summary'!$J:$J,"MVWA")</f>
        <v>0</v>
      </c>
      <c r="GQ17" s="55">
        <f>SUMIFS('Disbursements Summary'!$E:$E,'Disbursements Summary'!$C:$C,$C17,'Disbursements Summary'!$A:$A,"MVWA")</f>
        <v>0</v>
      </c>
      <c r="GR17" s="55">
        <f>SUMIFS('Awards Summary'!$H:$H,'Awards Summary'!$B:$B,$C17,'Awards Summary'!$J:$J,"WMC")</f>
        <v>0</v>
      </c>
      <c r="GS17" s="55">
        <f>SUMIFS('Disbursements Summary'!$E:$E,'Disbursements Summary'!$C:$C,$C17,'Disbursements Summary'!$A:$A,"WMC")</f>
        <v>0</v>
      </c>
      <c r="GT17" s="55">
        <f>SUMIFS('Awards Summary'!$H:$H,'Awards Summary'!$B:$B,$C17,'Awards Summary'!$J:$J,"WCB")</f>
        <v>0</v>
      </c>
      <c r="GU17" s="55">
        <f>SUMIFS('Disbursements Summary'!$E:$E,'Disbursements Summary'!$C:$C,$C17,'Disbursements Summary'!$A:$A,"WCB")</f>
        <v>0</v>
      </c>
      <c r="GV17" s="32">
        <f t="shared" si="1"/>
        <v>0</v>
      </c>
      <c r="GW17" s="32">
        <f t="shared" si="2"/>
        <v>0</v>
      </c>
      <c r="GX17" s="30" t="b">
        <f t="shared" si="3"/>
        <v>1</v>
      </c>
      <c r="GY17" s="30" t="b">
        <f t="shared" si="4"/>
        <v>1</v>
      </c>
    </row>
    <row r="18" spans="1:207" s="30" customFormat="1">
      <c r="A18" s="22" t="str">
        <f t="shared" si="0"/>
        <v/>
      </c>
      <c r="B18" s="40" t="s">
        <v>77</v>
      </c>
      <c r="C18" s="16">
        <v>141032</v>
      </c>
      <c r="D18" s="26">
        <f>COUNTIF('Awards Summary'!B:B,"141032")</f>
        <v>0</v>
      </c>
      <c r="E18" s="45">
        <f>SUMIFS('Awards Summary'!H:H,'Awards Summary'!B:B,"141032")</f>
        <v>0</v>
      </c>
      <c r="F18" s="46">
        <f>SUMIFS('Disbursements Summary'!E:E,'Disbursements Summary'!C:C, "141032")</f>
        <v>0</v>
      </c>
      <c r="H18" s="55">
        <f>SUMIFS('Awards Summary'!$H:$H,'Awards Summary'!$B:$B,$C18,'Awards Summary'!$J:$J,"APA")</f>
        <v>0</v>
      </c>
      <c r="I18" s="55">
        <f>SUMIFS('Disbursements Summary'!$E:$E,'Disbursements Summary'!$C:$C,$C18,'Disbursements Summary'!$A:$A,"APA")</f>
        <v>0</v>
      </c>
      <c r="J18" s="55">
        <f>SUMIFS('Awards Summary'!$H:$H,'Awards Summary'!$B:$B,$C18,'Awards Summary'!$J:$J,"Ag&amp;Horse")</f>
        <v>0</v>
      </c>
      <c r="K18" s="55">
        <f>SUMIFS('Disbursements Summary'!$E:$E,'Disbursements Summary'!$C:$C,$C18,'Disbursements Summary'!$A:$A,"Ag&amp;Horse")</f>
        <v>0</v>
      </c>
      <c r="L18" s="55">
        <f>SUMIFS('Awards Summary'!$H:$H,'Awards Summary'!$B:$B,$C18,'Awards Summary'!$J:$J,"ACAA")</f>
        <v>0</v>
      </c>
      <c r="M18" s="55">
        <f>SUMIFS('Disbursements Summary'!$E:$E,'Disbursements Summary'!$C:$C,$C18,'Disbursements Summary'!$A:$A,"ACAA")</f>
        <v>0</v>
      </c>
      <c r="N18" s="55">
        <f>SUMIFS('Awards Summary'!$H:$H,'Awards Summary'!$B:$B,$C18,'Awards Summary'!$J:$J,"PortAlbany")</f>
        <v>0</v>
      </c>
      <c r="O18" s="55">
        <f>SUMIFS('Disbursements Summary'!$E:$E,'Disbursements Summary'!$C:$C,$C18,'Disbursements Summary'!$A:$A,"PortAlbany")</f>
        <v>0</v>
      </c>
      <c r="P18" s="55">
        <f>SUMIFS('Awards Summary'!$H:$H,'Awards Summary'!$B:$B,$C18,'Awards Summary'!$J:$J,"SLA")</f>
        <v>0</v>
      </c>
      <c r="Q18" s="55">
        <f>SUMIFS('Disbursements Summary'!$E:$E,'Disbursements Summary'!$C:$C,$C18,'Disbursements Summary'!$A:$A,"SLA")</f>
        <v>0</v>
      </c>
      <c r="R18" s="55">
        <f>SUMIFS('Awards Summary'!$H:$H,'Awards Summary'!$B:$B,$C18,'Awards Summary'!$J:$J,"BPCA")</f>
        <v>0</v>
      </c>
      <c r="S18" s="55">
        <f>SUMIFS('Disbursements Summary'!$E:$E,'Disbursements Summary'!$C:$C,$C18,'Disbursements Summary'!$A:$A,"BPCA")</f>
        <v>0</v>
      </c>
      <c r="T18" s="55">
        <f>SUMIFS('Awards Summary'!$H:$H,'Awards Summary'!$B:$B,$C18,'Awards Summary'!$J:$J,"ELECTIONS")</f>
        <v>0</v>
      </c>
      <c r="U18" s="55">
        <f>SUMIFS('Disbursements Summary'!$E:$E,'Disbursements Summary'!$C:$C,$C18,'Disbursements Summary'!$A:$A,"ELECTIONS")</f>
        <v>0</v>
      </c>
      <c r="V18" s="55">
        <f>SUMIFS('Awards Summary'!$H:$H,'Awards Summary'!$B:$B,$C18,'Awards Summary'!$J:$J,"BFSA")</f>
        <v>0</v>
      </c>
      <c r="W18" s="55">
        <f>SUMIFS('Disbursements Summary'!$E:$E,'Disbursements Summary'!$C:$C,$C18,'Disbursements Summary'!$A:$A,"BFSA")</f>
        <v>0</v>
      </c>
      <c r="X18" s="55">
        <f>SUMIFS('Awards Summary'!$H:$H,'Awards Summary'!$B:$B,$C18,'Awards Summary'!$J:$J,"CDTA")</f>
        <v>0</v>
      </c>
      <c r="Y18" s="55">
        <f>SUMIFS('Disbursements Summary'!$E:$E,'Disbursements Summary'!$C:$C,$C18,'Disbursements Summary'!$A:$A,"CDTA")</f>
        <v>0</v>
      </c>
      <c r="Z18" s="55">
        <f>SUMIFS('Awards Summary'!$H:$H,'Awards Summary'!$B:$B,$C18,'Awards Summary'!$J:$J,"CCWSA")</f>
        <v>0</v>
      </c>
      <c r="AA18" s="55">
        <f>SUMIFS('Disbursements Summary'!$E:$E,'Disbursements Summary'!$C:$C,$C18,'Disbursements Summary'!$A:$A,"CCWSA")</f>
        <v>0</v>
      </c>
      <c r="AB18" s="55">
        <f>SUMIFS('Awards Summary'!$H:$H,'Awards Summary'!$B:$B,$C18,'Awards Summary'!$J:$J,"CNYRTA")</f>
        <v>0</v>
      </c>
      <c r="AC18" s="55">
        <f>SUMIFS('Disbursements Summary'!$E:$E,'Disbursements Summary'!$C:$C,$C18,'Disbursements Summary'!$A:$A,"CNYRTA")</f>
        <v>0</v>
      </c>
      <c r="AD18" s="55">
        <f>SUMIFS('Awards Summary'!$H:$H,'Awards Summary'!$B:$B,$C18,'Awards Summary'!$J:$J,"CUCF")</f>
        <v>0</v>
      </c>
      <c r="AE18" s="55">
        <f>SUMIFS('Disbursements Summary'!$E:$E,'Disbursements Summary'!$C:$C,$C18,'Disbursements Summary'!$A:$A,"CUCF")</f>
        <v>0</v>
      </c>
      <c r="AF18" s="55">
        <f>SUMIFS('Awards Summary'!$H:$H,'Awards Summary'!$B:$B,$C18,'Awards Summary'!$J:$J,"CUNY")</f>
        <v>0</v>
      </c>
      <c r="AG18" s="55">
        <f>SUMIFS('Disbursements Summary'!$E:$E,'Disbursements Summary'!$C:$C,$C18,'Disbursements Summary'!$A:$A,"CUNY")</f>
        <v>0</v>
      </c>
      <c r="AH18" s="55">
        <f>SUMIFS('Awards Summary'!$H:$H,'Awards Summary'!$B:$B,$C18,'Awards Summary'!$J:$J,"ARTS")</f>
        <v>0</v>
      </c>
      <c r="AI18" s="55">
        <f>SUMIFS('Disbursements Summary'!$E:$E,'Disbursements Summary'!$C:$C,$C18,'Disbursements Summary'!$A:$A,"ARTS")</f>
        <v>0</v>
      </c>
      <c r="AJ18" s="55">
        <f>SUMIFS('Awards Summary'!$H:$H,'Awards Summary'!$B:$B,$C18,'Awards Summary'!$J:$J,"AG&amp;MKTS")</f>
        <v>0</v>
      </c>
      <c r="AK18" s="55">
        <f>SUMIFS('Disbursements Summary'!$E:$E,'Disbursements Summary'!$C:$C,$C18,'Disbursements Summary'!$A:$A,"AG&amp;MKTS")</f>
        <v>0</v>
      </c>
      <c r="AL18" s="55">
        <f>SUMIFS('Awards Summary'!$H:$H,'Awards Summary'!$B:$B,$C18,'Awards Summary'!$J:$J,"CS")</f>
        <v>0</v>
      </c>
      <c r="AM18" s="55">
        <f>SUMIFS('Disbursements Summary'!$E:$E,'Disbursements Summary'!$C:$C,$C18,'Disbursements Summary'!$A:$A,"CS")</f>
        <v>0</v>
      </c>
      <c r="AN18" s="55">
        <f>SUMIFS('Awards Summary'!$H:$H,'Awards Summary'!$B:$B,$C18,'Awards Summary'!$J:$J,"DOCCS")</f>
        <v>0</v>
      </c>
      <c r="AO18" s="55">
        <f>SUMIFS('Disbursements Summary'!$E:$E,'Disbursements Summary'!$C:$C,$C18,'Disbursements Summary'!$A:$A,"DOCCS")</f>
        <v>0</v>
      </c>
      <c r="AP18" s="55">
        <f>SUMIFS('Awards Summary'!$H:$H,'Awards Summary'!$B:$B,$C18,'Awards Summary'!$J:$J,"DED")</f>
        <v>0</v>
      </c>
      <c r="AQ18" s="55">
        <f>SUMIFS('Disbursements Summary'!$E:$E,'Disbursements Summary'!$C:$C,$C18,'Disbursements Summary'!$A:$A,"DED")</f>
        <v>0</v>
      </c>
      <c r="AR18" s="55">
        <f>SUMIFS('Awards Summary'!$H:$H,'Awards Summary'!$B:$B,$C18,'Awards Summary'!$J:$J,"DEC")</f>
        <v>0</v>
      </c>
      <c r="AS18" s="55">
        <f>SUMIFS('Disbursements Summary'!$E:$E,'Disbursements Summary'!$C:$C,$C18,'Disbursements Summary'!$A:$A,"DEC")</f>
        <v>0</v>
      </c>
      <c r="AT18" s="55">
        <f>SUMIFS('Awards Summary'!$H:$H,'Awards Summary'!$B:$B,$C18,'Awards Summary'!$J:$J,"DFS")</f>
        <v>0</v>
      </c>
      <c r="AU18" s="55">
        <f>SUMIFS('Disbursements Summary'!$E:$E,'Disbursements Summary'!$C:$C,$C18,'Disbursements Summary'!$A:$A,"DFS")</f>
        <v>0</v>
      </c>
      <c r="AV18" s="55">
        <f>SUMIFS('Awards Summary'!$H:$H,'Awards Summary'!$B:$B,$C18,'Awards Summary'!$J:$J,"DOH")</f>
        <v>0</v>
      </c>
      <c r="AW18" s="55">
        <f>SUMIFS('Disbursements Summary'!$E:$E,'Disbursements Summary'!$C:$C,$C18,'Disbursements Summary'!$A:$A,"DOH")</f>
        <v>0</v>
      </c>
      <c r="AX18" s="55">
        <f>SUMIFS('Awards Summary'!$H:$H,'Awards Summary'!$B:$B,$C18,'Awards Summary'!$J:$J,"DOL")</f>
        <v>0</v>
      </c>
      <c r="AY18" s="55">
        <f>SUMIFS('Disbursements Summary'!$E:$E,'Disbursements Summary'!$C:$C,$C18,'Disbursements Summary'!$A:$A,"DOL")</f>
        <v>0</v>
      </c>
      <c r="AZ18" s="55">
        <f>SUMIFS('Awards Summary'!$H:$H,'Awards Summary'!$B:$B,$C18,'Awards Summary'!$J:$J,"DMV")</f>
        <v>0</v>
      </c>
      <c r="BA18" s="55">
        <f>SUMIFS('Disbursements Summary'!$E:$E,'Disbursements Summary'!$C:$C,$C18,'Disbursements Summary'!$A:$A,"DMV")</f>
        <v>0</v>
      </c>
      <c r="BB18" s="55">
        <f>SUMIFS('Awards Summary'!$H:$H,'Awards Summary'!$B:$B,$C18,'Awards Summary'!$J:$J,"DPS")</f>
        <v>0</v>
      </c>
      <c r="BC18" s="55">
        <f>SUMIFS('Disbursements Summary'!$E:$E,'Disbursements Summary'!$C:$C,$C18,'Disbursements Summary'!$A:$A,"DPS")</f>
        <v>0</v>
      </c>
      <c r="BD18" s="55">
        <f>SUMIFS('Awards Summary'!$H:$H,'Awards Summary'!$B:$B,$C18,'Awards Summary'!$J:$J,"DOS")</f>
        <v>0</v>
      </c>
      <c r="BE18" s="55">
        <f>SUMIFS('Disbursements Summary'!$E:$E,'Disbursements Summary'!$C:$C,$C18,'Disbursements Summary'!$A:$A,"DOS")</f>
        <v>0</v>
      </c>
      <c r="BF18" s="55">
        <f>SUMIFS('Awards Summary'!$H:$H,'Awards Summary'!$B:$B,$C18,'Awards Summary'!$J:$J,"TAX")</f>
        <v>0</v>
      </c>
      <c r="BG18" s="55">
        <f>SUMIFS('Disbursements Summary'!$E:$E,'Disbursements Summary'!$C:$C,$C18,'Disbursements Summary'!$A:$A,"TAX")</f>
        <v>0</v>
      </c>
      <c r="BH18" s="55">
        <f>SUMIFS('Awards Summary'!$H:$H,'Awards Summary'!$B:$B,$C18,'Awards Summary'!$J:$J,"DOT")</f>
        <v>0</v>
      </c>
      <c r="BI18" s="55">
        <f>SUMIFS('Disbursements Summary'!$E:$E,'Disbursements Summary'!$C:$C,$C18,'Disbursements Summary'!$A:$A,"DOT")</f>
        <v>0</v>
      </c>
      <c r="BJ18" s="55">
        <f>SUMIFS('Awards Summary'!$H:$H,'Awards Summary'!$B:$B,$C18,'Awards Summary'!$J:$J,"DANC")</f>
        <v>0</v>
      </c>
      <c r="BK18" s="55">
        <f>SUMIFS('Disbursements Summary'!$E:$E,'Disbursements Summary'!$C:$C,$C18,'Disbursements Summary'!$A:$A,"DANC")</f>
        <v>0</v>
      </c>
      <c r="BL18" s="55">
        <f>SUMIFS('Awards Summary'!$H:$H,'Awards Summary'!$B:$B,$C18,'Awards Summary'!$J:$J,"DOB")</f>
        <v>0</v>
      </c>
      <c r="BM18" s="55">
        <f>SUMIFS('Disbursements Summary'!$E:$E,'Disbursements Summary'!$C:$C,$C18,'Disbursements Summary'!$A:$A,"DOB")</f>
        <v>0</v>
      </c>
      <c r="BN18" s="55">
        <f>SUMIFS('Awards Summary'!$H:$H,'Awards Summary'!$B:$B,$C18,'Awards Summary'!$J:$J,"DCJS")</f>
        <v>0</v>
      </c>
      <c r="BO18" s="55">
        <f>SUMIFS('Disbursements Summary'!$E:$E,'Disbursements Summary'!$C:$C,$C18,'Disbursements Summary'!$A:$A,"DCJS")</f>
        <v>0</v>
      </c>
      <c r="BP18" s="55">
        <f>SUMIFS('Awards Summary'!$H:$H,'Awards Summary'!$B:$B,$C18,'Awards Summary'!$J:$J,"DHSES")</f>
        <v>0</v>
      </c>
      <c r="BQ18" s="55">
        <f>SUMIFS('Disbursements Summary'!$E:$E,'Disbursements Summary'!$C:$C,$C18,'Disbursements Summary'!$A:$A,"DHSES")</f>
        <v>0</v>
      </c>
      <c r="BR18" s="55">
        <f>SUMIFS('Awards Summary'!$H:$H,'Awards Summary'!$B:$B,$C18,'Awards Summary'!$J:$J,"DHR")</f>
        <v>0</v>
      </c>
      <c r="BS18" s="55">
        <f>SUMIFS('Disbursements Summary'!$E:$E,'Disbursements Summary'!$C:$C,$C18,'Disbursements Summary'!$A:$A,"DHR")</f>
        <v>0</v>
      </c>
      <c r="BT18" s="55">
        <f>SUMIFS('Awards Summary'!$H:$H,'Awards Summary'!$B:$B,$C18,'Awards Summary'!$J:$J,"DMNA")</f>
        <v>0</v>
      </c>
      <c r="BU18" s="55">
        <f>SUMIFS('Disbursements Summary'!$E:$E,'Disbursements Summary'!$C:$C,$C18,'Disbursements Summary'!$A:$A,"DMNA")</f>
        <v>0</v>
      </c>
      <c r="BV18" s="55">
        <f>SUMIFS('Awards Summary'!$H:$H,'Awards Summary'!$B:$B,$C18,'Awards Summary'!$J:$J,"TROOPERS")</f>
        <v>0</v>
      </c>
      <c r="BW18" s="55">
        <f>SUMIFS('Disbursements Summary'!$E:$E,'Disbursements Summary'!$C:$C,$C18,'Disbursements Summary'!$A:$A,"TROOPERS")</f>
        <v>0</v>
      </c>
      <c r="BX18" s="55">
        <f>SUMIFS('Awards Summary'!$H:$H,'Awards Summary'!$B:$B,$C18,'Awards Summary'!$J:$J,"DVA")</f>
        <v>0</v>
      </c>
      <c r="BY18" s="55">
        <f>SUMIFS('Disbursements Summary'!$E:$E,'Disbursements Summary'!$C:$C,$C18,'Disbursements Summary'!$A:$A,"DVA")</f>
        <v>0</v>
      </c>
      <c r="BZ18" s="55">
        <f>SUMIFS('Awards Summary'!$H:$H,'Awards Summary'!$B:$B,$C18,'Awards Summary'!$J:$J,"DASNY")</f>
        <v>0</v>
      </c>
      <c r="CA18" s="55">
        <f>SUMIFS('Disbursements Summary'!$E:$E,'Disbursements Summary'!$C:$C,$C18,'Disbursements Summary'!$A:$A,"DASNY")</f>
        <v>0</v>
      </c>
      <c r="CB18" s="55">
        <f>SUMIFS('Awards Summary'!$H:$H,'Awards Summary'!$B:$B,$C18,'Awards Summary'!$J:$J,"EGG")</f>
        <v>0</v>
      </c>
      <c r="CC18" s="55">
        <f>SUMIFS('Disbursements Summary'!$E:$E,'Disbursements Summary'!$C:$C,$C18,'Disbursements Summary'!$A:$A,"EGG")</f>
        <v>0</v>
      </c>
      <c r="CD18" s="55">
        <f>SUMIFS('Awards Summary'!$H:$H,'Awards Summary'!$B:$B,$C18,'Awards Summary'!$J:$J,"ESD")</f>
        <v>0</v>
      </c>
      <c r="CE18" s="55">
        <f>SUMIFS('Disbursements Summary'!$E:$E,'Disbursements Summary'!$C:$C,$C18,'Disbursements Summary'!$A:$A,"ESD")</f>
        <v>0</v>
      </c>
      <c r="CF18" s="55">
        <f>SUMIFS('Awards Summary'!$H:$H,'Awards Summary'!$B:$B,$C18,'Awards Summary'!$J:$J,"EFC")</f>
        <v>0</v>
      </c>
      <c r="CG18" s="55">
        <f>SUMIFS('Disbursements Summary'!$E:$E,'Disbursements Summary'!$C:$C,$C18,'Disbursements Summary'!$A:$A,"EFC")</f>
        <v>0</v>
      </c>
      <c r="CH18" s="55">
        <f>SUMIFS('Awards Summary'!$H:$H,'Awards Summary'!$B:$B,$C18,'Awards Summary'!$J:$J,"ECFSA")</f>
        <v>0</v>
      </c>
      <c r="CI18" s="55">
        <f>SUMIFS('Disbursements Summary'!$E:$E,'Disbursements Summary'!$C:$C,$C18,'Disbursements Summary'!$A:$A,"ECFSA")</f>
        <v>0</v>
      </c>
      <c r="CJ18" s="55">
        <f>SUMIFS('Awards Summary'!$H:$H,'Awards Summary'!$B:$B,$C18,'Awards Summary'!$J:$J,"ECMC")</f>
        <v>0</v>
      </c>
      <c r="CK18" s="55">
        <f>SUMIFS('Disbursements Summary'!$E:$E,'Disbursements Summary'!$C:$C,$C18,'Disbursements Summary'!$A:$A,"ECMC")</f>
        <v>0</v>
      </c>
      <c r="CL18" s="55">
        <f>SUMIFS('Awards Summary'!$H:$H,'Awards Summary'!$B:$B,$C18,'Awards Summary'!$J:$J,"CHAMBER")</f>
        <v>0</v>
      </c>
      <c r="CM18" s="55">
        <f>SUMIFS('Disbursements Summary'!$E:$E,'Disbursements Summary'!$C:$C,$C18,'Disbursements Summary'!$A:$A,"CHAMBER")</f>
        <v>0</v>
      </c>
      <c r="CN18" s="55">
        <f>SUMIFS('Awards Summary'!$H:$H,'Awards Summary'!$B:$B,$C18,'Awards Summary'!$J:$J,"GAMING")</f>
        <v>0</v>
      </c>
      <c r="CO18" s="55">
        <f>SUMIFS('Disbursements Summary'!$E:$E,'Disbursements Summary'!$C:$C,$C18,'Disbursements Summary'!$A:$A,"GAMING")</f>
        <v>0</v>
      </c>
      <c r="CP18" s="55">
        <f>SUMIFS('Awards Summary'!$H:$H,'Awards Summary'!$B:$B,$C18,'Awards Summary'!$J:$J,"GOER")</f>
        <v>0</v>
      </c>
      <c r="CQ18" s="55">
        <f>SUMIFS('Disbursements Summary'!$E:$E,'Disbursements Summary'!$C:$C,$C18,'Disbursements Summary'!$A:$A,"GOER")</f>
        <v>0</v>
      </c>
      <c r="CR18" s="55">
        <f>SUMIFS('Awards Summary'!$H:$H,'Awards Summary'!$B:$B,$C18,'Awards Summary'!$J:$J,"HESC")</f>
        <v>0</v>
      </c>
      <c r="CS18" s="55">
        <f>SUMIFS('Disbursements Summary'!$E:$E,'Disbursements Summary'!$C:$C,$C18,'Disbursements Summary'!$A:$A,"HESC")</f>
        <v>0</v>
      </c>
      <c r="CT18" s="55">
        <f>SUMIFS('Awards Summary'!$H:$H,'Awards Summary'!$B:$B,$C18,'Awards Summary'!$J:$J,"GOSR")</f>
        <v>0</v>
      </c>
      <c r="CU18" s="55">
        <f>SUMIFS('Disbursements Summary'!$E:$E,'Disbursements Summary'!$C:$C,$C18,'Disbursements Summary'!$A:$A,"GOSR")</f>
        <v>0</v>
      </c>
      <c r="CV18" s="55">
        <f>SUMIFS('Awards Summary'!$H:$H,'Awards Summary'!$B:$B,$C18,'Awards Summary'!$J:$J,"HRPT")</f>
        <v>0</v>
      </c>
      <c r="CW18" s="55">
        <f>SUMIFS('Disbursements Summary'!$E:$E,'Disbursements Summary'!$C:$C,$C18,'Disbursements Summary'!$A:$A,"HRPT")</f>
        <v>0</v>
      </c>
      <c r="CX18" s="55">
        <f>SUMIFS('Awards Summary'!$H:$H,'Awards Summary'!$B:$B,$C18,'Awards Summary'!$J:$J,"HRBRRD")</f>
        <v>0</v>
      </c>
      <c r="CY18" s="55">
        <f>SUMIFS('Disbursements Summary'!$E:$E,'Disbursements Summary'!$C:$C,$C18,'Disbursements Summary'!$A:$A,"HRBRRD")</f>
        <v>0</v>
      </c>
      <c r="CZ18" s="55">
        <f>SUMIFS('Awards Summary'!$H:$H,'Awards Summary'!$B:$B,$C18,'Awards Summary'!$J:$J,"ITS")</f>
        <v>0</v>
      </c>
      <c r="DA18" s="55">
        <f>SUMIFS('Disbursements Summary'!$E:$E,'Disbursements Summary'!$C:$C,$C18,'Disbursements Summary'!$A:$A,"ITS")</f>
        <v>0</v>
      </c>
      <c r="DB18" s="55">
        <f>SUMIFS('Awards Summary'!$H:$H,'Awards Summary'!$B:$B,$C18,'Awards Summary'!$J:$J,"JAVITS")</f>
        <v>0</v>
      </c>
      <c r="DC18" s="55">
        <f>SUMIFS('Disbursements Summary'!$E:$E,'Disbursements Summary'!$C:$C,$C18,'Disbursements Summary'!$A:$A,"JAVITS")</f>
        <v>0</v>
      </c>
      <c r="DD18" s="55">
        <f>SUMIFS('Awards Summary'!$H:$H,'Awards Summary'!$B:$B,$C18,'Awards Summary'!$J:$J,"JCOPE")</f>
        <v>0</v>
      </c>
      <c r="DE18" s="55">
        <f>SUMIFS('Disbursements Summary'!$E:$E,'Disbursements Summary'!$C:$C,$C18,'Disbursements Summary'!$A:$A,"JCOPE")</f>
        <v>0</v>
      </c>
      <c r="DF18" s="55">
        <f>SUMIFS('Awards Summary'!$H:$H,'Awards Summary'!$B:$B,$C18,'Awards Summary'!$J:$J,"JUSTICE")</f>
        <v>0</v>
      </c>
      <c r="DG18" s="55">
        <f>SUMIFS('Disbursements Summary'!$E:$E,'Disbursements Summary'!$C:$C,$C18,'Disbursements Summary'!$A:$A,"JUSTICE")</f>
        <v>0</v>
      </c>
      <c r="DH18" s="55">
        <f>SUMIFS('Awards Summary'!$H:$H,'Awards Summary'!$B:$B,$C18,'Awards Summary'!$J:$J,"LCWSA")</f>
        <v>0</v>
      </c>
      <c r="DI18" s="55">
        <f>SUMIFS('Disbursements Summary'!$E:$E,'Disbursements Summary'!$C:$C,$C18,'Disbursements Summary'!$A:$A,"LCWSA")</f>
        <v>0</v>
      </c>
      <c r="DJ18" s="55">
        <f>SUMIFS('Awards Summary'!$H:$H,'Awards Summary'!$B:$B,$C18,'Awards Summary'!$J:$J,"LIPA")</f>
        <v>0</v>
      </c>
      <c r="DK18" s="55">
        <f>SUMIFS('Disbursements Summary'!$E:$E,'Disbursements Summary'!$C:$C,$C18,'Disbursements Summary'!$A:$A,"LIPA")</f>
        <v>0</v>
      </c>
      <c r="DL18" s="55">
        <f>SUMIFS('Awards Summary'!$H:$H,'Awards Summary'!$B:$B,$C18,'Awards Summary'!$J:$J,"MTA")</f>
        <v>0</v>
      </c>
      <c r="DM18" s="55">
        <f>SUMIFS('Disbursements Summary'!$E:$E,'Disbursements Summary'!$C:$C,$C18,'Disbursements Summary'!$A:$A,"MTA")</f>
        <v>0</v>
      </c>
      <c r="DN18" s="55">
        <f>SUMIFS('Awards Summary'!$H:$H,'Awards Summary'!$B:$B,$C18,'Awards Summary'!$J:$J,"NIFA")</f>
        <v>0</v>
      </c>
      <c r="DO18" s="55">
        <f>SUMIFS('Disbursements Summary'!$E:$E,'Disbursements Summary'!$C:$C,$C18,'Disbursements Summary'!$A:$A,"NIFA")</f>
        <v>0</v>
      </c>
      <c r="DP18" s="55">
        <f>SUMIFS('Awards Summary'!$H:$H,'Awards Summary'!$B:$B,$C18,'Awards Summary'!$J:$J,"NHCC")</f>
        <v>0</v>
      </c>
      <c r="DQ18" s="55">
        <f>SUMIFS('Disbursements Summary'!$E:$E,'Disbursements Summary'!$C:$C,$C18,'Disbursements Summary'!$A:$A,"NHCC")</f>
        <v>0</v>
      </c>
      <c r="DR18" s="55">
        <f>SUMIFS('Awards Summary'!$H:$H,'Awards Summary'!$B:$B,$C18,'Awards Summary'!$J:$J,"NHT")</f>
        <v>0</v>
      </c>
      <c r="DS18" s="55">
        <f>SUMIFS('Disbursements Summary'!$E:$E,'Disbursements Summary'!$C:$C,$C18,'Disbursements Summary'!$A:$A,"NHT")</f>
        <v>0</v>
      </c>
      <c r="DT18" s="55">
        <f>SUMIFS('Awards Summary'!$H:$H,'Awards Summary'!$B:$B,$C18,'Awards Summary'!$J:$J,"NYPA")</f>
        <v>0</v>
      </c>
      <c r="DU18" s="55">
        <f>SUMIFS('Disbursements Summary'!$E:$E,'Disbursements Summary'!$C:$C,$C18,'Disbursements Summary'!$A:$A,"NYPA")</f>
        <v>0</v>
      </c>
      <c r="DV18" s="55">
        <f>SUMIFS('Awards Summary'!$H:$H,'Awards Summary'!$B:$B,$C18,'Awards Summary'!$J:$J,"NYSBA")</f>
        <v>0</v>
      </c>
      <c r="DW18" s="55">
        <f>SUMIFS('Disbursements Summary'!$E:$E,'Disbursements Summary'!$C:$C,$C18,'Disbursements Summary'!$A:$A,"NYSBA")</f>
        <v>0</v>
      </c>
      <c r="DX18" s="55">
        <f>SUMIFS('Awards Summary'!$H:$H,'Awards Summary'!$B:$B,$C18,'Awards Summary'!$J:$J,"NYSERDA")</f>
        <v>0</v>
      </c>
      <c r="DY18" s="55">
        <f>SUMIFS('Disbursements Summary'!$E:$E,'Disbursements Summary'!$C:$C,$C18,'Disbursements Summary'!$A:$A,"NYSERDA")</f>
        <v>0</v>
      </c>
      <c r="DZ18" s="55">
        <f>SUMIFS('Awards Summary'!$H:$H,'Awards Summary'!$B:$B,$C18,'Awards Summary'!$J:$J,"DHCR")</f>
        <v>0</v>
      </c>
      <c r="EA18" s="55">
        <f>SUMIFS('Disbursements Summary'!$E:$E,'Disbursements Summary'!$C:$C,$C18,'Disbursements Summary'!$A:$A,"DHCR")</f>
        <v>0</v>
      </c>
      <c r="EB18" s="55">
        <f>SUMIFS('Awards Summary'!$H:$H,'Awards Summary'!$B:$B,$C18,'Awards Summary'!$J:$J,"HFA")</f>
        <v>0</v>
      </c>
      <c r="EC18" s="55">
        <f>SUMIFS('Disbursements Summary'!$E:$E,'Disbursements Summary'!$C:$C,$C18,'Disbursements Summary'!$A:$A,"HFA")</f>
        <v>0</v>
      </c>
      <c r="ED18" s="55">
        <f>SUMIFS('Awards Summary'!$H:$H,'Awards Summary'!$B:$B,$C18,'Awards Summary'!$J:$J,"NYSIF")</f>
        <v>0</v>
      </c>
      <c r="EE18" s="55">
        <f>SUMIFS('Disbursements Summary'!$E:$E,'Disbursements Summary'!$C:$C,$C18,'Disbursements Summary'!$A:$A,"NYSIF")</f>
        <v>0</v>
      </c>
      <c r="EF18" s="55">
        <f>SUMIFS('Awards Summary'!$H:$H,'Awards Summary'!$B:$B,$C18,'Awards Summary'!$J:$J,"NYBREDS")</f>
        <v>0</v>
      </c>
      <c r="EG18" s="55">
        <f>SUMIFS('Disbursements Summary'!$E:$E,'Disbursements Summary'!$C:$C,$C18,'Disbursements Summary'!$A:$A,"NYBREDS")</f>
        <v>0</v>
      </c>
      <c r="EH18" s="55">
        <f>SUMIFS('Awards Summary'!$H:$H,'Awards Summary'!$B:$B,$C18,'Awards Summary'!$J:$J,"NYSTA")</f>
        <v>0</v>
      </c>
      <c r="EI18" s="55">
        <f>SUMIFS('Disbursements Summary'!$E:$E,'Disbursements Summary'!$C:$C,$C18,'Disbursements Summary'!$A:$A,"NYSTA")</f>
        <v>0</v>
      </c>
      <c r="EJ18" s="55">
        <f>SUMIFS('Awards Summary'!$H:$H,'Awards Summary'!$B:$B,$C18,'Awards Summary'!$J:$J,"NFWB")</f>
        <v>0</v>
      </c>
      <c r="EK18" s="55">
        <f>SUMIFS('Disbursements Summary'!$E:$E,'Disbursements Summary'!$C:$C,$C18,'Disbursements Summary'!$A:$A,"NFWB")</f>
        <v>0</v>
      </c>
      <c r="EL18" s="55">
        <f>SUMIFS('Awards Summary'!$H:$H,'Awards Summary'!$B:$B,$C18,'Awards Summary'!$J:$J,"NFTA")</f>
        <v>0</v>
      </c>
      <c r="EM18" s="55">
        <f>SUMIFS('Disbursements Summary'!$E:$E,'Disbursements Summary'!$C:$C,$C18,'Disbursements Summary'!$A:$A,"NFTA")</f>
        <v>0</v>
      </c>
      <c r="EN18" s="55">
        <f>SUMIFS('Awards Summary'!$H:$H,'Awards Summary'!$B:$B,$C18,'Awards Summary'!$J:$J,"OPWDD")</f>
        <v>0</v>
      </c>
      <c r="EO18" s="55">
        <f>SUMIFS('Disbursements Summary'!$E:$E,'Disbursements Summary'!$C:$C,$C18,'Disbursements Summary'!$A:$A,"OPWDD")</f>
        <v>0</v>
      </c>
      <c r="EP18" s="55">
        <f>SUMIFS('Awards Summary'!$H:$H,'Awards Summary'!$B:$B,$C18,'Awards Summary'!$J:$J,"AGING")</f>
        <v>0</v>
      </c>
      <c r="EQ18" s="55">
        <f>SUMIFS('Disbursements Summary'!$E:$E,'Disbursements Summary'!$C:$C,$C18,'Disbursements Summary'!$A:$A,"AGING")</f>
        <v>0</v>
      </c>
      <c r="ER18" s="55">
        <f>SUMIFS('Awards Summary'!$H:$H,'Awards Summary'!$B:$B,$C18,'Awards Summary'!$J:$J,"OPDV")</f>
        <v>0</v>
      </c>
      <c r="ES18" s="55">
        <f>SUMIFS('Disbursements Summary'!$E:$E,'Disbursements Summary'!$C:$C,$C18,'Disbursements Summary'!$A:$A,"OPDV")</f>
        <v>0</v>
      </c>
      <c r="ET18" s="55">
        <f>SUMIFS('Awards Summary'!$H:$H,'Awards Summary'!$B:$B,$C18,'Awards Summary'!$J:$J,"OVS")</f>
        <v>0</v>
      </c>
      <c r="EU18" s="55">
        <f>SUMIFS('Disbursements Summary'!$E:$E,'Disbursements Summary'!$C:$C,$C18,'Disbursements Summary'!$A:$A,"OVS")</f>
        <v>0</v>
      </c>
      <c r="EV18" s="55">
        <f>SUMIFS('Awards Summary'!$H:$H,'Awards Summary'!$B:$B,$C18,'Awards Summary'!$J:$J,"OASAS")</f>
        <v>0</v>
      </c>
      <c r="EW18" s="55">
        <f>SUMIFS('Disbursements Summary'!$E:$E,'Disbursements Summary'!$C:$C,$C18,'Disbursements Summary'!$A:$A,"OASAS")</f>
        <v>0</v>
      </c>
      <c r="EX18" s="55">
        <f>SUMIFS('Awards Summary'!$H:$H,'Awards Summary'!$B:$B,$C18,'Awards Summary'!$J:$J,"OCFS")</f>
        <v>0</v>
      </c>
      <c r="EY18" s="55">
        <f>SUMIFS('Disbursements Summary'!$E:$E,'Disbursements Summary'!$C:$C,$C18,'Disbursements Summary'!$A:$A,"OCFS")</f>
        <v>0</v>
      </c>
      <c r="EZ18" s="55">
        <f>SUMIFS('Awards Summary'!$H:$H,'Awards Summary'!$B:$B,$C18,'Awards Summary'!$J:$J,"OGS")</f>
        <v>0</v>
      </c>
      <c r="FA18" s="55">
        <f>SUMIFS('Disbursements Summary'!$E:$E,'Disbursements Summary'!$C:$C,$C18,'Disbursements Summary'!$A:$A,"OGS")</f>
        <v>0</v>
      </c>
      <c r="FB18" s="55">
        <f>SUMIFS('Awards Summary'!$H:$H,'Awards Summary'!$B:$B,$C18,'Awards Summary'!$J:$J,"OMH")</f>
        <v>0</v>
      </c>
      <c r="FC18" s="55">
        <f>SUMIFS('Disbursements Summary'!$E:$E,'Disbursements Summary'!$C:$C,$C18,'Disbursements Summary'!$A:$A,"OMH")</f>
        <v>0</v>
      </c>
      <c r="FD18" s="55">
        <f>SUMIFS('Awards Summary'!$H:$H,'Awards Summary'!$B:$B,$C18,'Awards Summary'!$J:$J,"PARKS")</f>
        <v>0</v>
      </c>
      <c r="FE18" s="55">
        <f>SUMIFS('Disbursements Summary'!$E:$E,'Disbursements Summary'!$C:$C,$C18,'Disbursements Summary'!$A:$A,"PARKS")</f>
        <v>0</v>
      </c>
      <c r="FF18" s="55">
        <f>SUMIFS('Awards Summary'!$H:$H,'Awards Summary'!$B:$B,$C18,'Awards Summary'!$J:$J,"OTDA")</f>
        <v>0</v>
      </c>
      <c r="FG18" s="55">
        <f>SUMIFS('Disbursements Summary'!$E:$E,'Disbursements Summary'!$C:$C,$C18,'Disbursements Summary'!$A:$A,"OTDA")</f>
        <v>0</v>
      </c>
      <c r="FH18" s="55">
        <f>SUMIFS('Awards Summary'!$H:$H,'Awards Summary'!$B:$B,$C18,'Awards Summary'!$J:$J,"OIG")</f>
        <v>0</v>
      </c>
      <c r="FI18" s="55">
        <f>SUMIFS('Disbursements Summary'!$E:$E,'Disbursements Summary'!$C:$C,$C18,'Disbursements Summary'!$A:$A,"OIG")</f>
        <v>0</v>
      </c>
      <c r="FJ18" s="55">
        <f>SUMIFS('Awards Summary'!$H:$H,'Awards Summary'!$B:$B,$C18,'Awards Summary'!$J:$J,"OMIG")</f>
        <v>0</v>
      </c>
      <c r="FK18" s="55">
        <f>SUMIFS('Disbursements Summary'!$E:$E,'Disbursements Summary'!$C:$C,$C18,'Disbursements Summary'!$A:$A,"OMIG")</f>
        <v>0</v>
      </c>
      <c r="FL18" s="55">
        <f>SUMIFS('Awards Summary'!$H:$H,'Awards Summary'!$B:$B,$C18,'Awards Summary'!$J:$J,"OSC")</f>
        <v>0</v>
      </c>
      <c r="FM18" s="55">
        <f>SUMIFS('Disbursements Summary'!$E:$E,'Disbursements Summary'!$C:$C,$C18,'Disbursements Summary'!$A:$A,"OSC")</f>
        <v>0</v>
      </c>
      <c r="FN18" s="55">
        <f>SUMIFS('Awards Summary'!$H:$H,'Awards Summary'!$B:$B,$C18,'Awards Summary'!$J:$J,"OWIG")</f>
        <v>0</v>
      </c>
      <c r="FO18" s="55">
        <f>SUMIFS('Disbursements Summary'!$E:$E,'Disbursements Summary'!$C:$C,$C18,'Disbursements Summary'!$A:$A,"OWIG")</f>
        <v>0</v>
      </c>
      <c r="FP18" s="55">
        <f>SUMIFS('Awards Summary'!$H:$H,'Awards Summary'!$B:$B,$C18,'Awards Summary'!$J:$J,"OGDEN")</f>
        <v>0</v>
      </c>
      <c r="FQ18" s="55">
        <f>SUMIFS('Disbursements Summary'!$E:$E,'Disbursements Summary'!$C:$C,$C18,'Disbursements Summary'!$A:$A,"OGDEN")</f>
        <v>0</v>
      </c>
      <c r="FR18" s="55">
        <f>SUMIFS('Awards Summary'!$H:$H,'Awards Summary'!$B:$B,$C18,'Awards Summary'!$J:$J,"ORDA")</f>
        <v>0</v>
      </c>
      <c r="FS18" s="55">
        <f>SUMIFS('Disbursements Summary'!$E:$E,'Disbursements Summary'!$C:$C,$C18,'Disbursements Summary'!$A:$A,"ORDA")</f>
        <v>0</v>
      </c>
      <c r="FT18" s="55">
        <f>SUMIFS('Awards Summary'!$H:$H,'Awards Summary'!$B:$B,$C18,'Awards Summary'!$J:$J,"OSWEGO")</f>
        <v>0</v>
      </c>
      <c r="FU18" s="55">
        <f>SUMIFS('Disbursements Summary'!$E:$E,'Disbursements Summary'!$C:$C,$C18,'Disbursements Summary'!$A:$A,"OSWEGO")</f>
        <v>0</v>
      </c>
      <c r="FV18" s="55">
        <f>SUMIFS('Awards Summary'!$H:$H,'Awards Summary'!$B:$B,$C18,'Awards Summary'!$J:$J,"PERB")</f>
        <v>0</v>
      </c>
      <c r="FW18" s="55">
        <f>SUMIFS('Disbursements Summary'!$E:$E,'Disbursements Summary'!$C:$C,$C18,'Disbursements Summary'!$A:$A,"PERB")</f>
        <v>0</v>
      </c>
      <c r="FX18" s="55">
        <f>SUMIFS('Awards Summary'!$H:$H,'Awards Summary'!$B:$B,$C18,'Awards Summary'!$J:$J,"RGRTA")</f>
        <v>0</v>
      </c>
      <c r="FY18" s="55">
        <f>SUMIFS('Disbursements Summary'!$E:$E,'Disbursements Summary'!$C:$C,$C18,'Disbursements Summary'!$A:$A,"RGRTA")</f>
        <v>0</v>
      </c>
      <c r="FZ18" s="55">
        <f>SUMIFS('Awards Summary'!$H:$H,'Awards Summary'!$B:$B,$C18,'Awards Summary'!$J:$J,"RIOC")</f>
        <v>0</v>
      </c>
      <c r="GA18" s="55">
        <f>SUMIFS('Disbursements Summary'!$E:$E,'Disbursements Summary'!$C:$C,$C18,'Disbursements Summary'!$A:$A,"RIOC")</f>
        <v>0</v>
      </c>
      <c r="GB18" s="55">
        <f>SUMIFS('Awards Summary'!$H:$H,'Awards Summary'!$B:$B,$C18,'Awards Summary'!$J:$J,"RPCI")</f>
        <v>0</v>
      </c>
      <c r="GC18" s="55">
        <f>SUMIFS('Disbursements Summary'!$E:$E,'Disbursements Summary'!$C:$C,$C18,'Disbursements Summary'!$A:$A,"RPCI")</f>
        <v>0</v>
      </c>
      <c r="GD18" s="55">
        <f>SUMIFS('Awards Summary'!$H:$H,'Awards Summary'!$B:$B,$C18,'Awards Summary'!$J:$J,"SMDA")</f>
        <v>0</v>
      </c>
      <c r="GE18" s="55">
        <f>SUMIFS('Disbursements Summary'!$E:$E,'Disbursements Summary'!$C:$C,$C18,'Disbursements Summary'!$A:$A,"SMDA")</f>
        <v>0</v>
      </c>
      <c r="GF18" s="55">
        <f>SUMIFS('Awards Summary'!$H:$H,'Awards Summary'!$B:$B,$C18,'Awards Summary'!$J:$J,"SCOC")</f>
        <v>0</v>
      </c>
      <c r="GG18" s="55">
        <f>SUMIFS('Disbursements Summary'!$E:$E,'Disbursements Summary'!$C:$C,$C18,'Disbursements Summary'!$A:$A,"SCOC")</f>
        <v>0</v>
      </c>
      <c r="GH18" s="55">
        <f>SUMIFS('Awards Summary'!$H:$H,'Awards Summary'!$B:$B,$C18,'Awards Summary'!$J:$J,"SUCF")</f>
        <v>0</v>
      </c>
      <c r="GI18" s="55">
        <f>SUMIFS('Disbursements Summary'!$E:$E,'Disbursements Summary'!$C:$C,$C18,'Disbursements Summary'!$A:$A,"SUCF")</f>
        <v>0</v>
      </c>
      <c r="GJ18" s="55">
        <f>SUMIFS('Awards Summary'!$H:$H,'Awards Summary'!$B:$B,$C18,'Awards Summary'!$J:$J,"SUNY")</f>
        <v>0</v>
      </c>
      <c r="GK18" s="55">
        <f>SUMIFS('Disbursements Summary'!$E:$E,'Disbursements Summary'!$C:$C,$C18,'Disbursements Summary'!$A:$A,"SUNY")</f>
        <v>0</v>
      </c>
      <c r="GL18" s="55">
        <f>SUMIFS('Awards Summary'!$H:$H,'Awards Summary'!$B:$B,$C18,'Awards Summary'!$J:$J,"SRAA")</f>
        <v>0</v>
      </c>
      <c r="GM18" s="55">
        <f>SUMIFS('Disbursements Summary'!$E:$E,'Disbursements Summary'!$C:$C,$C18,'Disbursements Summary'!$A:$A,"SRAA")</f>
        <v>0</v>
      </c>
      <c r="GN18" s="55">
        <f>SUMIFS('Awards Summary'!$H:$H,'Awards Summary'!$B:$B,$C18,'Awards Summary'!$J:$J,"UNDC")</f>
        <v>0</v>
      </c>
      <c r="GO18" s="55">
        <f>SUMIFS('Disbursements Summary'!$E:$E,'Disbursements Summary'!$C:$C,$C18,'Disbursements Summary'!$A:$A,"UNDC")</f>
        <v>0</v>
      </c>
      <c r="GP18" s="55">
        <f>SUMIFS('Awards Summary'!$H:$H,'Awards Summary'!$B:$B,$C18,'Awards Summary'!$J:$J,"MVWA")</f>
        <v>0</v>
      </c>
      <c r="GQ18" s="55">
        <f>SUMIFS('Disbursements Summary'!$E:$E,'Disbursements Summary'!$C:$C,$C18,'Disbursements Summary'!$A:$A,"MVWA")</f>
        <v>0</v>
      </c>
      <c r="GR18" s="55">
        <f>SUMIFS('Awards Summary'!$H:$H,'Awards Summary'!$B:$B,$C18,'Awards Summary'!$J:$J,"WMC")</f>
        <v>0</v>
      </c>
      <c r="GS18" s="55">
        <f>SUMIFS('Disbursements Summary'!$E:$E,'Disbursements Summary'!$C:$C,$C18,'Disbursements Summary'!$A:$A,"WMC")</f>
        <v>0</v>
      </c>
      <c r="GT18" s="55">
        <f>SUMIFS('Awards Summary'!$H:$H,'Awards Summary'!$B:$B,$C18,'Awards Summary'!$J:$J,"WCB")</f>
        <v>0</v>
      </c>
      <c r="GU18" s="55">
        <f>SUMIFS('Disbursements Summary'!$E:$E,'Disbursements Summary'!$C:$C,$C18,'Disbursements Summary'!$A:$A,"WCB")</f>
        <v>0</v>
      </c>
      <c r="GV18" s="32">
        <f t="shared" si="1"/>
        <v>0</v>
      </c>
      <c r="GW18" s="32">
        <f t="shared" si="2"/>
        <v>0</v>
      </c>
      <c r="GX18" s="30" t="b">
        <f t="shared" si="3"/>
        <v>1</v>
      </c>
      <c r="GY18" s="30" t="b">
        <f t="shared" si="4"/>
        <v>1</v>
      </c>
    </row>
    <row r="19" spans="1:207" s="30" customFormat="1">
      <c r="A19" s="22" t="str">
        <f t="shared" si="0"/>
        <v/>
      </c>
      <c r="B19" s="40" t="s">
        <v>71</v>
      </c>
      <c r="C19" s="16">
        <v>141033</v>
      </c>
      <c r="D19" s="26">
        <f>COUNTIF('Awards Summary'!B:B,"141033")</f>
        <v>0</v>
      </c>
      <c r="E19" s="45">
        <f>SUMIFS('Awards Summary'!H:H,'Awards Summary'!B:B,"141033")</f>
        <v>0</v>
      </c>
      <c r="F19" s="46">
        <f>SUMIFS('Disbursements Summary'!E:E,'Disbursements Summary'!C:C, "141033")</f>
        <v>0</v>
      </c>
      <c r="H19" s="55">
        <f>SUMIFS('Awards Summary'!$H:$H,'Awards Summary'!$B:$B,$C19,'Awards Summary'!$J:$J,"APA")</f>
        <v>0</v>
      </c>
      <c r="I19" s="55">
        <f>SUMIFS('Disbursements Summary'!$E:$E,'Disbursements Summary'!$C:$C,$C19,'Disbursements Summary'!$A:$A,"APA")</f>
        <v>0</v>
      </c>
      <c r="J19" s="55">
        <f>SUMIFS('Awards Summary'!$H:$H,'Awards Summary'!$B:$B,$C19,'Awards Summary'!$J:$J,"Ag&amp;Horse")</f>
        <v>0</v>
      </c>
      <c r="K19" s="55">
        <f>SUMIFS('Disbursements Summary'!$E:$E,'Disbursements Summary'!$C:$C,$C19,'Disbursements Summary'!$A:$A,"Ag&amp;Horse")</f>
        <v>0</v>
      </c>
      <c r="L19" s="55">
        <f>SUMIFS('Awards Summary'!$H:$H,'Awards Summary'!$B:$B,$C19,'Awards Summary'!$J:$J,"ACAA")</f>
        <v>0</v>
      </c>
      <c r="M19" s="55">
        <f>SUMIFS('Disbursements Summary'!$E:$E,'Disbursements Summary'!$C:$C,$C19,'Disbursements Summary'!$A:$A,"ACAA")</f>
        <v>0</v>
      </c>
      <c r="N19" s="55">
        <f>SUMIFS('Awards Summary'!$H:$H,'Awards Summary'!$B:$B,$C19,'Awards Summary'!$J:$J,"PortAlbany")</f>
        <v>0</v>
      </c>
      <c r="O19" s="55">
        <f>SUMIFS('Disbursements Summary'!$E:$E,'Disbursements Summary'!$C:$C,$C19,'Disbursements Summary'!$A:$A,"PortAlbany")</f>
        <v>0</v>
      </c>
      <c r="P19" s="55">
        <f>SUMIFS('Awards Summary'!$H:$H,'Awards Summary'!$B:$B,$C19,'Awards Summary'!$J:$J,"SLA")</f>
        <v>0</v>
      </c>
      <c r="Q19" s="55">
        <f>SUMIFS('Disbursements Summary'!$E:$E,'Disbursements Summary'!$C:$C,$C19,'Disbursements Summary'!$A:$A,"SLA")</f>
        <v>0</v>
      </c>
      <c r="R19" s="55">
        <f>SUMIFS('Awards Summary'!$H:$H,'Awards Summary'!$B:$B,$C19,'Awards Summary'!$J:$J,"BPCA")</f>
        <v>0</v>
      </c>
      <c r="S19" s="55">
        <f>SUMIFS('Disbursements Summary'!$E:$E,'Disbursements Summary'!$C:$C,$C19,'Disbursements Summary'!$A:$A,"BPCA")</f>
        <v>0</v>
      </c>
      <c r="T19" s="55">
        <f>SUMIFS('Awards Summary'!$H:$H,'Awards Summary'!$B:$B,$C19,'Awards Summary'!$J:$J,"ELECTIONS")</f>
        <v>0</v>
      </c>
      <c r="U19" s="55">
        <f>SUMIFS('Disbursements Summary'!$E:$E,'Disbursements Summary'!$C:$C,$C19,'Disbursements Summary'!$A:$A,"ELECTIONS")</f>
        <v>0</v>
      </c>
      <c r="V19" s="55">
        <f>SUMIFS('Awards Summary'!$H:$H,'Awards Summary'!$B:$B,$C19,'Awards Summary'!$J:$J,"BFSA")</f>
        <v>0</v>
      </c>
      <c r="W19" s="55">
        <f>SUMIFS('Disbursements Summary'!$E:$E,'Disbursements Summary'!$C:$C,$C19,'Disbursements Summary'!$A:$A,"BFSA")</f>
        <v>0</v>
      </c>
      <c r="X19" s="55">
        <f>SUMIFS('Awards Summary'!$H:$H,'Awards Summary'!$B:$B,$C19,'Awards Summary'!$J:$J,"CDTA")</f>
        <v>0</v>
      </c>
      <c r="Y19" s="55">
        <f>SUMIFS('Disbursements Summary'!$E:$E,'Disbursements Summary'!$C:$C,$C19,'Disbursements Summary'!$A:$A,"CDTA")</f>
        <v>0</v>
      </c>
      <c r="Z19" s="55">
        <f>SUMIFS('Awards Summary'!$H:$H,'Awards Summary'!$B:$B,$C19,'Awards Summary'!$J:$J,"CCWSA")</f>
        <v>0</v>
      </c>
      <c r="AA19" s="55">
        <f>SUMIFS('Disbursements Summary'!$E:$E,'Disbursements Summary'!$C:$C,$C19,'Disbursements Summary'!$A:$A,"CCWSA")</f>
        <v>0</v>
      </c>
      <c r="AB19" s="55">
        <f>SUMIFS('Awards Summary'!$H:$H,'Awards Summary'!$B:$B,$C19,'Awards Summary'!$J:$J,"CNYRTA")</f>
        <v>0</v>
      </c>
      <c r="AC19" s="55">
        <f>SUMIFS('Disbursements Summary'!$E:$E,'Disbursements Summary'!$C:$C,$C19,'Disbursements Summary'!$A:$A,"CNYRTA")</f>
        <v>0</v>
      </c>
      <c r="AD19" s="55">
        <f>SUMIFS('Awards Summary'!$H:$H,'Awards Summary'!$B:$B,$C19,'Awards Summary'!$J:$J,"CUCF")</f>
        <v>0</v>
      </c>
      <c r="AE19" s="55">
        <f>SUMIFS('Disbursements Summary'!$E:$E,'Disbursements Summary'!$C:$C,$C19,'Disbursements Summary'!$A:$A,"CUCF")</f>
        <v>0</v>
      </c>
      <c r="AF19" s="55">
        <f>SUMIFS('Awards Summary'!$H:$H,'Awards Summary'!$B:$B,$C19,'Awards Summary'!$J:$J,"CUNY")</f>
        <v>0</v>
      </c>
      <c r="AG19" s="55">
        <f>SUMIFS('Disbursements Summary'!$E:$E,'Disbursements Summary'!$C:$C,$C19,'Disbursements Summary'!$A:$A,"CUNY")</f>
        <v>0</v>
      </c>
      <c r="AH19" s="55">
        <f>SUMIFS('Awards Summary'!$H:$H,'Awards Summary'!$B:$B,$C19,'Awards Summary'!$J:$J,"ARTS")</f>
        <v>0</v>
      </c>
      <c r="AI19" s="55">
        <f>SUMIFS('Disbursements Summary'!$E:$E,'Disbursements Summary'!$C:$C,$C19,'Disbursements Summary'!$A:$A,"ARTS")</f>
        <v>0</v>
      </c>
      <c r="AJ19" s="55">
        <f>SUMIFS('Awards Summary'!$H:$H,'Awards Summary'!$B:$B,$C19,'Awards Summary'!$J:$J,"AG&amp;MKTS")</f>
        <v>0</v>
      </c>
      <c r="AK19" s="55">
        <f>SUMIFS('Disbursements Summary'!$E:$E,'Disbursements Summary'!$C:$C,$C19,'Disbursements Summary'!$A:$A,"AG&amp;MKTS")</f>
        <v>0</v>
      </c>
      <c r="AL19" s="55">
        <f>SUMIFS('Awards Summary'!$H:$H,'Awards Summary'!$B:$B,$C19,'Awards Summary'!$J:$J,"CS")</f>
        <v>0</v>
      </c>
      <c r="AM19" s="55">
        <f>SUMIFS('Disbursements Summary'!$E:$E,'Disbursements Summary'!$C:$C,$C19,'Disbursements Summary'!$A:$A,"CS")</f>
        <v>0</v>
      </c>
      <c r="AN19" s="55">
        <f>SUMIFS('Awards Summary'!$H:$H,'Awards Summary'!$B:$B,$C19,'Awards Summary'!$J:$J,"DOCCS")</f>
        <v>0</v>
      </c>
      <c r="AO19" s="55">
        <f>SUMIFS('Disbursements Summary'!$E:$E,'Disbursements Summary'!$C:$C,$C19,'Disbursements Summary'!$A:$A,"DOCCS")</f>
        <v>0</v>
      </c>
      <c r="AP19" s="55">
        <f>SUMIFS('Awards Summary'!$H:$H,'Awards Summary'!$B:$B,$C19,'Awards Summary'!$J:$J,"DED")</f>
        <v>0</v>
      </c>
      <c r="AQ19" s="55">
        <f>SUMIFS('Disbursements Summary'!$E:$E,'Disbursements Summary'!$C:$C,$C19,'Disbursements Summary'!$A:$A,"DED")</f>
        <v>0</v>
      </c>
      <c r="AR19" s="55">
        <f>SUMIFS('Awards Summary'!$H:$H,'Awards Summary'!$B:$B,$C19,'Awards Summary'!$J:$J,"DEC")</f>
        <v>0</v>
      </c>
      <c r="AS19" s="55">
        <f>SUMIFS('Disbursements Summary'!$E:$E,'Disbursements Summary'!$C:$C,$C19,'Disbursements Summary'!$A:$A,"DEC")</f>
        <v>0</v>
      </c>
      <c r="AT19" s="55">
        <f>SUMIFS('Awards Summary'!$H:$H,'Awards Summary'!$B:$B,$C19,'Awards Summary'!$J:$J,"DFS")</f>
        <v>0</v>
      </c>
      <c r="AU19" s="55">
        <f>SUMIFS('Disbursements Summary'!$E:$E,'Disbursements Summary'!$C:$C,$C19,'Disbursements Summary'!$A:$A,"DFS")</f>
        <v>0</v>
      </c>
      <c r="AV19" s="55">
        <f>SUMIFS('Awards Summary'!$H:$H,'Awards Summary'!$B:$B,$C19,'Awards Summary'!$J:$J,"DOH")</f>
        <v>0</v>
      </c>
      <c r="AW19" s="55">
        <f>SUMIFS('Disbursements Summary'!$E:$E,'Disbursements Summary'!$C:$C,$C19,'Disbursements Summary'!$A:$A,"DOH")</f>
        <v>0</v>
      </c>
      <c r="AX19" s="55">
        <f>SUMIFS('Awards Summary'!$H:$H,'Awards Summary'!$B:$B,$C19,'Awards Summary'!$J:$J,"DOL")</f>
        <v>0</v>
      </c>
      <c r="AY19" s="55">
        <f>SUMIFS('Disbursements Summary'!$E:$E,'Disbursements Summary'!$C:$C,$C19,'Disbursements Summary'!$A:$A,"DOL")</f>
        <v>0</v>
      </c>
      <c r="AZ19" s="55">
        <f>SUMIFS('Awards Summary'!$H:$H,'Awards Summary'!$B:$B,$C19,'Awards Summary'!$J:$J,"DMV")</f>
        <v>0</v>
      </c>
      <c r="BA19" s="55">
        <f>SUMIFS('Disbursements Summary'!$E:$E,'Disbursements Summary'!$C:$C,$C19,'Disbursements Summary'!$A:$A,"DMV")</f>
        <v>0</v>
      </c>
      <c r="BB19" s="55">
        <f>SUMIFS('Awards Summary'!$H:$H,'Awards Summary'!$B:$B,$C19,'Awards Summary'!$J:$J,"DPS")</f>
        <v>0</v>
      </c>
      <c r="BC19" s="55">
        <f>SUMIFS('Disbursements Summary'!$E:$E,'Disbursements Summary'!$C:$C,$C19,'Disbursements Summary'!$A:$A,"DPS")</f>
        <v>0</v>
      </c>
      <c r="BD19" s="55">
        <f>SUMIFS('Awards Summary'!$H:$H,'Awards Summary'!$B:$B,$C19,'Awards Summary'!$J:$J,"DOS")</f>
        <v>0</v>
      </c>
      <c r="BE19" s="55">
        <f>SUMIFS('Disbursements Summary'!$E:$E,'Disbursements Summary'!$C:$C,$C19,'Disbursements Summary'!$A:$A,"DOS")</f>
        <v>0</v>
      </c>
      <c r="BF19" s="55">
        <f>SUMIFS('Awards Summary'!$H:$H,'Awards Summary'!$B:$B,$C19,'Awards Summary'!$J:$J,"TAX")</f>
        <v>0</v>
      </c>
      <c r="BG19" s="55">
        <f>SUMIFS('Disbursements Summary'!$E:$E,'Disbursements Summary'!$C:$C,$C19,'Disbursements Summary'!$A:$A,"TAX")</f>
        <v>0</v>
      </c>
      <c r="BH19" s="55">
        <f>SUMIFS('Awards Summary'!$H:$H,'Awards Summary'!$B:$B,$C19,'Awards Summary'!$J:$J,"DOT")</f>
        <v>0</v>
      </c>
      <c r="BI19" s="55">
        <f>SUMIFS('Disbursements Summary'!$E:$E,'Disbursements Summary'!$C:$C,$C19,'Disbursements Summary'!$A:$A,"DOT")</f>
        <v>0</v>
      </c>
      <c r="BJ19" s="55">
        <f>SUMIFS('Awards Summary'!$H:$H,'Awards Summary'!$B:$B,$C19,'Awards Summary'!$J:$J,"DANC")</f>
        <v>0</v>
      </c>
      <c r="BK19" s="55">
        <f>SUMIFS('Disbursements Summary'!$E:$E,'Disbursements Summary'!$C:$C,$C19,'Disbursements Summary'!$A:$A,"DANC")</f>
        <v>0</v>
      </c>
      <c r="BL19" s="55">
        <f>SUMIFS('Awards Summary'!$H:$H,'Awards Summary'!$B:$B,$C19,'Awards Summary'!$J:$J,"DOB")</f>
        <v>0</v>
      </c>
      <c r="BM19" s="55">
        <f>SUMIFS('Disbursements Summary'!$E:$E,'Disbursements Summary'!$C:$C,$C19,'Disbursements Summary'!$A:$A,"DOB")</f>
        <v>0</v>
      </c>
      <c r="BN19" s="55">
        <f>SUMIFS('Awards Summary'!$H:$H,'Awards Summary'!$B:$B,$C19,'Awards Summary'!$J:$J,"DCJS")</f>
        <v>0</v>
      </c>
      <c r="BO19" s="55">
        <f>SUMIFS('Disbursements Summary'!$E:$E,'Disbursements Summary'!$C:$C,$C19,'Disbursements Summary'!$A:$A,"DCJS")</f>
        <v>0</v>
      </c>
      <c r="BP19" s="55">
        <f>SUMIFS('Awards Summary'!$H:$H,'Awards Summary'!$B:$B,$C19,'Awards Summary'!$J:$J,"DHSES")</f>
        <v>0</v>
      </c>
      <c r="BQ19" s="55">
        <f>SUMIFS('Disbursements Summary'!$E:$E,'Disbursements Summary'!$C:$C,$C19,'Disbursements Summary'!$A:$A,"DHSES")</f>
        <v>0</v>
      </c>
      <c r="BR19" s="55">
        <f>SUMIFS('Awards Summary'!$H:$H,'Awards Summary'!$B:$B,$C19,'Awards Summary'!$J:$J,"DHR")</f>
        <v>0</v>
      </c>
      <c r="BS19" s="55">
        <f>SUMIFS('Disbursements Summary'!$E:$E,'Disbursements Summary'!$C:$C,$C19,'Disbursements Summary'!$A:$A,"DHR")</f>
        <v>0</v>
      </c>
      <c r="BT19" s="55">
        <f>SUMIFS('Awards Summary'!$H:$H,'Awards Summary'!$B:$B,$C19,'Awards Summary'!$J:$J,"DMNA")</f>
        <v>0</v>
      </c>
      <c r="BU19" s="55">
        <f>SUMIFS('Disbursements Summary'!$E:$E,'Disbursements Summary'!$C:$C,$C19,'Disbursements Summary'!$A:$A,"DMNA")</f>
        <v>0</v>
      </c>
      <c r="BV19" s="55">
        <f>SUMIFS('Awards Summary'!$H:$H,'Awards Summary'!$B:$B,$C19,'Awards Summary'!$J:$J,"TROOPERS")</f>
        <v>0</v>
      </c>
      <c r="BW19" s="55">
        <f>SUMIFS('Disbursements Summary'!$E:$E,'Disbursements Summary'!$C:$C,$C19,'Disbursements Summary'!$A:$A,"TROOPERS")</f>
        <v>0</v>
      </c>
      <c r="BX19" s="55">
        <f>SUMIFS('Awards Summary'!$H:$H,'Awards Summary'!$B:$B,$C19,'Awards Summary'!$J:$J,"DVA")</f>
        <v>0</v>
      </c>
      <c r="BY19" s="55">
        <f>SUMIFS('Disbursements Summary'!$E:$E,'Disbursements Summary'!$C:$C,$C19,'Disbursements Summary'!$A:$A,"DVA")</f>
        <v>0</v>
      </c>
      <c r="BZ19" s="55">
        <f>SUMIFS('Awards Summary'!$H:$H,'Awards Summary'!$B:$B,$C19,'Awards Summary'!$J:$J,"DASNY")</f>
        <v>0</v>
      </c>
      <c r="CA19" s="55">
        <f>SUMIFS('Disbursements Summary'!$E:$E,'Disbursements Summary'!$C:$C,$C19,'Disbursements Summary'!$A:$A,"DASNY")</f>
        <v>0</v>
      </c>
      <c r="CB19" s="55">
        <f>SUMIFS('Awards Summary'!$H:$H,'Awards Summary'!$B:$B,$C19,'Awards Summary'!$J:$J,"EGG")</f>
        <v>0</v>
      </c>
      <c r="CC19" s="55">
        <f>SUMIFS('Disbursements Summary'!$E:$E,'Disbursements Summary'!$C:$C,$C19,'Disbursements Summary'!$A:$A,"EGG")</f>
        <v>0</v>
      </c>
      <c r="CD19" s="55">
        <f>SUMIFS('Awards Summary'!$H:$H,'Awards Summary'!$B:$B,$C19,'Awards Summary'!$J:$J,"ESD")</f>
        <v>0</v>
      </c>
      <c r="CE19" s="55">
        <f>SUMIFS('Disbursements Summary'!$E:$E,'Disbursements Summary'!$C:$C,$C19,'Disbursements Summary'!$A:$A,"ESD")</f>
        <v>0</v>
      </c>
      <c r="CF19" s="55">
        <f>SUMIFS('Awards Summary'!$H:$H,'Awards Summary'!$B:$B,$C19,'Awards Summary'!$J:$J,"EFC")</f>
        <v>0</v>
      </c>
      <c r="CG19" s="55">
        <f>SUMIFS('Disbursements Summary'!$E:$E,'Disbursements Summary'!$C:$C,$C19,'Disbursements Summary'!$A:$A,"EFC")</f>
        <v>0</v>
      </c>
      <c r="CH19" s="55">
        <f>SUMIFS('Awards Summary'!$H:$H,'Awards Summary'!$B:$B,$C19,'Awards Summary'!$J:$J,"ECFSA")</f>
        <v>0</v>
      </c>
      <c r="CI19" s="55">
        <f>SUMIFS('Disbursements Summary'!$E:$E,'Disbursements Summary'!$C:$C,$C19,'Disbursements Summary'!$A:$A,"ECFSA")</f>
        <v>0</v>
      </c>
      <c r="CJ19" s="55">
        <f>SUMIFS('Awards Summary'!$H:$H,'Awards Summary'!$B:$B,$C19,'Awards Summary'!$J:$J,"ECMC")</f>
        <v>0</v>
      </c>
      <c r="CK19" s="55">
        <f>SUMIFS('Disbursements Summary'!$E:$E,'Disbursements Summary'!$C:$C,$C19,'Disbursements Summary'!$A:$A,"ECMC")</f>
        <v>0</v>
      </c>
      <c r="CL19" s="55">
        <f>SUMIFS('Awards Summary'!$H:$H,'Awards Summary'!$B:$B,$C19,'Awards Summary'!$J:$J,"CHAMBER")</f>
        <v>0</v>
      </c>
      <c r="CM19" s="55">
        <f>SUMIFS('Disbursements Summary'!$E:$E,'Disbursements Summary'!$C:$C,$C19,'Disbursements Summary'!$A:$A,"CHAMBER")</f>
        <v>0</v>
      </c>
      <c r="CN19" s="55">
        <f>SUMIFS('Awards Summary'!$H:$H,'Awards Summary'!$B:$B,$C19,'Awards Summary'!$J:$J,"GAMING")</f>
        <v>0</v>
      </c>
      <c r="CO19" s="55">
        <f>SUMIFS('Disbursements Summary'!$E:$E,'Disbursements Summary'!$C:$C,$C19,'Disbursements Summary'!$A:$A,"GAMING")</f>
        <v>0</v>
      </c>
      <c r="CP19" s="55">
        <f>SUMIFS('Awards Summary'!$H:$H,'Awards Summary'!$B:$B,$C19,'Awards Summary'!$J:$J,"GOER")</f>
        <v>0</v>
      </c>
      <c r="CQ19" s="55">
        <f>SUMIFS('Disbursements Summary'!$E:$E,'Disbursements Summary'!$C:$C,$C19,'Disbursements Summary'!$A:$A,"GOER")</f>
        <v>0</v>
      </c>
      <c r="CR19" s="55">
        <f>SUMIFS('Awards Summary'!$H:$H,'Awards Summary'!$B:$B,$C19,'Awards Summary'!$J:$J,"HESC")</f>
        <v>0</v>
      </c>
      <c r="CS19" s="55">
        <f>SUMIFS('Disbursements Summary'!$E:$E,'Disbursements Summary'!$C:$C,$C19,'Disbursements Summary'!$A:$A,"HESC")</f>
        <v>0</v>
      </c>
      <c r="CT19" s="55">
        <f>SUMIFS('Awards Summary'!$H:$H,'Awards Summary'!$B:$B,$C19,'Awards Summary'!$J:$J,"GOSR")</f>
        <v>0</v>
      </c>
      <c r="CU19" s="55">
        <f>SUMIFS('Disbursements Summary'!$E:$E,'Disbursements Summary'!$C:$C,$C19,'Disbursements Summary'!$A:$A,"GOSR")</f>
        <v>0</v>
      </c>
      <c r="CV19" s="55">
        <f>SUMIFS('Awards Summary'!$H:$H,'Awards Summary'!$B:$B,$C19,'Awards Summary'!$J:$J,"HRPT")</f>
        <v>0</v>
      </c>
      <c r="CW19" s="55">
        <f>SUMIFS('Disbursements Summary'!$E:$E,'Disbursements Summary'!$C:$C,$C19,'Disbursements Summary'!$A:$A,"HRPT")</f>
        <v>0</v>
      </c>
      <c r="CX19" s="55">
        <f>SUMIFS('Awards Summary'!$H:$H,'Awards Summary'!$B:$B,$C19,'Awards Summary'!$J:$J,"HRBRRD")</f>
        <v>0</v>
      </c>
      <c r="CY19" s="55">
        <f>SUMIFS('Disbursements Summary'!$E:$E,'Disbursements Summary'!$C:$C,$C19,'Disbursements Summary'!$A:$A,"HRBRRD")</f>
        <v>0</v>
      </c>
      <c r="CZ19" s="55">
        <f>SUMIFS('Awards Summary'!$H:$H,'Awards Summary'!$B:$B,$C19,'Awards Summary'!$J:$J,"ITS")</f>
        <v>0</v>
      </c>
      <c r="DA19" s="55">
        <f>SUMIFS('Disbursements Summary'!$E:$E,'Disbursements Summary'!$C:$C,$C19,'Disbursements Summary'!$A:$A,"ITS")</f>
        <v>0</v>
      </c>
      <c r="DB19" s="55">
        <f>SUMIFS('Awards Summary'!$H:$H,'Awards Summary'!$B:$B,$C19,'Awards Summary'!$J:$J,"JAVITS")</f>
        <v>0</v>
      </c>
      <c r="DC19" s="55">
        <f>SUMIFS('Disbursements Summary'!$E:$E,'Disbursements Summary'!$C:$C,$C19,'Disbursements Summary'!$A:$A,"JAVITS")</f>
        <v>0</v>
      </c>
      <c r="DD19" s="55">
        <f>SUMIFS('Awards Summary'!$H:$H,'Awards Summary'!$B:$B,$C19,'Awards Summary'!$J:$J,"JCOPE")</f>
        <v>0</v>
      </c>
      <c r="DE19" s="55">
        <f>SUMIFS('Disbursements Summary'!$E:$E,'Disbursements Summary'!$C:$C,$C19,'Disbursements Summary'!$A:$A,"JCOPE")</f>
        <v>0</v>
      </c>
      <c r="DF19" s="55">
        <f>SUMIFS('Awards Summary'!$H:$H,'Awards Summary'!$B:$B,$C19,'Awards Summary'!$J:$J,"JUSTICE")</f>
        <v>0</v>
      </c>
      <c r="DG19" s="55">
        <f>SUMIFS('Disbursements Summary'!$E:$E,'Disbursements Summary'!$C:$C,$C19,'Disbursements Summary'!$A:$A,"JUSTICE")</f>
        <v>0</v>
      </c>
      <c r="DH19" s="55">
        <f>SUMIFS('Awards Summary'!$H:$H,'Awards Summary'!$B:$B,$C19,'Awards Summary'!$J:$J,"LCWSA")</f>
        <v>0</v>
      </c>
      <c r="DI19" s="55">
        <f>SUMIFS('Disbursements Summary'!$E:$E,'Disbursements Summary'!$C:$C,$C19,'Disbursements Summary'!$A:$A,"LCWSA")</f>
        <v>0</v>
      </c>
      <c r="DJ19" s="55">
        <f>SUMIFS('Awards Summary'!$H:$H,'Awards Summary'!$B:$B,$C19,'Awards Summary'!$J:$J,"LIPA")</f>
        <v>0</v>
      </c>
      <c r="DK19" s="55">
        <f>SUMIFS('Disbursements Summary'!$E:$E,'Disbursements Summary'!$C:$C,$C19,'Disbursements Summary'!$A:$A,"LIPA")</f>
        <v>0</v>
      </c>
      <c r="DL19" s="55">
        <f>SUMIFS('Awards Summary'!$H:$H,'Awards Summary'!$B:$B,$C19,'Awards Summary'!$J:$J,"MTA")</f>
        <v>0</v>
      </c>
      <c r="DM19" s="55">
        <f>SUMIFS('Disbursements Summary'!$E:$E,'Disbursements Summary'!$C:$C,$C19,'Disbursements Summary'!$A:$A,"MTA")</f>
        <v>0</v>
      </c>
      <c r="DN19" s="55">
        <f>SUMIFS('Awards Summary'!$H:$H,'Awards Summary'!$B:$B,$C19,'Awards Summary'!$J:$J,"NIFA")</f>
        <v>0</v>
      </c>
      <c r="DO19" s="55">
        <f>SUMIFS('Disbursements Summary'!$E:$E,'Disbursements Summary'!$C:$C,$C19,'Disbursements Summary'!$A:$A,"NIFA")</f>
        <v>0</v>
      </c>
      <c r="DP19" s="55">
        <f>SUMIFS('Awards Summary'!$H:$H,'Awards Summary'!$B:$B,$C19,'Awards Summary'!$J:$J,"NHCC")</f>
        <v>0</v>
      </c>
      <c r="DQ19" s="55">
        <f>SUMIFS('Disbursements Summary'!$E:$E,'Disbursements Summary'!$C:$C,$C19,'Disbursements Summary'!$A:$A,"NHCC")</f>
        <v>0</v>
      </c>
      <c r="DR19" s="55">
        <f>SUMIFS('Awards Summary'!$H:$H,'Awards Summary'!$B:$B,$C19,'Awards Summary'!$J:$J,"NHT")</f>
        <v>0</v>
      </c>
      <c r="DS19" s="55">
        <f>SUMIFS('Disbursements Summary'!$E:$E,'Disbursements Summary'!$C:$C,$C19,'Disbursements Summary'!$A:$A,"NHT")</f>
        <v>0</v>
      </c>
      <c r="DT19" s="55">
        <f>SUMIFS('Awards Summary'!$H:$H,'Awards Summary'!$B:$B,$C19,'Awards Summary'!$J:$J,"NYPA")</f>
        <v>0</v>
      </c>
      <c r="DU19" s="55">
        <f>SUMIFS('Disbursements Summary'!$E:$E,'Disbursements Summary'!$C:$C,$C19,'Disbursements Summary'!$A:$A,"NYPA")</f>
        <v>0</v>
      </c>
      <c r="DV19" s="55">
        <f>SUMIFS('Awards Summary'!$H:$H,'Awards Summary'!$B:$B,$C19,'Awards Summary'!$J:$J,"NYSBA")</f>
        <v>0</v>
      </c>
      <c r="DW19" s="55">
        <f>SUMIFS('Disbursements Summary'!$E:$E,'Disbursements Summary'!$C:$C,$C19,'Disbursements Summary'!$A:$A,"NYSBA")</f>
        <v>0</v>
      </c>
      <c r="DX19" s="55">
        <f>SUMIFS('Awards Summary'!$H:$H,'Awards Summary'!$B:$B,$C19,'Awards Summary'!$J:$J,"NYSERDA")</f>
        <v>0</v>
      </c>
      <c r="DY19" s="55">
        <f>SUMIFS('Disbursements Summary'!$E:$E,'Disbursements Summary'!$C:$C,$C19,'Disbursements Summary'!$A:$A,"NYSERDA")</f>
        <v>0</v>
      </c>
      <c r="DZ19" s="55">
        <f>SUMIFS('Awards Summary'!$H:$H,'Awards Summary'!$B:$B,$C19,'Awards Summary'!$J:$J,"DHCR")</f>
        <v>0</v>
      </c>
      <c r="EA19" s="55">
        <f>SUMIFS('Disbursements Summary'!$E:$E,'Disbursements Summary'!$C:$C,$C19,'Disbursements Summary'!$A:$A,"DHCR")</f>
        <v>0</v>
      </c>
      <c r="EB19" s="55">
        <f>SUMIFS('Awards Summary'!$H:$H,'Awards Summary'!$B:$B,$C19,'Awards Summary'!$J:$J,"HFA")</f>
        <v>0</v>
      </c>
      <c r="EC19" s="55">
        <f>SUMIFS('Disbursements Summary'!$E:$E,'Disbursements Summary'!$C:$C,$C19,'Disbursements Summary'!$A:$A,"HFA")</f>
        <v>0</v>
      </c>
      <c r="ED19" s="55">
        <f>SUMIFS('Awards Summary'!$H:$H,'Awards Summary'!$B:$B,$C19,'Awards Summary'!$J:$J,"NYSIF")</f>
        <v>0</v>
      </c>
      <c r="EE19" s="55">
        <f>SUMIFS('Disbursements Summary'!$E:$E,'Disbursements Summary'!$C:$C,$C19,'Disbursements Summary'!$A:$A,"NYSIF")</f>
        <v>0</v>
      </c>
      <c r="EF19" s="55">
        <f>SUMIFS('Awards Summary'!$H:$H,'Awards Summary'!$B:$B,$C19,'Awards Summary'!$J:$J,"NYBREDS")</f>
        <v>0</v>
      </c>
      <c r="EG19" s="55">
        <f>SUMIFS('Disbursements Summary'!$E:$E,'Disbursements Summary'!$C:$C,$C19,'Disbursements Summary'!$A:$A,"NYBREDS")</f>
        <v>0</v>
      </c>
      <c r="EH19" s="55">
        <f>SUMIFS('Awards Summary'!$H:$H,'Awards Summary'!$B:$B,$C19,'Awards Summary'!$J:$J,"NYSTA")</f>
        <v>0</v>
      </c>
      <c r="EI19" s="55">
        <f>SUMIFS('Disbursements Summary'!$E:$E,'Disbursements Summary'!$C:$C,$C19,'Disbursements Summary'!$A:$A,"NYSTA")</f>
        <v>0</v>
      </c>
      <c r="EJ19" s="55">
        <f>SUMIFS('Awards Summary'!$H:$H,'Awards Summary'!$B:$B,$C19,'Awards Summary'!$J:$J,"NFWB")</f>
        <v>0</v>
      </c>
      <c r="EK19" s="55">
        <f>SUMIFS('Disbursements Summary'!$E:$E,'Disbursements Summary'!$C:$C,$C19,'Disbursements Summary'!$A:$A,"NFWB")</f>
        <v>0</v>
      </c>
      <c r="EL19" s="55">
        <f>SUMIFS('Awards Summary'!$H:$H,'Awards Summary'!$B:$B,$C19,'Awards Summary'!$J:$J,"NFTA")</f>
        <v>0</v>
      </c>
      <c r="EM19" s="55">
        <f>SUMIFS('Disbursements Summary'!$E:$E,'Disbursements Summary'!$C:$C,$C19,'Disbursements Summary'!$A:$A,"NFTA")</f>
        <v>0</v>
      </c>
      <c r="EN19" s="55">
        <f>SUMIFS('Awards Summary'!$H:$H,'Awards Summary'!$B:$B,$C19,'Awards Summary'!$J:$J,"OPWDD")</f>
        <v>0</v>
      </c>
      <c r="EO19" s="55">
        <f>SUMIFS('Disbursements Summary'!$E:$E,'Disbursements Summary'!$C:$C,$C19,'Disbursements Summary'!$A:$A,"OPWDD")</f>
        <v>0</v>
      </c>
      <c r="EP19" s="55">
        <f>SUMIFS('Awards Summary'!$H:$H,'Awards Summary'!$B:$B,$C19,'Awards Summary'!$J:$J,"AGING")</f>
        <v>0</v>
      </c>
      <c r="EQ19" s="55">
        <f>SUMIFS('Disbursements Summary'!$E:$E,'Disbursements Summary'!$C:$C,$C19,'Disbursements Summary'!$A:$A,"AGING")</f>
        <v>0</v>
      </c>
      <c r="ER19" s="55">
        <f>SUMIFS('Awards Summary'!$H:$H,'Awards Summary'!$B:$B,$C19,'Awards Summary'!$J:$J,"OPDV")</f>
        <v>0</v>
      </c>
      <c r="ES19" s="55">
        <f>SUMIFS('Disbursements Summary'!$E:$E,'Disbursements Summary'!$C:$C,$C19,'Disbursements Summary'!$A:$A,"OPDV")</f>
        <v>0</v>
      </c>
      <c r="ET19" s="55">
        <f>SUMIFS('Awards Summary'!$H:$H,'Awards Summary'!$B:$B,$C19,'Awards Summary'!$J:$J,"OVS")</f>
        <v>0</v>
      </c>
      <c r="EU19" s="55">
        <f>SUMIFS('Disbursements Summary'!$E:$E,'Disbursements Summary'!$C:$C,$C19,'Disbursements Summary'!$A:$A,"OVS")</f>
        <v>0</v>
      </c>
      <c r="EV19" s="55">
        <f>SUMIFS('Awards Summary'!$H:$H,'Awards Summary'!$B:$B,$C19,'Awards Summary'!$J:$J,"OASAS")</f>
        <v>0</v>
      </c>
      <c r="EW19" s="55">
        <f>SUMIFS('Disbursements Summary'!$E:$E,'Disbursements Summary'!$C:$C,$C19,'Disbursements Summary'!$A:$A,"OASAS")</f>
        <v>0</v>
      </c>
      <c r="EX19" s="55">
        <f>SUMIFS('Awards Summary'!$H:$H,'Awards Summary'!$B:$B,$C19,'Awards Summary'!$J:$J,"OCFS")</f>
        <v>0</v>
      </c>
      <c r="EY19" s="55">
        <f>SUMIFS('Disbursements Summary'!$E:$E,'Disbursements Summary'!$C:$C,$C19,'Disbursements Summary'!$A:$A,"OCFS")</f>
        <v>0</v>
      </c>
      <c r="EZ19" s="55">
        <f>SUMIFS('Awards Summary'!$H:$H,'Awards Summary'!$B:$B,$C19,'Awards Summary'!$J:$J,"OGS")</f>
        <v>0</v>
      </c>
      <c r="FA19" s="55">
        <f>SUMIFS('Disbursements Summary'!$E:$E,'Disbursements Summary'!$C:$C,$C19,'Disbursements Summary'!$A:$A,"OGS")</f>
        <v>0</v>
      </c>
      <c r="FB19" s="55">
        <f>SUMIFS('Awards Summary'!$H:$H,'Awards Summary'!$B:$B,$C19,'Awards Summary'!$J:$J,"OMH")</f>
        <v>0</v>
      </c>
      <c r="FC19" s="55">
        <f>SUMIFS('Disbursements Summary'!$E:$E,'Disbursements Summary'!$C:$C,$C19,'Disbursements Summary'!$A:$A,"OMH")</f>
        <v>0</v>
      </c>
      <c r="FD19" s="55">
        <f>SUMIFS('Awards Summary'!$H:$H,'Awards Summary'!$B:$B,$C19,'Awards Summary'!$J:$J,"PARKS")</f>
        <v>0</v>
      </c>
      <c r="FE19" s="55">
        <f>SUMIFS('Disbursements Summary'!$E:$E,'Disbursements Summary'!$C:$C,$C19,'Disbursements Summary'!$A:$A,"PARKS")</f>
        <v>0</v>
      </c>
      <c r="FF19" s="55">
        <f>SUMIFS('Awards Summary'!$H:$H,'Awards Summary'!$B:$B,$C19,'Awards Summary'!$J:$J,"OTDA")</f>
        <v>0</v>
      </c>
      <c r="FG19" s="55">
        <f>SUMIFS('Disbursements Summary'!$E:$E,'Disbursements Summary'!$C:$C,$C19,'Disbursements Summary'!$A:$A,"OTDA")</f>
        <v>0</v>
      </c>
      <c r="FH19" s="55">
        <f>SUMIFS('Awards Summary'!$H:$H,'Awards Summary'!$B:$B,$C19,'Awards Summary'!$J:$J,"OIG")</f>
        <v>0</v>
      </c>
      <c r="FI19" s="55">
        <f>SUMIFS('Disbursements Summary'!$E:$E,'Disbursements Summary'!$C:$C,$C19,'Disbursements Summary'!$A:$A,"OIG")</f>
        <v>0</v>
      </c>
      <c r="FJ19" s="55">
        <f>SUMIFS('Awards Summary'!$H:$H,'Awards Summary'!$B:$B,$C19,'Awards Summary'!$J:$J,"OMIG")</f>
        <v>0</v>
      </c>
      <c r="FK19" s="55">
        <f>SUMIFS('Disbursements Summary'!$E:$E,'Disbursements Summary'!$C:$C,$C19,'Disbursements Summary'!$A:$A,"OMIG")</f>
        <v>0</v>
      </c>
      <c r="FL19" s="55">
        <f>SUMIFS('Awards Summary'!$H:$H,'Awards Summary'!$B:$B,$C19,'Awards Summary'!$J:$J,"OSC")</f>
        <v>0</v>
      </c>
      <c r="FM19" s="55">
        <f>SUMIFS('Disbursements Summary'!$E:$E,'Disbursements Summary'!$C:$C,$C19,'Disbursements Summary'!$A:$A,"OSC")</f>
        <v>0</v>
      </c>
      <c r="FN19" s="55">
        <f>SUMIFS('Awards Summary'!$H:$H,'Awards Summary'!$B:$B,$C19,'Awards Summary'!$J:$J,"OWIG")</f>
        <v>0</v>
      </c>
      <c r="FO19" s="55">
        <f>SUMIFS('Disbursements Summary'!$E:$E,'Disbursements Summary'!$C:$C,$C19,'Disbursements Summary'!$A:$A,"OWIG")</f>
        <v>0</v>
      </c>
      <c r="FP19" s="55">
        <f>SUMIFS('Awards Summary'!$H:$H,'Awards Summary'!$B:$B,$C19,'Awards Summary'!$J:$J,"OGDEN")</f>
        <v>0</v>
      </c>
      <c r="FQ19" s="55">
        <f>SUMIFS('Disbursements Summary'!$E:$E,'Disbursements Summary'!$C:$C,$C19,'Disbursements Summary'!$A:$A,"OGDEN")</f>
        <v>0</v>
      </c>
      <c r="FR19" s="55">
        <f>SUMIFS('Awards Summary'!$H:$H,'Awards Summary'!$B:$B,$C19,'Awards Summary'!$J:$J,"ORDA")</f>
        <v>0</v>
      </c>
      <c r="FS19" s="55">
        <f>SUMIFS('Disbursements Summary'!$E:$E,'Disbursements Summary'!$C:$C,$C19,'Disbursements Summary'!$A:$A,"ORDA")</f>
        <v>0</v>
      </c>
      <c r="FT19" s="55">
        <f>SUMIFS('Awards Summary'!$H:$H,'Awards Summary'!$B:$B,$C19,'Awards Summary'!$J:$J,"OSWEGO")</f>
        <v>0</v>
      </c>
      <c r="FU19" s="55">
        <f>SUMIFS('Disbursements Summary'!$E:$E,'Disbursements Summary'!$C:$C,$C19,'Disbursements Summary'!$A:$A,"OSWEGO")</f>
        <v>0</v>
      </c>
      <c r="FV19" s="55">
        <f>SUMIFS('Awards Summary'!$H:$H,'Awards Summary'!$B:$B,$C19,'Awards Summary'!$J:$J,"PERB")</f>
        <v>0</v>
      </c>
      <c r="FW19" s="55">
        <f>SUMIFS('Disbursements Summary'!$E:$E,'Disbursements Summary'!$C:$C,$C19,'Disbursements Summary'!$A:$A,"PERB")</f>
        <v>0</v>
      </c>
      <c r="FX19" s="55">
        <f>SUMIFS('Awards Summary'!$H:$H,'Awards Summary'!$B:$B,$C19,'Awards Summary'!$J:$J,"RGRTA")</f>
        <v>0</v>
      </c>
      <c r="FY19" s="55">
        <f>SUMIFS('Disbursements Summary'!$E:$E,'Disbursements Summary'!$C:$C,$C19,'Disbursements Summary'!$A:$A,"RGRTA")</f>
        <v>0</v>
      </c>
      <c r="FZ19" s="55">
        <f>SUMIFS('Awards Summary'!$H:$H,'Awards Summary'!$B:$B,$C19,'Awards Summary'!$J:$J,"RIOC")</f>
        <v>0</v>
      </c>
      <c r="GA19" s="55">
        <f>SUMIFS('Disbursements Summary'!$E:$E,'Disbursements Summary'!$C:$C,$C19,'Disbursements Summary'!$A:$A,"RIOC")</f>
        <v>0</v>
      </c>
      <c r="GB19" s="55">
        <f>SUMIFS('Awards Summary'!$H:$H,'Awards Summary'!$B:$B,$C19,'Awards Summary'!$J:$J,"RPCI")</f>
        <v>0</v>
      </c>
      <c r="GC19" s="55">
        <f>SUMIFS('Disbursements Summary'!$E:$E,'Disbursements Summary'!$C:$C,$C19,'Disbursements Summary'!$A:$A,"RPCI")</f>
        <v>0</v>
      </c>
      <c r="GD19" s="55">
        <f>SUMIFS('Awards Summary'!$H:$H,'Awards Summary'!$B:$B,$C19,'Awards Summary'!$J:$J,"SMDA")</f>
        <v>0</v>
      </c>
      <c r="GE19" s="55">
        <f>SUMIFS('Disbursements Summary'!$E:$E,'Disbursements Summary'!$C:$C,$C19,'Disbursements Summary'!$A:$A,"SMDA")</f>
        <v>0</v>
      </c>
      <c r="GF19" s="55">
        <f>SUMIFS('Awards Summary'!$H:$H,'Awards Summary'!$B:$B,$C19,'Awards Summary'!$J:$J,"SCOC")</f>
        <v>0</v>
      </c>
      <c r="GG19" s="55">
        <f>SUMIFS('Disbursements Summary'!$E:$E,'Disbursements Summary'!$C:$C,$C19,'Disbursements Summary'!$A:$A,"SCOC")</f>
        <v>0</v>
      </c>
      <c r="GH19" s="55">
        <f>SUMIFS('Awards Summary'!$H:$H,'Awards Summary'!$B:$B,$C19,'Awards Summary'!$J:$J,"SUCF")</f>
        <v>0</v>
      </c>
      <c r="GI19" s="55">
        <f>SUMIFS('Disbursements Summary'!$E:$E,'Disbursements Summary'!$C:$C,$C19,'Disbursements Summary'!$A:$A,"SUCF")</f>
        <v>0</v>
      </c>
      <c r="GJ19" s="55">
        <f>SUMIFS('Awards Summary'!$H:$H,'Awards Summary'!$B:$B,$C19,'Awards Summary'!$J:$J,"SUNY")</f>
        <v>0</v>
      </c>
      <c r="GK19" s="55">
        <f>SUMIFS('Disbursements Summary'!$E:$E,'Disbursements Summary'!$C:$C,$C19,'Disbursements Summary'!$A:$A,"SUNY")</f>
        <v>0</v>
      </c>
      <c r="GL19" s="55">
        <f>SUMIFS('Awards Summary'!$H:$H,'Awards Summary'!$B:$B,$C19,'Awards Summary'!$J:$J,"SRAA")</f>
        <v>0</v>
      </c>
      <c r="GM19" s="55">
        <f>SUMIFS('Disbursements Summary'!$E:$E,'Disbursements Summary'!$C:$C,$C19,'Disbursements Summary'!$A:$A,"SRAA")</f>
        <v>0</v>
      </c>
      <c r="GN19" s="55">
        <f>SUMIFS('Awards Summary'!$H:$H,'Awards Summary'!$B:$B,$C19,'Awards Summary'!$J:$J,"UNDC")</f>
        <v>0</v>
      </c>
      <c r="GO19" s="55">
        <f>SUMIFS('Disbursements Summary'!$E:$E,'Disbursements Summary'!$C:$C,$C19,'Disbursements Summary'!$A:$A,"UNDC")</f>
        <v>0</v>
      </c>
      <c r="GP19" s="55">
        <f>SUMIFS('Awards Summary'!$H:$H,'Awards Summary'!$B:$B,$C19,'Awards Summary'!$J:$J,"MVWA")</f>
        <v>0</v>
      </c>
      <c r="GQ19" s="55">
        <f>SUMIFS('Disbursements Summary'!$E:$E,'Disbursements Summary'!$C:$C,$C19,'Disbursements Summary'!$A:$A,"MVWA")</f>
        <v>0</v>
      </c>
      <c r="GR19" s="55">
        <f>SUMIFS('Awards Summary'!$H:$H,'Awards Summary'!$B:$B,$C19,'Awards Summary'!$J:$J,"WMC")</f>
        <v>0</v>
      </c>
      <c r="GS19" s="55">
        <f>SUMIFS('Disbursements Summary'!$E:$E,'Disbursements Summary'!$C:$C,$C19,'Disbursements Summary'!$A:$A,"WMC")</f>
        <v>0</v>
      </c>
      <c r="GT19" s="55">
        <f>SUMIFS('Awards Summary'!$H:$H,'Awards Summary'!$B:$B,$C19,'Awards Summary'!$J:$J,"WCB")</f>
        <v>0</v>
      </c>
      <c r="GU19" s="55">
        <f>SUMIFS('Disbursements Summary'!$E:$E,'Disbursements Summary'!$C:$C,$C19,'Disbursements Summary'!$A:$A,"WCB")</f>
        <v>0</v>
      </c>
      <c r="GV19" s="32">
        <f t="shared" si="1"/>
        <v>0</v>
      </c>
      <c r="GW19" s="32">
        <f t="shared" si="2"/>
        <v>0</v>
      </c>
      <c r="GX19" s="30" t="b">
        <f t="shared" si="3"/>
        <v>1</v>
      </c>
      <c r="GY19" s="30" t="b">
        <f t="shared" si="4"/>
        <v>1</v>
      </c>
    </row>
    <row r="20" spans="1:207" s="30" customFormat="1">
      <c r="A20" s="22" t="str">
        <f t="shared" si="0"/>
        <v/>
      </c>
      <c r="B20" s="64" t="s">
        <v>461</v>
      </c>
      <c r="C20" s="65">
        <v>141034</v>
      </c>
      <c r="D20" s="26">
        <f>COUNTIF('Awards Summary'!B:B,"141034")</f>
        <v>0</v>
      </c>
      <c r="E20" s="45">
        <f>SUMIFS('Awards Summary'!H:H,'Awards Summary'!B:B,"141034")</f>
        <v>0</v>
      </c>
      <c r="F20" s="46">
        <f>SUMIFS('Disbursements Summary'!E:E,'Disbursements Summary'!C:C, "141034")</f>
        <v>0</v>
      </c>
      <c r="H20" s="55">
        <f>SUMIFS('Awards Summary'!$H:$H,'Awards Summary'!$B:$B,$C20,'Awards Summary'!$J:$J,"APA")</f>
        <v>0</v>
      </c>
      <c r="I20" s="55">
        <f>SUMIFS('Disbursements Summary'!$E:$E,'Disbursements Summary'!$C:$C,$C20,'Disbursements Summary'!$A:$A,"APA")</f>
        <v>0</v>
      </c>
      <c r="J20" s="55">
        <f>SUMIFS('Awards Summary'!$H:$H,'Awards Summary'!$B:$B,$C20,'Awards Summary'!$J:$J,"Ag&amp;Horse")</f>
        <v>0</v>
      </c>
      <c r="K20" s="55">
        <f>SUMIFS('Disbursements Summary'!$E:$E,'Disbursements Summary'!$C:$C,$C20,'Disbursements Summary'!$A:$A,"Ag&amp;Horse")</f>
        <v>0</v>
      </c>
      <c r="L20" s="55">
        <f>SUMIFS('Awards Summary'!$H:$H,'Awards Summary'!$B:$B,$C20,'Awards Summary'!$J:$J,"ACAA")</f>
        <v>0</v>
      </c>
      <c r="M20" s="55">
        <f>SUMIFS('Disbursements Summary'!$E:$E,'Disbursements Summary'!$C:$C,$C20,'Disbursements Summary'!$A:$A,"ACAA")</f>
        <v>0</v>
      </c>
      <c r="N20" s="55">
        <f>SUMIFS('Awards Summary'!$H:$H,'Awards Summary'!$B:$B,$C20,'Awards Summary'!$J:$J,"PortAlbany")</f>
        <v>0</v>
      </c>
      <c r="O20" s="55">
        <f>SUMIFS('Disbursements Summary'!$E:$E,'Disbursements Summary'!$C:$C,$C20,'Disbursements Summary'!$A:$A,"PortAlbany")</f>
        <v>0</v>
      </c>
      <c r="P20" s="55">
        <f>SUMIFS('Awards Summary'!$H:$H,'Awards Summary'!$B:$B,$C20,'Awards Summary'!$J:$J,"SLA")</f>
        <v>0</v>
      </c>
      <c r="Q20" s="55">
        <f>SUMIFS('Disbursements Summary'!$E:$E,'Disbursements Summary'!$C:$C,$C20,'Disbursements Summary'!$A:$A,"SLA")</f>
        <v>0</v>
      </c>
      <c r="R20" s="55">
        <f>SUMIFS('Awards Summary'!$H:$H,'Awards Summary'!$B:$B,$C20,'Awards Summary'!$J:$J,"BPCA")</f>
        <v>0</v>
      </c>
      <c r="S20" s="55">
        <f>SUMIFS('Disbursements Summary'!$E:$E,'Disbursements Summary'!$C:$C,$C20,'Disbursements Summary'!$A:$A,"BPCA")</f>
        <v>0</v>
      </c>
      <c r="T20" s="55">
        <f>SUMIFS('Awards Summary'!$H:$H,'Awards Summary'!$B:$B,$C20,'Awards Summary'!$J:$J,"ELECTIONS")</f>
        <v>0</v>
      </c>
      <c r="U20" s="55">
        <f>SUMIFS('Disbursements Summary'!$E:$E,'Disbursements Summary'!$C:$C,$C20,'Disbursements Summary'!$A:$A,"ELECTIONS")</f>
        <v>0</v>
      </c>
      <c r="V20" s="55">
        <f>SUMIFS('Awards Summary'!$H:$H,'Awards Summary'!$B:$B,$C20,'Awards Summary'!$J:$J,"BFSA")</f>
        <v>0</v>
      </c>
      <c r="W20" s="55">
        <f>SUMIFS('Disbursements Summary'!$E:$E,'Disbursements Summary'!$C:$C,$C20,'Disbursements Summary'!$A:$A,"BFSA")</f>
        <v>0</v>
      </c>
      <c r="X20" s="55">
        <f>SUMIFS('Awards Summary'!$H:$H,'Awards Summary'!$B:$B,$C20,'Awards Summary'!$J:$J,"CDTA")</f>
        <v>0</v>
      </c>
      <c r="Y20" s="55">
        <f>SUMIFS('Disbursements Summary'!$E:$E,'Disbursements Summary'!$C:$C,$C20,'Disbursements Summary'!$A:$A,"CDTA")</f>
        <v>0</v>
      </c>
      <c r="Z20" s="55">
        <f>SUMIFS('Awards Summary'!$H:$H,'Awards Summary'!$B:$B,$C20,'Awards Summary'!$J:$J,"CCWSA")</f>
        <v>0</v>
      </c>
      <c r="AA20" s="55">
        <f>SUMIFS('Disbursements Summary'!$E:$E,'Disbursements Summary'!$C:$C,$C20,'Disbursements Summary'!$A:$A,"CCWSA")</f>
        <v>0</v>
      </c>
      <c r="AB20" s="55">
        <f>SUMIFS('Awards Summary'!$H:$H,'Awards Summary'!$B:$B,$C20,'Awards Summary'!$J:$J,"CNYRTA")</f>
        <v>0</v>
      </c>
      <c r="AC20" s="55">
        <f>SUMIFS('Disbursements Summary'!$E:$E,'Disbursements Summary'!$C:$C,$C20,'Disbursements Summary'!$A:$A,"CNYRTA")</f>
        <v>0</v>
      </c>
      <c r="AD20" s="55">
        <f>SUMIFS('Awards Summary'!$H:$H,'Awards Summary'!$B:$B,$C20,'Awards Summary'!$J:$J,"CUCF")</f>
        <v>0</v>
      </c>
      <c r="AE20" s="55">
        <f>SUMIFS('Disbursements Summary'!$E:$E,'Disbursements Summary'!$C:$C,$C20,'Disbursements Summary'!$A:$A,"CUCF")</f>
        <v>0</v>
      </c>
      <c r="AF20" s="55">
        <f>SUMIFS('Awards Summary'!$H:$H,'Awards Summary'!$B:$B,$C20,'Awards Summary'!$J:$J,"CUNY")</f>
        <v>0</v>
      </c>
      <c r="AG20" s="55">
        <f>SUMIFS('Disbursements Summary'!$E:$E,'Disbursements Summary'!$C:$C,$C20,'Disbursements Summary'!$A:$A,"CUNY")</f>
        <v>0</v>
      </c>
      <c r="AH20" s="55">
        <f>SUMIFS('Awards Summary'!$H:$H,'Awards Summary'!$B:$B,$C20,'Awards Summary'!$J:$J,"ARTS")</f>
        <v>0</v>
      </c>
      <c r="AI20" s="55">
        <f>SUMIFS('Disbursements Summary'!$E:$E,'Disbursements Summary'!$C:$C,$C20,'Disbursements Summary'!$A:$A,"ARTS")</f>
        <v>0</v>
      </c>
      <c r="AJ20" s="55">
        <f>SUMIFS('Awards Summary'!$H:$H,'Awards Summary'!$B:$B,$C20,'Awards Summary'!$J:$J,"AG&amp;MKTS")</f>
        <v>0</v>
      </c>
      <c r="AK20" s="55">
        <f>SUMIFS('Disbursements Summary'!$E:$E,'Disbursements Summary'!$C:$C,$C20,'Disbursements Summary'!$A:$A,"AG&amp;MKTS")</f>
        <v>0</v>
      </c>
      <c r="AL20" s="55">
        <f>SUMIFS('Awards Summary'!$H:$H,'Awards Summary'!$B:$B,$C20,'Awards Summary'!$J:$J,"CS")</f>
        <v>0</v>
      </c>
      <c r="AM20" s="55">
        <f>SUMIFS('Disbursements Summary'!$E:$E,'Disbursements Summary'!$C:$C,$C20,'Disbursements Summary'!$A:$A,"CS")</f>
        <v>0</v>
      </c>
      <c r="AN20" s="55">
        <f>SUMIFS('Awards Summary'!$H:$H,'Awards Summary'!$B:$B,$C20,'Awards Summary'!$J:$J,"DOCCS")</f>
        <v>0</v>
      </c>
      <c r="AO20" s="55">
        <f>SUMIFS('Disbursements Summary'!$E:$E,'Disbursements Summary'!$C:$C,$C20,'Disbursements Summary'!$A:$A,"DOCCS")</f>
        <v>0</v>
      </c>
      <c r="AP20" s="55">
        <f>SUMIFS('Awards Summary'!$H:$H,'Awards Summary'!$B:$B,$C20,'Awards Summary'!$J:$J,"DED")</f>
        <v>0</v>
      </c>
      <c r="AQ20" s="55">
        <f>SUMIFS('Disbursements Summary'!$E:$E,'Disbursements Summary'!$C:$C,$C20,'Disbursements Summary'!$A:$A,"DED")</f>
        <v>0</v>
      </c>
      <c r="AR20" s="55">
        <f>SUMIFS('Awards Summary'!$H:$H,'Awards Summary'!$B:$B,$C20,'Awards Summary'!$J:$J,"DEC")</f>
        <v>0</v>
      </c>
      <c r="AS20" s="55">
        <f>SUMIFS('Disbursements Summary'!$E:$E,'Disbursements Summary'!$C:$C,$C20,'Disbursements Summary'!$A:$A,"DEC")</f>
        <v>0</v>
      </c>
      <c r="AT20" s="55">
        <f>SUMIFS('Awards Summary'!$H:$H,'Awards Summary'!$B:$B,$C20,'Awards Summary'!$J:$J,"DFS")</f>
        <v>0</v>
      </c>
      <c r="AU20" s="55">
        <f>SUMIFS('Disbursements Summary'!$E:$E,'Disbursements Summary'!$C:$C,$C20,'Disbursements Summary'!$A:$A,"DFS")</f>
        <v>0</v>
      </c>
      <c r="AV20" s="55">
        <f>SUMIFS('Awards Summary'!$H:$H,'Awards Summary'!$B:$B,$C20,'Awards Summary'!$J:$J,"DOH")</f>
        <v>0</v>
      </c>
      <c r="AW20" s="55">
        <f>SUMIFS('Disbursements Summary'!$E:$E,'Disbursements Summary'!$C:$C,$C20,'Disbursements Summary'!$A:$A,"DOH")</f>
        <v>0</v>
      </c>
      <c r="AX20" s="55">
        <f>SUMIFS('Awards Summary'!$H:$H,'Awards Summary'!$B:$B,$C20,'Awards Summary'!$J:$J,"DOL")</f>
        <v>0</v>
      </c>
      <c r="AY20" s="55">
        <f>SUMIFS('Disbursements Summary'!$E:$E,'Disbursements Summary'!$C:$C,$C20,'Disbursements Summary'!$A:$A,"DOL")</f>
        <v>0</v>
      </c>
      <c r="AZ20" s="55">
        <f>SUMIFS('Awards Summary'!$H:$H,'Awards Summary'!$B:$B,$C20,'Awards Summary'!$J:$J,"DMV")</f>
        <v>0</v>
      </c>
      <c r="BA20" s="55">
        <f>SUMIFS('Disbursements Summary'!$E:$E,'Disbursements Summary'!$C:$C,$C20,'Disbursements Summary'!$A:$A,"DMV")</f>
        <v>0</v>
      </c>
      <c r="BB20" s="55">
        <f>SUMIFS('Awards Summary'!$H:$H,'Awards Summary'!$B:$B,$C20,'Awards Summary'!$J:$J,"DPS")</f>
        <v>0</v>
      </c>
      <c r="BC20" s="55">
        <f>SUMIFS('Disbursements Summary'!$E:$E,'Disbursements Summary'!$C:$C,$C20,'Disbursements Summary'!$A:$A,"DPS")</f>
        <v>0</v>
      </c>
      <c r="BD20" s="55">
        <f>SUMIFS('Awards Summary'!$H:$H,'Awards Summary'!$B:$B,$C20,'Awards Summary'!$J:$J,"DOS")</f>
        <v>0</v>
      </c>
      <c r="BE20" s="55">
        <f>SUMIFS('Disbursements Summary'!$E:$E,'Disbursements Summary'!$C:$C,$C20,'Disbursements Summary'!$A:$A,"DOS")</f>
        <v>0</v>
      </c>
      <c r="BF20" s="55">
        <f>SUMIFS('Awards Summary'!$H:$H,'Awards Summary'!$B:$B,$C20,'Awards Summary'!$J:$J,"TAX")</f>
        <v>0</v>
      </c>
      <c r="BG20" s="55">
        <f>SUMIFS('Disbursements Summary'!$E:$E,'Disbursements Summary'!$C:$C,$C20,'Disbursements Summary'!$A:$A,"TAX")</f>
        <v>0</v>
      </c>
      <c r="BH20" s="55">
        <f>SUMIFS('Awards Summary'!$H:$H,'Awards Summary'!$B:$B,$C20,'Awards Summary'!$J:$J,"DOT")</f>
        <v>0</v>
      </c>
      <c r="BI20" s="55">
        <f>SUMIFS('Disbursements Summary'!$E:$E,'Disbursements Summary'!$C:$C,$C20,'Disbursements Summary'!$A:$A,"DOT")</f>
        <v>0</v>
      </c>
      <c r="BJ20" s="55">
        <f>SUMIFS('Awards Summary'!$H:$H,'Awards Summary'!$B:$B,$C20,'Awards Summary'!$J:$J,"DANC")</f>
        <v>0</v>
      </c>
      <c r="BK20" s="55">
        <f>SUMIFS('Disbursements Summary'!$E:$E,'Disbursements Summary'!$C:$C,$C20,'Disbursements Summary'!$A:$A,"DANC")</f>
        <v>0</v>
      </c>
      <c r="BL20" s="55">
        <f>SUMIFS('Awards Summary'!$H:$H,'Awards Summary'!$B:$B,$C20,'Awards Summary'!$J:$J,"DOB")</f>
        <v>0</v>
      </c>
      <c r="BM20" s="55">
        <f>SUMIFS('Disbursements Summary'!$E:$E,'Disbursements Summary'!$C:$C,$C20,'Disbursements Summary'!$A:$A,"DOB")</f>
        <v>0</v>
      </c>
      <c r="BN20" s="55">
        <f>SUMIFS('Awards Summary'!$H:$H,'Awards Summary'!$B:$B,$C20,'Awards Summary'!$J:$J,"DCJS")</f>
        <v>0</v>
      </c>
      <c r="BO20" s="55">
        <f>SUMIFS('Disbursements Summary'!$E:$E,'Disbursements Summary'!$C:$C,$C20,'Disbursements Summary'!$A:$A,"DCJS")</f>
        <v>0</v>
      </c>
      <c r="BP20" s="55">
        <f>SUMIFS('Awards Summary'!$H:$H,'Awards Summary'!$B:$B,$C20,'Awards Summary'!$J:$J,"DHSES")</f>
        <v>0</v>
      </c>
      <c r="BQ20" s="55">
        <f>SUMIFS('Disbursements Summary'!$E:$E,'Disbursements Summary'!$C:$C,$C20,'Disbursements Summary'!$A:$A,"DHSES")</f>
        <v>0</v>
      </c>
      <c r="BR20" s="55">
        <f>SUMIFS('Awards Summary'!$H:$H,'Awards Summary'!$B:$B,$C20,'Awards Summary'!$J:$J,"DHR")</f>
        <v>0</v>
      </c>
      <c r="BS20" s="55">
        <f>SUMIFS('Disbursements Summary'!$E:$E,'Disbursements Summary'!$C:$C,$C20,'Disbursements Summary'!$A:$A,"DHR")</f>
        <v>0</v>
      </c>
      <c r="BT20" s="55">
        <f>SUMIFS('Awards Summary'!$H:$H,'Awards Summary'!$B:$B,$C20,'Awards Summary'!$J:$J,"DMNA")</f>
        <v>0</v>
      </c>
      <c r="BU20" s="55">
        <f>SUMIFS('Disbursements Summary'!$E:$E,'Disbursements Summary'!$C:$C,$C20,'Disbursements Summary'!$A:$A,"DMNA")</f>
        <v>0</v>
      </c>
      <c r="BV20" s="55">
        <f>SUMIFS('Awards Summary'!$H:$H,'Awards Summary'!$B:$B,$C20,'Awards Summary'!$J:$J,"TROOPERS")</f>
        <v>0</v>
      </c>
      <c r="BW20" s="55">
        <f>SUMIFS('Disbursements Summary'!$E:$E,'Disbursements Summary'!$C:$C,$C20,'Disbursements Summary'!$A:$A,"TROOPERS")</f>
        <v>0</v>
      </c>
      <c r="BX20" s="55">
        <f>SUMIFS('Awards Summary'!$H:$H,'Awards Summary'!$B:$B,$C20,'Awards Summary'!$J:$J,"DVA")</f>
        <v>0</v>
      </c>
      <c r="BY20" s="55">
        <f>SUMIFS('Disbursements Summary'!$E:$E,'Disbursements Summary'!$C:$C,$C20,'Disbursements Summary'!$A:$A,"DVA")</f>
        <v>0</v>
      </c>
      <c r="BZ20" s="55">
        <f>SUMIFS('Awards Summary'!$H:$H,'Awards Summary'!$B:$B,$C20,'Awards Summary'!$J:$J,"DASNY")</f>
        <v>0</v>
      </c>
      <c r="CA20" s="55">
        <f>SUMIFS('Disbursements Summary'!$E:$E,'Disbursements Summary'!$C:$C,$C20,'Disbursements Summary'!$A:$A,"DASNY")</f>
        <v>0</v>
      </c>
      <c r="CB20" s="55">
        <f>SUMIFS('Awards Summary'!$H:$H,'Awards Summary'!$B:$B,$C20,'Awards Summary'!$J:$J,"EGG")</f>
        <v>0</v>
      </c>
      <c r="CC20" s="55">
        <f>SUMIFS('Disbursements Summary'!$E:$E,'Disbursements Summary'!$C:$C,$C20,'Disbursements Summary'!$A:$A,"EGG")</f>
        <v>0</v>
      </c>
      <c r="CD20" s="55">
        <f>SUMIFS('Awards Summary'!$H:$H,'Awards Summary'!$B:$B,$C20,'Awards Summary'!$J:$J,"ESD")</f>
        <v>0</v>
      </c>
      <c r="CE20" s="55">
        <f>SUMIFS('Disbursements Summary'!$E:$E,'Disbursements Summary'!$C:$C,$C20,'Disbursements Summary'!$A:$A,"ESD")</f>
        <v>0</v>
      </c>
      <c r="CF20" s="55">
        <f>SUMIFS('Awards Summary'!$H:$H,'Awards Summary'!$B:$B,$C20,'Awards Summary'!$J:$J,"EFC")</f>
        <v>0</v>
      </c>
      <c r="CG20" s="55">
        <f>SUMIFS('Disbursements Summary'!$E:$E,'Disbursements Summary'!$C:$C,$C20,'Disbursements Summary'!$A:$A,"EFC")</f>
        <v>0</v>
      </c>
      <c r="CH20" s="55">
        <f>SUMIFS('Awards Summary'!$H:$H,'Awards Summary'!$B:$B,$C20,'Awards Summary'!$J:$J,"ECFSA")</f>
        <v>0</v>
      </c>
      <c r="CI20" s="55">
        <f>SUMIFS('Disbursements Summary'!$E:$E,'Disbursements Summary'!$C:$C,$C20,'Disbursements Summary'!$A:$A,"ECFSA")</f>
        <v>0</v>
      </c>
      <c r="CJ20" s="55">
        <f>SUMIFS('Awards Summary'!$H:$H,'Awards Summary'!$B:$B,$C20,'Awards Summary'!$J:$J,"ECMC")</f>
        <v>0</v>
      </c>
      <c r="CK20" s="55">
        <f>SUMIFS('Disbursements Summary'!$E:$E,'Disbursements Summary'!$C:$C,$C20,'Disbursements Summary'!$A:$A,"ECMC")</f>
        <v>0</v>
      </c>
      <c r="CL20" s="55">
        <f>SUMIFS('Awards Summary'!$H:$H,'Awards Summary'!$B:$B,$C20,'Awards Summary'!$J:$J,"CHAMBER")</f>
        <v>0</v>
      </c>
      <c r="CM20" s="55">
        <f>SUMIFS('Disbursements Summary'!$E:$E,'Disbursements Summary'!$C:$C,$C20,'Disbursements Summary'!$A:$A,"CHAMBER")</f>
        <v>0</v>
      </c>
      <c r="CN20" s="55">
        <f>SUMIFS('Awards Summary'!$H:$H,'Awards Summary'!$B:$B,$C20,'Awards Summary'!$J:$J,"GAMING")</f>
        <v>0</v>
      </c>
      <c r="CO20" s="55">
        <f>SUMIFS('Disbursements Summary'!$E:$E,'Disbursements Summary'!$C:$C,$C20,'Disbursements Summary'!$A:$A,"GAMING")</f>
        <v>0</v>
      </c>
      <c r="CP20" s="55">
        <f>SUMIFS('Awards Summary'!$H:$H,'Awards Summary'!$B:$B,$C20,'Awards Summary'!$J:$J,"GOER")</f>
        <v>0</v>
      </c>
      <c r="CQ20" s="55">
        <f>SUMIFS('Disbursements Summary'!$E:$E,'Disbursements Summary'!$C:$C,$C20,'Disbursements Summary'!$A:$A,"GOER")</f>
        <v>0</v>
      </c>
      <c r="CR20" s="55">
        <f>SUMIFS('Awards Summary'!$H:$H,'Awards Summary'!$B:$B,$C20,'Awards Summary'!$J:$J,"HESC")</f>
        <v>0</v>
      </c>
      <c r="CS20" s="55">
        <f>SUMIFS('Disbursements Summary'!$E:$E,'Disbursements Summary'!$C:$C,$C20,'Disbursements Summary'!$A:$A,"HESC")</f>
        <v>0</v>
      </c>
      <c r="CT20" s="55">
        <f>SUMIFS('Awards Summary'!$H:$H,'Awards Summary'!$B:$B,$C20,'Awards Summary'!$J:$J,"GOSR")</f>
        <v>0</v>
      </c>
      <c r="CU20" s="55">
        <f>SUMIFS('Disbursements Summary'!$E:$E,'Disbursements Summary'!$C:$C,$C20,'Disbursements Summary'!$A:$A,"GOSR")</f>
        <v>0</v>
      </c>
      <c r="CV20" s="55">
        <f>SUMIFS('Awards Summary'!$H:$H,'Awards Summary'!$B:$B,$C20,'Awards Summary'!$J:$J,"HRPT")</f>
        <v>0</v>
      </c>
      <c r="CW20" s="55">
        <f>SUMIFS('Disbursements Summary'!$E:$E,'Disbursements Summary'!$C:$C,$C20,'Disbursements Summary'!$A:$A,"HRPT")</f>
        <v>0</v>
      </c>
      <c r="CX20" s="55">
        <f>SUMIFS('Awards Summary'!$H:$H,'Awards Summary'!$B:$B,$C20,'Awards Summary'!$J:$J,"HRBRRD")</f>
        <v>0</v>
      </c>
      <c r="CY20" s="55">
        <f>SUMIFS('Disbursements Summary'!$E:$E,'Disbursements Summary'!$C:$C,$C20,'Disbursements Summary'!$A:$A,"HRBRRD")</f>
        <v>0</v>
      </c>
      <c r="CZ20" s="55">
        <f>SUMIFS('Awards Summary'!$H:$H,'Awards Summary'!$B:$B,$C20,'Awards Summary'!$J:$J,"ITS")</f>
        <v>0</v>
      </c>
      <c r="DA20" s="55">
        <f>SUMIFS('Disbursements Summary'!$E:$E,'Disbursements Summary'!$C:$C,$C20,'Disbursements Summary'!$A:$A,"ITS")</f>
        <v>0</v>
      </c>
      <c r="DB20" s="55">
        <f>SUMIFS('Awards Summary'!$H:$H,'Awards Summary'!$B:$B,$C20,'Awards Summary'!$J:$J,"JAVITS")</f>
        <v>0</v>
      </c>
      <c r="DC20" s="55">
        <f>SUMIFS('Disbursements Summary'!$E:$E,'Disbursements Summary'!$C:$C,$C20,'Disbursements Summary'!$A:$A,"JAVITS")</f>
        <v>0</v>
      </c>
      <c r="DD20" s="55">
        <f>SUMIFS('Awards Summary'!$H:$H,'Awards Summary'!$B:$B,$C20,'Awards Summary'!$J:$J,"JCOPE")</f>
        <v>0</v>
      </c>
      <c r="DE20" s="55">
        <f>SUMIFS('Disbursements Summary'!$E:$E,'Disbursements Summary'!$C:$C,$C20,'Disbursements Summary'!$A:$A,"JCOPE")</f>
        <v>0</v>
      </c>
      <c r="DF20" s="55">
        <f>SUMIFS('Awards Summary'!$H:$H,'Awards Summary'!$B:$B,$C20,'Awards Summary'!$J:$J,"JUSTICE")</f>
        <v>0</v>
      </c>
      <c r="DG20" s="55">
        <f>SUMIFS('Disbursements Summary'!$E:$E,'Disbursements Summary'!$C:$C,$C20,'Disbursements Summary'!$A:$A,"JUSTICE")</f>
        <v>0</v>
      </c>
      <c r="DH20" s="55">
        <f>SUMIFS('Awards Summary'!$H:$H,'Awards Summary'!$B:$B,$C20,'Awards Summary'!$J:$J,"LCWSA")</f>
        <v>0</v>
      </c>
      <c r="DI20" s="55">
        <f>SUMIFS('Disbursements Summary'!$E:$E,'Disbursements Summary'!$C:$C,$C20,'Disbursements Summary'!$A:$A,"LCWSA")</f>
        <v>0</v>
      </c>
      <c r="DJ20" s="55">
        <f>SUMIFS('Awards Summary'!$H:$H,'Awards Summary'!$B:$B,$C20,'Awards Summary'!$J:$J,"LIPA")</f>
        <v>0</v>
      </c>
      <c r="DK20" s="55">
        <f>SUMIFS('Disbursements Summary'!$E:$E,'Disbursements Summary'!$C:$C,$C20,'Disbursements Summary'!$A:$A,"LIPA")</f>
        <v>0</v>
      </c>
      <c r="DL20" s="55">
        <f>SUMIFS('Awards Summary'!$H:$H,'Awards Summary'!$B:$B,$C20,'Awards Summary'!$J:$J,"MTA")</f>
        <v>0</v>
      </c>
      <c r="DM20" s="55">
        <f>SUMIFS('Disbursements Summary'!$E:$E,'Disbursements Summary'!$C:$C,$C20,'Disbursements Summary'!$A:$A,"MTA")</f>
        <v>0</v>
      </c>
      <c r="DN20" s="55">
        <f>SUMIFS('Awards Summary'!$H:$H,'Awards Summary'!$B:$B,$C20,'Awards Summary'!$J:$J,"NIFA")</f>
        <v>0</v>
      </c>
      <c r="DO20" s="55">
        <f>SUMIFS('Disbursements Summary'!$E:$E,'Disbursements Summary'!$C:$C,$C20,'Disbursements Summary'!$A:$A,"NIFA")</f>
        <v>0</v>
      </c>
      <c r="DP20" s="55">
        <f>SUMIFS('Awards Summary'!$H:$H,'Awards Summary'!$B:$B,$C20,'Awards Summary'!$J:$J,"NHCC")</f>
        <v>0</v>
      </c>
      <c r="DQ20" s="55">
        <f>SUMIFS('Disbursements Summary'!$E:$E,'Disbursements Summary'!$C:$C,$C20,'Disbursements Summary'!$A:$A,"NHCC")</f>
        <v>0</v>
      </c>
      <c r="DR20" s="55">
        <f>SUMIFS('Awards Summary'!$H:$H,'Awards Summary'!$B:$B,$C20,'Awards Summary'!$J:$J,"NHT")</f>
        <v>0</v>
      </c>
      <c r="DS20" s="55">
        <f>SUMIFS('Disbursements Summary'!$E:$E,'Disbursements Summary'!$C:$C,$C20,'Disbursements Summary'!$A:$A,"NHT")</f>
        <v>0</v>
      </c>
      <c r="DT20" s="55">
        <f>SUMIFS('Awards Summary'!$H:$H,'Awards Summary'!$B:$B,$C20,'Awards Summary'!$J:$J,"NYPA")</f>
        <v>0</v>
      </c>
      <c r="DU20" s="55">
        <f>SUMIFS('Disbursements Summary'!$E:$E,'Disbursements Summary'!$C:$C,$C20,'Disbursements Summary'!$A:$A,"NYPA")</f>
        <v>0</v>
      </c>
      <c r="DV20" s="55">
        <f>SUMIFS('Awards Summary'!$H:$H,'Awards Summary'!$B:$B,$C20,'Awards Summary'!$J:$J,"NYSBA")</f>
        <v>0</v>
      </c>
      <c r="DW20" s="55">
        <f>SUMIFS('Disbursements Summary'!$E:$E,'Disbursements Summary'!$C:$C,$C20,'Disbursements Summary'!$A:$A,"NYSBA")</f>
        <v>0</v>
      </c>
      <c r="DX20" s="55">
        <f>SUMIFS('Awards Summary'!$H:$H,'Awards Summary'!$B:$B,$C20,'Awards Summary'!$J:$J,"NYSERDA")</f>
        <v>0</v>
      </c>
      <c r="DY20" s="55">
        <f>SUMIFS('Disbursements Summary'!$E:$E,'Disbursements Summary'!$C:$C,$C20,'Disbursements Summary'!$A:$A,"NYSERDA")</f>
        <v>0</v>
      </c>
      <c r="DZ20" s="55">
        <f>SUMIFS('Awards Summary'!$H:$H,'Awards Summary'!$B:$B,$C20,'Awards Summary'!$J:$J,"DHCR")</f>
        <v>0</v>
      </c>
      <c r="EA20" s="55">
        <f>SUMIFS('Disbursements Summary'!$E:$E,'Disbursements Summary'!$C:$C,$C20,'Disbursements Summary'!$A:$A,"DHCR")</f>
        <v>0</v>
      </c>
      <c r="EB20" s="55">
        <f>SUMIFS('Awards Summary'!$H:$H,'Awards Summary'!$B:$B,$C20,'Awards Summary'!$J:$J,"HFA")</f>
        <v>0</v>
      </c>
      <c r="EC20" s="55">
        <f>SUMIFS('Disbursements Summary'!$E:$E,'Disbursements Summary'!$C:$C,$C20,'Disbursements Summary'!$A:$A,"HFA")</f>
        <v>0</v>
      </c>
      <c r="ED20" s="55">
        <f>SUMIFS('Awards Summary'!$H:$H,'Awards Summary'!$B:$B,$C20,'Awards Summary'!$J:$J,"NYSIF")</f>
        <v>0</v>
      </c>
      <c r="EE20" s="55">
        <f>SUMIFS('Disbursements Summary'!$E:$E,'Disbursements Summary'!$C:$C,$C20,'Disbursements Summary'!$A:$A,"NYSIF")</f>
        <v>0</v>
      </c>
      <c r="EF20" s="55">
        <f>SUMIFS('Awards Summary'!$H:$H,'Awards Summary'!$B:$B,$C20,'Awards Summary'!$J:$J,"NYBREDS")</f>
        <v>0</v>
      </c>
      <c r="EG20" s="55">
        <f>SUMIFS('Disbursements Summary'!$E:$E,'Disbursements Summary'!$C:$C,$C20,'Disbursements Summary'!$A:$A,"NYBREDS")</f>
        <v>0</v>
      </c>
      <c r="EH20" s="55">
        <f>SUMIFS('Awards Summary'!$H:$H,'Awards Summary'!$B:$B,$C20,'Awards Summary'!$J:$J,"NYSTA")</f>
        <v>0</v>
      </c>
      <c r="EI20" s="55">
        <f>SUMIFS('Disbursements Summary'!$E:$E,'Disbursements Summary'!$C:$C,$C20,'Disbursements Summary'!$A:$A,"NYSTA")</f>
        <v>0</v>
      </c>
      <c r="EJ20" s="55">
        <f>SUMIFS('Awards Summary'!$H:$H,'Awards Summary'!$B:$B,$C20,'Awards Summary'!$J:$J,"NFWB")</f>
        <v>0</v>
      </c>
      <c r="EK20" s="55">
        <f>SUMIFS('Disbursements Summary'!$E:$E,'Disbursements Summary'!$C:$C,$C20,'Disbursements Summary'!$A:$A,"NFWB")</f>
        <v>0</v>
      </c>
      <c r="EL20" s="55">
        <f>SUMIFS('Awards Summary'!$H:$H,'Awards Summary'!$B:$B,$C20,'Awards Summary'!$J:$J,"NFTA")</f>
        <v>0</v>
      </c>
      <c r="EM20" s="55">
        <f>SUMIFS('Disbursements Summary'!$E:$E,'Disbursements Summary'!$C:$C,$C20,'Disbursements Summary'!$A:$A,"NFTA")</f>
        <v>0</v>
      </c>
      <c r="EN20" s="55">
        <f>SUMIFS('Awards Summary'!$H:$H,'Awards Summary'!$B:$B,$C20,'Awards Summary'!$J:$J,"OPWDD")</f>
        <v>0</v>
      </c>
      <c r="EO20" s="55">
        <f>SUMIFS('Disbursements Summary'!$E:$E,'Disbursements Summary'!$C:$C,$C20,'Disbursements Summary'!$A:$A,"OPWDD")</f>
        <v>0</v>
      </c>
      <c r="EP20" s="55">
        <f>SUMIFS('Awards Summary'!$H:$H,'Awards Summary'!$B:$B,$C20,'Awards Summary'!$J:$J,"AGING")</f>
        <v>0</v>
      </c>
      <c r="EQ20" s="55">
        <f>SUMIFS('Disbursements Summary'!$E:$E,'Disbursements Summary'!$C:$C,$C20,'Disbursements Summary'!$A:$A,"AGING")</f>
        <v>0</v>
      </c>
      <c r="ER20" s="55">
        <f>SUMIFS('Awards Summary'!$H:$H,'Awards Summary'!$B:$B,$C20,'Awards Summary'!$J:$J,"OPDV")</f>
        <v>0</v>
      </c>
      <c r="ES20" s="55">
        <f>SUMIFS('Disbursements Summary'!$E:$E,'Disbursements Summary'!$C:$C,$C20,'Disbursements Summary'!$A:$A,"OPDV")</f>
        <v>0</v>
      </c>
      <c r="ET20" s="55">
        <f>SUMIFS('Awards Summary'!$H:$H,'Awards Summary'!$B:$B,$C20,'Awards Summary'!$J:$J,"OVS")</f>
        <v>0</v>
      </c>
      <c r="EU20" s="55">
        <f>SUMIFS('Disbursements Summary'!$E:$E,'Disbursements Summary'!$C:$C,$C20,'Disbursements Summary'!$A:$A,"OVS")</f>
        <v>0</v>
      </c>
      <c r="EV20" s="55">
        <f>SUMIFS('Awards Summary'!$H:$H,'Awards Summary'!$B:$B,$C20,'Awards Summary'!$J:$J,"OASAS")</f>
        <v>0</v>
      </c>
      <c r="EW20" s="55">
        <f>SUMIFS('Disbursements Summary'!$E:$E,'Disbursements Summary'!$C:$C,$C20,'Disbursements Summary'!$A:$A,"OASAS")</f>
        <v>0</v>
      </c>
      <c r="EX20" s="55">
        <f>SUMIFS('Awards Summary'!$H:$H,'Awards Summary'!$B:$B,$C20,'Awards Summary'!$J:$J,"OCFS")</f>
        <v>0</v>
      </c>
      <c r="EY20" s="55">
        <f>SUMIFS('Disbursements Summary'!$E:$E,'Disbursements Summary'!$C:$C,$C20,'Disbursements Summary'!$A:$A,"OCFS")</f>
        <v>0</v>
      </c>
      <c r="EZ20" s="55">
        <f>SUMIFS('Awards Summary'!$H:$H,'Awards Summary'!$B:$B,$C20,'Awards Summary'!$J:$J,"OGS")</f>
        <v>0</v>
      </c>
      <c r="FA20" s="55">
        <f>SUMIFS('Disbursements Summary'!$E:$E,'Disbursements Summary'!$C:$C,$C20,'Disbursements Summary'!$A:$A,"OGS")</f>
        <v>0</v>
      </c>
      <c r="FB20" s="55">
        <f>SUMIFS('Awards Summary'!$H:$H,'Awards Summary'!$B:$B,$C20,'Awards Summary'!$J:$J,"OMH")</f>
        <v>0</v>
      </c>
      <c r="FC20" s="55">
        <f>SUMIFS('Disbursements Summary'!$E:$E,'Disbursements Summary'!$C:$C,$C20,'Disbursements Summary'!$A:$A,"OMH")</f>
        <v>0</v>
      </c>
      <c r="FD20" s="55">
        <f>SUMIFS('Awards Summary'!$H:$H,'Awards Summary'!$B:$B,$C20,'Awards Summary'!$J:$J,"PARKS")</f>
        <v>0</v>
      </c>
      <c r="FE20" s="55">
        <f>SUMIFS('Disbursements Summary'!$E:$E,'Disbursements Summary'!$C:$C,$C20,'Disbursements Summary'!$A:$A,"PARKS")</f>
        <v>0</v>
      </c>
      <c r="FF20" s="55">
        <f>SUMIFS('Awards Summary'!$H:$H,'Awards Summary'!$B:$B,$C20,'Awards Summary'!$J:$J,"OTDA")</f>
        <v>0</v>
      </c>
      <c r="FG20" s="55">
        <f>SUMIFS('Disbursements Summary'!$E:$E,'Disbursements Summary'!$C:$C,$C20,'Disbursements Summary'!$A:$A,"OTDA")</f>
        <v>0</v>
      </c>
      <c r="FH20" s="55">
        <f>SUMIFS('Awards Summary'!$H:$H,'Awards Summary'!$B:$B,$C20,'Awards Summary'!$J:$J,"OIG")</f>
        <v>0</v>
      </c>
      <c r="FI20" s="55">
        <f>SUMIFS('Disbursements Summary'!$E:$E,'Disbursements Summary'!$C:$C,$C20,'Disbursements Summary'!$A:$A,"OIG")</f>
        <v>0</v>
      </c>
      <c r="FJ20" s="55">
        <f>SUMIFS('Awards Summary'!$H:$H,'Awards Summary'!$B:$B,$C20,'Awards Summary'!$J:$J,"OMIG")</f>
        <v>0</v>
      </c>
      <c r="FK20" s="55">
        <f>SUMIFS('Disbursements Summary'!$E:$E,'Disbursements Summary'!$C:$C,$C20,'Disbursements Summary'!$A:$A,"OMIG")</f>
        <v>0</v>
      </c>
      <c r="FL20" s="55">
        <f>SUMIFS('Awards Summary'!$H:$H,'Awards Summary'!$B:$B,$C20,'Awards Summary'!$J:$J,"OSC")</f>
        <v>0</v>
      </c>
      <c r="FM20" s="55">
        <f>SUMIFS('Disbursements Summary'!$E:$E,'Disbursements Summary'!$C:$C,$C20,'Disbursements Summary'!$A:$A,"OSC")</f>
        <v>0</v>
      </c>
      <c r="FN20" s="55">
        <f>SUMIFS('Awards Summary'!$H:$H,'Awards Summary'!$B:$B,$C20,'Awards Summary'!$J:$J,"OWIG")</f>
        <v>0</v>
      </c>
      <c r="FO20" s="55">
        <f>SUMIFS('Disbursements Summary'!$E:$E,'Disbursements Summary'!$C:$C,$C20,'Disbursements Summary'!$A:$A,"OWIG")</f>
        <v>0</v>
      </c>
      <c r="FP20" s="55">
        <f>SUMIFS('Awards Summary'!$H:$H,'Awards Summary'!$B:$B,$C20,'Awards Summary'!$J:$J,"OGDEN")</f>
        <v>0</v>
      </c>
      <c r="FQ20" s="55">
        <f>SUMIFS('Disbursements Summary'!$E:$E,'Disbursements Summary'!$C:$C,$C20,'Disbursements Summary'!$A:$A,"OGDEN")</f>
        <v>0</v>
      </c>
      <c r="FR20" s="55">
        <f>SUMIFS('Awards Summary'!$H:$H,'Awards Summary'!$B:$B,$C20,'Awards Summary'!$J:$J,"ORDA")</f>
        <v>0</v>
      </c>
      <c r="FS20" s="55">
        <f>SUMIFS('Disbursements Summary'!$E:$E,'Disbursements Summary'!$C:$C,$C20,'Disbursements Summary'!$A:$A,"ORDA")</f>
        <v>0</v>
      </c>
      <c r="FT20" s="55">
        <f>SUMIFS('Awards Summary'!$H:$H,'Awards Summary'!$B:$B,$C20,'Awards Summary'!$J:$J,"OSWEGO")</f>
        <v>0</v>
      </c>
      <c r="FU20" s="55">
        <f>SUMIFS('Disbursements Summary'!$E:$E,'Disbursements Summary'!$C:$C,$C20,'Disbursements Summary'!$A:$A,"OSWEGO")</f>
        <v>0</v>
      </c>
      <c r="FV20" s="55">
        <f>SUMIFS('Awards Summary'!$H:$H,'Awards Summary'!$B:$B,$C20,'Awards Summary'!$J:$J,"PERB")</f>
        <v>0</v>
      </c>
      <c r="FW20" s="55">
        <f>SUMIFS('Disbursements Summary'!$E:$E,'Disbursements Summary'!$C:$C,$C20,'Disbursements Summary'!$A:$A,"PERB")</f>
        <v>0</v>
      </c>
      <c r="FX20" s="55">
        <f>SUMIFS('Awards Summary'!$H:$H,'Awards Summary'!$B:$B,$C20,'Awards Summary'!$J:$J,"RGRTA")</f>
        <v>0</v>
      </c>
      <c r="FY20" s="55">
        <f>SUMIFS('Disbursements Summary'!$E:$E,'Disbursements Summary'!$C:$C,$C20,'Disbursements Summary'!$A:$A,"RGRTA")</f>
        <v>0</v>
      </c>
      <c r="FZ20" s="55">
        <f>SUMIFS('Awards Summary'!$H:$H,'Awards Summary'!$B:$B,$C20,'Awards Summary'!$J:$J,"RIOC")</f>
        <v>0</v>
      </c>
      <c r="GA20" s="55">
        <f>SUMIFS('Disbursements Summary'!$E:$E,'Disbursements Summary'!$C:$C,$C20,'Disbursements Summary'!$A:$A,"RIOC")</f>
        <v>0</v>
      </c>
      <c r="GB20" s="55">
        <f>SUMIFS('Awards Summary'!$H:$H,'Awards Summary'!$B:$B,$C20,'Awards Summary'!$J:$J,"RPCI")</f>
        <v>0</v>
      </c>
      <c r="GC20" s="55">
        <f>SUMIFS('Disbursements Summary'!$E:$E,'Disbursements Summary'!$C:$C,$C20,'Disbursements Summary'!$A:$A,"RPCI")</f>
        <v>0</v>
      </c>
      <c r="GD20" s="55">
        <f>SUMIFS('Awards Summary'!$H:$H,'Awards Summary'!$B:$B,$C20,'Awards Summary'!$J:$J,"SMDA")</f>
        <v>0</v>
      </c>
      <c r="GE20" s="55">
        <f>SUMIFS('Disbursements Summary'!$E:$E,'Disbursements Summary'!$C:$C,$C20,'Disbursements Summary'!$A:$A,"SMDA")</f>
        <v>0</v>
      </c>
      <c r="GF20" s="55">
        <f>SUMIFS('Awards Summary'!$H:$H,'Awards Summary'!$B:$B,$C20,'Awards Summary'!$J:$J,"SCOC")</f>
        <v>0</v>
      </c>
      <c r="GG20" s="55">
        <f>SUMIFS('Disbursements Summary'!$E:$E,'Disbursements Summary'!$C:$C,$C20,'Disbursements Summary'!$A:$A,"SCOC")</f>
        <v>0</v>
      </c>
      <c r="GH20" s="55">
        <f>SUMIFS('Awards Summary'!$H:$H,'Awards Summary'!$B:$B,$C20,'Awards Summary'!$J:$J,"SUCF")</f>
        <v>0</v>
      </c>
      <c r="GI20" s="55">
        <f>SUMIFS('Disbursements Summary'!$E:$E,'Disbursements Summary'!$C:$C,$C20,'Disbursements Summary'!$A:$A,"SUCF")</f>
        <v>0</v>
      </c>
      <c r="GJ20" s="55">
        <f>SUMIFS('Awards Summary'!$H:$H,'Awards Summary'!$B:$B,$C20,'Awards Summary'!$J:$J,"SUNY")</f>
        <v>0</v>
      </c>
      <c r="GK20" s="55">
        <f>SUMIFS('Disbursements Summary'!$E:$E,'Disbursements Summary'!$C:$C,$C20,'Disbursements Summary'!$A:$A,"SUNY")</f>
        <v>0</v>
      </c>
      <c r="GL20" s="55">
        <f>SUMIFS('Awards Summary'!$H:$H,'Awards Summary'!$B:$B,$C20,'Awards Summary'!$J:$J,"SRAA")</f>
        <v>0</v>
      </c>
      <c r="GM20" s="55">
        <f>SUMIFS('Disbursements Summary'!$E:$E,'Disbursements Summary'!$C:$C,$C20,'Disbursements Summary'!$A:$A,"SRAA")</f>
        <v>0</v>
      </c>
      <c r="GN20" s="55">
        <f>SUMIFS('Awards Summary'!$H:$H,'Awards Summary'!$B:$B,$C20,'Awards Summary'!$J:$J,"UNDC")</f>
        <v>0</v>
      </c>
      <c r="GO20" s="55">
        <f>SUMIFS('Disbursements Summary'!$E:$E,'Disbursements Summary'!$C:$C,$C20,'Disbursements Summary'!$A:$A,"UNDC")</f>
        <v>0</v>
      </c>
      <c r="GP20" s="55">
        <f>SUMIFS('Awards Summary'!$H:$H,'Awards Summary'!$B:$B,$C20,'Awards Summary'!$J:$J,"MVWA")</f>
        <v>0</v>
      </c>
      <c r="GQ20" s="55">
        <f>SUMIFS('Disbursements Summary'!$E:$E,'Disbursements Summary'!$C:$C,$C20,'Disbursements Summary'!$A:$A,"MVWA")</f>
        <v>0</v>
      </c>
      <c r="GR20" s="55">
        <f>SUMIFS('Awards Summary'!$H:$H,'Awards Summary'!$B:$B,$C20,'Awards Summary'!$J:$J,"WMC")</f>
        <v>0</v>
      </c>
      <c r="GS20" s="55">
        <f>SUMIFS('Disbursements Summary'!$E:$E,'Disbursements Summary'!$C:$C,$C20,'Disbursements Summary'!$A:$A,"WMC")</f>
        <v>0</v>
      </c>
      <c r="GT20" s="55">
        <f>SUMIFS('Awards Summary'!$H:$H,'Awards Summary'!$B:$B,$C20,'Awards Summary'!$J:$J,"WCB")</f>
        <v>0</v>
      </c>
      <c r="GU20" s="55">
        <f>SUMIFS('Disbursements Summary'!$E:$E,'Disbursements Summary'!$C:$C,$C20,'Disbursements Summary'!$A:$A,"WCB")</f>
        <v>0</v>
      </c>
      <c r="GV20" s="32">
        <f t="shared" si="1"/>
        <v>0</v>
      </c>
      <c r="GW20" s="32">
        <f t="shared" si="2"/>
        <v>0</v>
      </c>
      <c r="GX20" s="30" t="b">
        <f t="shared" si="3"/>
        <v>1</v>
      </c>
      <c r="GY20" s="30" t="b">
        <f t="shared" si="4"/>
        <v>1</v>
      </c>
    </row>
    <row r="21" spans="1:207" s="30" customFormat="1">
      <c r="A21" s="22" t="str">
        <f t="shared" si="0"/>
        <v/>
      </c>
      <c r="B21" s="40" t="s">
        <v>43</v>
      </c>
      <c r="C21" s="16">
        <v>141035</v>
      </c>
      <c r="D21" s="26">
        <f>COUNTIF('Awards Summary'!B:B,"141035")</f>
        <v>0</v>
      </c>
      <c r="E21" s="45">
        <f>SUMIFS('Awards Summary'!H:H,'Awards Summary'!B:B,"141035")</f>
        <v>0</v>
      </c>
      <c r="F21" s="46">
        <f>SUMIFS('Disbursements Summary'!E:E,'Disbursements Summary'!C:C, "141035")</f>
        <v>0</v>
      </c>
      <c r="H21" s="55">
        <f>SUMIFS('Awards Summary'!$H:$H,'Awards Summary'!$B:$B,$C21,'Awards Summary'!$J:$J,"APA")</f>
        <v>0</v>
      </c>
      <c r="I21" s="55">
        <f>SUMIFS('Disbursements Summary'!$E:$E,'Disbursements Summary'!$C:$C,$C21,'Disbursements Summary'!$A:$A,"APA")</f>
        <v>0</v>
      </c>
      <c r="J21" s="55">
        <f>SUMIFS('Awards Summary'!$H:$H,'Awards Summary'!$B:$B,$C21,'Awards Summary'!$J:$J,"Ag&amp;Horse")</f>
        <v>0</v>
      </c>
      <c r="K21" s="55">
        <f>SUMIFS('Disbursements Summary'!$E:$E,'Disbursements Summary'!$C:$C,$C21,'Disbursements Summary'!$A:$A,"Ag&amp;Horse")</f>
        <v>0</v>
      </c>
      <c r="L21" s="55">
        <f>SUMIFS('Awards Summary'!$H:$H,'Awards Summary'!$B:$B,$C21,'Awards Summary'!$J:$J,"ACAA")</f>
        <v>0</v>
      </c>
      <c r="M21" s="55">
        <f>SUMIFS('Disbursements Summary'!$E:$E,'Disbursements Summary'!$C:$C,$C21,'Disbursements Summary'!$A:$A,"ACAA")</f>
        <v>0</v>
      </c>
      <c r="N21" s="55">
        <f>SUMIFS('Awards Summary'!$H:$H,'Awards Summary'!$B:$B,$C21,'Awards Summary'!$J:$J,"PortAlbany")</f>
        <v>0</v>
      </c>
      <c r="O21" s="55">
        <f>SUMIFS('Disbursements Summary'!$E:$E,'Disbursements Summary'!$C:$C,$C21,'Disbursements Summary'!$A:$A,"PortAlbany")</f>
        <v>0</v>
      </c>
      <c r="P21" s="55">
        <f>SUMIFS('Awards Summary'!$H:$H,'Awards Summary'!$B:$B,$C21,'Awards Summary'!$J:$J,"SLA")</f>
        <v>0</v>
      </c>
      <c r="Q21" s="55">
        <f>SUMIFS('Disbursements Summary'!$E:$E,'Disbursements Summary'!$C:$C,$C21,'Disbursements Summary'!$A:$A,"SLA")</f>
        <v>0</v>
      </c>
      <c r="R21" s="55">
        <f>SUMIFS('Awards Summary'!$H:$H,'Awards Summary'!$B:$B,$C21,'Awards Summary'!$J:$J,"BPCA")</f>
        <v>0</v>
      </c>
      <c r="S21" s="55">
        <f>SUMIFS('Disbursements Summary'!$E:$E,'Disbursements Summary'!$C:$C,$C21,'Disbursements Summary'!$A:$A,"BPCA")</f>
        <v>0</v>
      </c>
      <c r="T21" s="55">
        <f>SUMIFS('Awards Summary'!$H:$H,'Awards Summary'!$B:$B,$C21,'Awards Summary'!$J:$J,"ELECTIONS")</f>
        <v>0</v>
      </c>
      <c r="U21" s="55">
        <f>SUMIFS('Disbursements Summary'!$E:$E,'Disbursements Summary'!$C:$C,$C21,'Disbursements Summary'!$A:$A,"ELECTIONS")</f>
        <v>0</v>
      </c>
      <c r="V21" s="55">
        <f>SUMIFS('Awards Summary'!$H:$H,'Awards Summary'!$B:$B,$C21,'Awards Summary'!$J:$J,"BFSA")</f>
        <v>0</v>
      </c>
      <c r="W21" s="55">
        <f>SUMIFS('Disbursements Summary'!$E:$E,'Disbursements Summary'!$C:$C,$C21,'Disbursements Summary'!$A:$A,"BFSA")</f>
        <v>0</v>
      </c>
      <c r="X21" s="55">
        <f>SUMIFS('Awards Summary'!$H:$H,'Awards Summary'!$B:$B,$C21,'Awards Summary'!$J:$J,"CDTA")</f>
        <v>0</v>
      </c>
      <c r="Y21" s="55">
        <f>SUMIFS('Disbursements Summary'!$E:$E,'Disbursements Summary'!$C:$C,$C21,'Disbursements Summary'!$A:$A,"CDTA")</f>
        <v>0</v>
      </c>
      <c r="Z21" s="55">
        <f>SUMIFS('Awards Summary'!$H:$H,'Awards Summary'!$B:$B,$C21,'Awards Summary'!$J:$J,"CCWSA")</f>
        <v>0</v>
      </c>
      <c r="AA21" s="55">
        <f>SUMIFS('Disbursements Summary'!$E:$E,'Disbursements Summary'!$C:$C,$C21,'Disbursements Summary'!$A:$A,"CCWSA")</f>
        <v>0</v>
      </c>
      <c r="AB21" s="55">
        <f>SUMIFS('Awards Summary'!$H:$H,'Awards Summary'!$B:$B,$C21,'Awards Summary'!$J:$J,"CNYRTA")</f>
        <v>0</v>
      </c>
      <c r="AC21" s="55">
        <f>SUMIFS('Disbursements Summary'!$E:$E,'Disbursements Summary'!$C:$C,$C21,'Disbursements Summary'!$A:$A,"CNYRTA")</f>
        <v>0</v>
      </c>
      <c r="AD21" s="55">
        <f>SUMIFS('Awards Summary'!$H:$H,'Awards Summary'!$B:$B,$C21,'Awards Summary'!$J:$J,"CUCF")</f>
        <v>0</v>
      </c>
      <c r="AE21" s="55">
        <f>SUMIFS('Disbursements Summary'!$E:$E,'Disbursements Summary'!$C:$C,$C21,'Disbursements Summary'!$A:$A,"CUCF")</f>
        <v>0</v>
      </c>
      <c r="AF21" s="55">
        <f>SUMIFS('Awards Summary'!$H:$H,'Awards Summary'!$B:$B,$C21,'Awards Summary'!$J:$J,"CUNY")</f>
        <v>0</v>
      </c>
      <c r="AG21" s="55">
        <f>SUMIFS('Disbursements Summary'!$E:$E,'Disbursements Summary'!$C:$C,$C21,'Disbursements Summary'!$A:$A,"CUNY")</f>
        <v>0</v>
      </c>
      <c r="AH21" s="55">
        <f>SUMIFS('Awards Summary'!$H:$H,'Awards Summary'!$B:$B,$C21,'Awards Summary'!$J:$J,"ARTS")</f>
        <v>0</v>
      </c>
      <c r="AI21" s="55">
        <f>SUMIFS('Disbursements Summary'!$E:$E,'Disbursements Summary'!$C:$C,$C21,'Disbursements Summary'!$A:$A,"ARTS")</f>
        <v>0</v>
      </c>
      <c r="AJ21" s="55">
        <f>SUMIFS('Awards Summary'!$H:$H,'Awards Summary'!$B:$B,$C21,'Awards Summary'!$J:$J,"AG&amp;MKTS")</f>
        <v>0</v>
      </c>
      <c r="AK21" s="55">
        <f>SUMIFS('Disbursements Summary'!$E:$E,'Disbursements Summary'!$C:$C,$C21,'Disbursements Summary'!$A:$A,"AG&amp;MKTS")</f>
        <v>0</v>
      </c>
      <c r="AL21" s="55">
        <f>SUMIFS('Awards Summary'!$H:$H,'Awards Summary'!$B:$B,$C21,'Awards Summary'!$J:$J,"CS")</f>
        <v>0</v>
      </c>
      <c r="AM21" s="55">
        <f>SUMIFS('Disbursements Summary'!$E:$E,'Disbursements Summary'!$C:$C,$C21,'Disbursements Summary'!$A:$A,"CS")</f>
        <v>0</v>
      </c>
      <c r="AN21" s="55">
        <f>SUMIFS('Awards Summary'!$H:$H,'Awards Summary'!$B:$B,$C21,'Awards Summary'!$J:$J,"DOCCS")</f>
        <v>0</v>
      </c>
      <c r="AO21" s="55">
        <f>SUMIFS('Disbursements Summary'!$E:$E,'Disbursements Summary'!$C:$C,$C21,'Disbursements Summary'!$A:$A,"DOCCS")</f>
        <v>0</v>
      </c>
      <c r="AP21" s="55">
        <f>SUMIFS('Awards Summary'!$H:$H,'Awards Summary'!$B:$B,$C21,'Awards Summary'!$J:$J,"DED")</f>
        <v>0</v>
      </c>
      <c r="AQ21" s="55">
        <f>SUMIFS('Disbursements Summary'!$E:$E,'Disbursements Summary'!$C:$C,$C21,'Disbursements Summary'!$A:$A,"DED")</f>
        <v>0</v>
      </c>
      <c r="AR21" s="55">
        <f>SUMIFS('Awards Summary'!$H:$H,'Awards Summary'!$B:$B,$C21,'Awards Summary'!$J:$J,"DEC")</f>
        <v>0</v>
      </c>
      <c r="AS21" s="55">
        <f>SUMIFS('Disbursements Summary'!$E:$E,'Disbursements Summary'!$C:$C,$C21,'Disbursements Summary'!$A:$A,"DEC")</f>
        <v>0</v>
      </c>
      <c r="AT21" s="55">
        <f>SUMIFS('Awards Summary'!$H:$H,'Awards Summary'!$B:$B,$C21,'Awards Summary'!$J:$J,"DFS")</f>
        <v>0</v>
      </c>
      <c r="AU21" s="55">
        <f>SUMIFS('Disbursements Summary'!$E:$E,'Disbursements Summary'!$C:$C,$C21,'Disbursements Summary'!$A:$A,"DFS")</f>
        <v>0</v>
      </c>
      <c r="AV21" s="55">
        <f>SUMIFS('Awards Summary'!$H:$H,'Awards Summary'!$B:$B,$C21,'Awards Summary'!$J:$J,"DOH")</f>
        <v>0</v>
      </c>
      <c r="AW21" s="55">
        <f>SUMIFS('Disbursements Summary'!$E:$E,'Disbursements Summary'!$C:$C,$C21,'Disbursements Summary'!$A:$A,"DOH")</f>
        <v>0</v>
      </c>
      <c r="AX21" s="55">
        <f>SUMIFS('Awards Summary'!$H:$H,'Awards Summary'!$B:$B,$C21,'Awards Summary'!$J:$J,"DOL")</f>
        <v>0</v>
      </c>
      <c r="AY21" s="55">
        <f>SUMIFS('Disbursements Summary'!$E:$E,'Disbursements Summary'!$C:$C,$C21,'Disbursements Summary'!$A:$A,"DOL")</f>
        <v>0</v>
      </c>
      <c r="AZ21" s="55">
        <f>SUMIFS('Awards Summary'!$H:$H,'Awards Summary'!$B:$B,$C21,'Awards Summary'!$J:$J,"DMV")</f>
        <v>0</v>
      </c>
      <c r="BA21" s="55">
        <f>SUMIFS('Disbursements Summary'!$E:$E,'Disbursements Summary'!$C:$C,$C21,'Disbursements Summary'!$A:$A,"DMV")</f>
        <v>0</v>
      </c>
      <c r="BB21" s="55">
        <f>SUMIFS('Awards Summary'!$H:$H,'Awards Summary'!$B:$B,$C21,'Awards Summary'!$J:$J,"DPS")</f>
        <v>0</v>
      </c>
      <c r="BC21" s="55">
        <f>SUMIFS('Disbursements Summary'!$E:$E,'Disbursements Summary'!$C:$C,$C21,'Disbursements Summary'!$A:$A,"DPS")</f>
        <v>0</v>
      </c>
      <c r="BD21" s="55">
        <f>SUMIFS('Awards Summary'!$H:$H,'Awards Summary'!$B:$B,$C21,'Awards Summary'!$J:$J,"DOS")</f>
        <v>0</v>
      </c>
      <c r="BE21" s="55">
        <f>SUMIFS('Disbursements Summary'!$E:$E,'Disbursements Summary'!$C:$C,$C21,'Disbursements Summary'!$A:$A,"DOS")</f>
        <v>0</v>
      </c>
      <c r="BF21" s="55">
        <f>SUMIFS('Awards Summary'!$H:$H,'Awards Summary'!$B:$B,$C21,'Awards Summary'!$J:$J,"TAX")</f>
        <v>0</v>
      </c>
      <c r="BG21" s="55">
        <f>SUMIFS('Disbursements Summary'!$E:$E,'Disbursements Summary'!$C:$C,$C21,'Disbursements Summary'!$A:$A,"TAX")</f>
        <v>0</v>
      </c>
      <c r="BH21" s="55">
        <f>SUMIFS('Awards Summary'!$H:$H,'Awards Summary'!$B:$B,$C21,'Awards Summary'!$J:$J,"DOT")</f>
        <v>0</v>
      </c>
      <c r="BI21" s="55">
        <f>SUMIFS('Disbursements Summary'!$E:$E,'Disbursements Summary'!$C:$C,$C21,'Disbursements Summary'!$A:$A,"DOT")</f>
        <v>0</v>
      </c>
      <c r="BJ21" s="55">
        <f>SUMIFS('Awards Summary'!$H:$H,'Awards Summary'!$B:$B,$C21,'Awards Summary'!$J:$J,"DANC")</f>
        <v>0</v>
      </c>
      <c r="BK21" s="55">
        <f>SUMIFS('Disbursements Summary'!$E:$E,'Disbursements Summary'!$C:$C,$C21,'Disbursements Summary'!$A:$A,"DANC")</f>
        <v>0</v>
      </c>
      <c r="BL21" s="55">
        <f>SUMIFS('Awards Summary'!$H:$H,'Awards Summary'!$B:$B,$C21,'Awards Summary'!$J:$J,"DOB")</f>
        <v>0</v>
      </c>
      <c r="BM21" s="55">
        <f>SUMIFS('Disbursements Summary'!$E:$E,'Disbursements Summary'!$C:$C,$C21,'Disbursements Summary'!$A:$A,"DOB")</f>
        <v>0</v>
      </c>
      <c r="BN21" s="55">
        <f>SUMIFS('Awards Summary'!$H:$H,'Awards Summary'!$B:$B,$C21,'Awards Summary'!$J:$J,"DCJS")</f>
        <v>0</v>
      </c>
      <c r="BO21" s="55">
        <f>SUMIFS('Disbursements Summary'!$E:$E,'Disbursements Summary'!$C:$C,$C21,'Disbursements Summary'!$A:$A,"DCJS")</f>
        <v>0</v>
      </c>
      <c r="BP21" s="55">
        <f>SUMIFS('Awards Summary'!$H:$H,'Awards Summary'!$B:$B,$C21,'Awards Summary'!$J:$J,"DHSES")</f>
        <v>0</v>
      </c>
      <c r="BQ21" s="55">
        <f>SUMIFS('Disbursements Summary'!$E:$E,'Disbursements Summary'!$C:$C,$C21,'Disbursements Summary'!$A:$A,"DHSES")</f>
        <v>0</v>
      </c>
      <c r="BR21" s="55">
        <f>SUMIFS('Awards Summary'!$H:$H,'Awards Summary'!$B:$B,$C21,'Awards Summary'!$J:$J,"DHR")</f>
        <v>0</v>
      </c>
      <c r="BS21" s="55">
        <f>SUMIFS('Disbursements Summary'!$E:$E,'Disbursements Summary'!$C:$C,$C21,'Disbursements Summary'!$A:$A,"DHR")</f>
        <v>0</v>
      </c>
      <c r="BT21" s="55">
        <f>SUMIFS('Awards Summary'!$H:$H,'Awards Summary'!$B:$B,$C21,'Awards Summary'!$J:$J,"DMNA")</f>
        <v>0</v>
      </c>
      <c r="BU21" s="55">
        <f>SUMIFS('Disbursements Summary'!$E:$E,'Disbursements Summary'!$C:$C,$C21,'Disbursements Summary'!$A:$A,"DMNA")</f>
        <v>0</v>
      </c>
      <c r="BV21" s="55">
        <f>SUMIFS('Awards Summary'!$H:$H,'Awards Summary'!$B:$B,$C21,'Awards Summary'!$J:$J,"TROOPERS")</f>
        <v>0</v>
      </c>
      <c r="BW21" s="55">
        <f>SUMIFS('Disbursements Summary'!$E:$E,'Disbursements Summary'!$C:$C,$C21,'Disbursements Summary'!$A:$A,"TROOPERS")</f>
        <v>0</v>
      </c>
      <c r="BX21" s="55">
        <f>SUMIFS('Awards Summary'!$H:$H,'Awards Summary'!$B:$B,$C21,'Awards Summary'!$J:$J,"DVA")</f>
        <v>0</v>
      </c>
      <c r="BY21" s="55">
        <f>SUMIFS('Disbursements Summary'!$E:$E,'Disbursements Summary'!$C:$C,$C21,'Disbursements Summary'!$A:$A,"DVA")</f>
        <v>0</v>
      </c>
      <c r="BZ21" s="55">
        <f>SUMIFS('Awards Summary'!$H:$H,'Awards Summary'!$B:$B,$C21,'Awards Summary'!$J:$J,"DASNY")</f>
        <v>0</v>
      </c>
      <c r="CA21" s="55">
        <f>SUMIFS('Disbursements Summary'!$E:$E,'Disbursements Summary'!$C:$C,$C21,'Disbursements Summary'!$A:$A,"DASNY")</f>
        <v>0</v>
      </c>
      <c r="CB21" s="55">
        <f>SUMIFS('Awards Summary'!$H:$H,'Awards Summary'!$B:$B,$C21,'Awards Summary'!$J:$J,"EGG")</f>
        <v>0</v>
      </c>
      <c r="CC21" s="55">
        <f>SUMIFS('Disbursements Summary'!$E:$E,'Disbursements Summary'!$C:$C,$C21,'Disbursements Summary'!$A:$A,"EGG")</f>
        <v>0</v>
      </c>
      <c r="CD21" s="55">
        <f>SUMIFS('Awards Summary'!$H:$H,'Awards Summary'!$B:$B,$C21,'Awards Summary'!$J:$J,"ESD")</f>
        <v>0</v>
      </c>
      <c r="CE21" s="55">
        <f>SUMIFS('Disbursements Summary'!$E:$E,'Disbursements Summary'!$C:$C,$C21,'Disbursements Summary'!$A:$A,"ESD")</f>
        <v>0</v>
      </c>
      <c r="CF21" s="55">
        <f>SUMIFS('Awards Summary'!$H:$H,'Awards Summary'!$B:$B,$C21,'Awards Summary'!$J:$J,"EFC")</f>
        <v>0</v>
      </c>
      <c r="CG21" s="55">
        <f>SUMIFS('Disbursements Summary'!$E:$E,'Disbursements Summary'!$C:$C,$C21,'Disbursements Summary'!$A:$A,"EFC")</f>
        <v>0</v>
      </c>
      <c r="CH21" s="55">
        <f>SUMIFS('Awards Summary'!$H:$H,'Awards Summary'!$B:$B,$C21,'Awards Summary'!$J:$J,"ECFSA")</f>
        <v>0</v>
      </c>
      <c r="CI21" s="55">
        <f>SUMIFS('Disbursements Summary'!$E:$E,'Disbursements Summary'!$C:$C,$C21,'Disbursements Summary'!$A:$A,"ECFSA")</f>
        <v>0</v>
      </c>
      <c r="CJ21" s="55">
        <f>SUMIFS('Awards Summary'!$H:$H,'Awards Summary'!$B:$B,$C21,'Awards Summary'!$J:$J,"ECMC")</f>
        <v>0</v>
      </c>
      <c r="CK21" s="55">
        <f>SUMIFS('Disbursements Summary'!$E:$E,'Disbursements Summary'!$C:$C,$C21,'Disbursements Summary'!$A:$A,"ECMC")</f>
        <v>0</v>
      </c>
      <c r="CL21" s="55">
        <f>SUMIFS('Awards Summary'!$H:$H,'Awards Summary'!$B:$B,$C21,'Awards Summary'!$J:$J,"CHAMBER")</f>
        <v>0</v>
      </c>
      <c r="CM21" s="55">
        <f>SUMIFS('Disbursements Summary'!$E:$E,'Disbursements Summary'!$C:$C,$C21,'Disbursements Summary'!$A:$A,"CHAMBER")</f>
        <v>0</v>
      </c>
      <c r="CN21" s="55">
        <f>SUMIFS('Awards Summary'!$H:$H,'Awards Summary'!$B:$B,$C21,'Awards Summary'!$J:$J,"GAMING")</f>
        <v>0</v>
      </c>
      <c r="CO21" s="55">
        <f>SUMIFS('Disbursements Summary'!$E:$E,'Disbursements Summary'!$C:$C,$C21,'Disbursements Summary'!$A:$A,"GAMING")</f>
        <v>0</v>
      </c>
      <c r="CP21" s="55">
        <f>SUMIFS('Awards Summary'!$H:$H,'Awards Summary'!$B:$B,$C21,'Awards Summary'!$J:$J,"GOER")</f>
        <v>0</v>
      </c>
      <c r="CQ21" s="55">
        <f>SUMIFS('Disbursements Summary'!$E:$E,'Disbursements Summary'!$C:$C,$C21,'Disbursements Summary'!$A:$A,"GOER")</f>
        <v>0</v>
      </c>
      <c r="CR21" s="55">
        <f>SUMIFS('Awards Summary'!$H:$H,'Awards Summary'!$B:$B,$C21,'Awards Summary'!$J:$J,"HESC")</f>
        <v>0</v>
      </c>
      <c r="CS21" s="55">
        <f>SUMIFS('Disbursements Summary'!$E:$E,'Disbursements Summary'!$C:$C,$C21,'Disbursements Summary'!$A:$A,"HESC")</f>
        <v>0</v>
      </c>
      <c r="CT21" s="55">
        <f>SUMIFS('Awards Summary'!$H:$H,'Awards Summary'!$B:$B,$C21,'Awards Summary'!$J:$J,"GOSR")</f>
        <v>0</v>
      </c>
      <c r="CU21" s="55">
        <f>SUMIFS('Disbursements Summary'!$E:$E,'Disbursements Summary'!$C:$C,$C21,'Disbursements Summary'!$A:$A,"GOSR")</f>
        <v>0</v>
      </c>
      <c r="CV21" s="55">
        <f>SUMIFS('Awards Summary'!$H:$H,'Awards Summary'!$B:$B,$C21,'Awards Summary'!$J:$J,"HRPT")</f>
        <v>0</v>
      </c>
      <c r="CW21" s="55">
        <f>SUMIFS('Disbursements Summary'!$E:$E,'Disbursements Summary'!$C:$C,$C21,'Disbursements Summary'!$A:$A,"HRPT")</f>
        <v>0</v>
      </c>
      <c r="CX21" s="55">
        <f>SUMIFS('Awards Summary'!$H:$H,'Awards Summary'!$B:$B,$C21,'Awards Summary'!$J:$J,"HRBRRD")</f>
        <v>0</v>
      </c>
      <c r="CY21" s="55">
        <f>SUMIFS('Disbursements Summary'!$E:$E,'Disbursements Summary'!$C:$C,$C21,'Disbursements Summary'!$A:$A,"HRBRRD")</f>
        <v>0</v>
      </c>
      <c r="CZ21" s="55">
        <f>SUMIFS('Awards Summary'!$H:$H,'Awards Summary'!$B:$B,$C21,'Awards Summary'!$J:$J,"ITS")</f>
        <v>0</v>
      </c>
      <c r="DA21" s="55">
        <f>SUMIFS('Disbursements Summary'!$E:$E,'Disbursements Summary'!$C:$C,$C21,'Disbursements Summary'!$A:$A,"ITS")</f>
        <v>0</v>
      </c>
      <c r="DB21" s="55">
        <f>SUMIFS('Awards Summary'!$H:$H,'Awards Summary'!$B:$B,$C21,'Awards Summary'!$J:$J,"JAVITS")</f>
        <v>0</v>
      </c>
      <c r="DC21" s="55">
        <f>SUMIFS('Disbursements Summary'!$E:$E,'Disbursements Summary'!$C:$C,$C21,'Disbursements Summary'!$A:$A,"JAVITS")</f>
        <v>0</v>
      </c>
      <c r="DD21" s="55">
        <f>SUMIFS('Awards Summary'!$H:$H,'Awards Summary'!$B:$B,$C21,'Awards Summary'!$J:$J,"JCOPE")</f>
        <v>0</v>
      </c>
      <c r="DE21" s="55">
        <f>SUMIFS('Disbursements Summary'!$E:$E,'Disbursements Summary'!$C:$C,$C21,'Disbursements Summary'!$A:$A,"JCOPE")</f>
        <v>0</v>
      </c>
      <c r="DF21" s="55">
        <f>SUMIFS('Awards Summary'!$H:$H,'Awards Summary'!$B:$B,$C21,'Awards Summary'!$J:$J,"JUSTICE")</f>
        <v>0</v>
      </c>
      <c r="DG21" s="55">
        <f>SUMIFS('Disbursements Summary'!$E:$E,'Disbursements Summary'!$C:$C,$C21,'Disbursements Summary'!$A:$A,"JUSTICE")</f>
        <v>0</v>
      </c>
      <c r="DH21" s="55">
        <f>SUMIFS('Awards Summary'!$H:$H,'Awards Summary'!$B:$B,$C21,'Awards Summary'!$J:$J,"LCWSA")</f>
        <v>0</v>
      </c>
      <c r="DI21" s="55">
        <f>SUMIFS('Disbursements Summary'!$E:$E,'Disbursements Summary'!$C:$C,$C21,'Disbursements Summary'!$A:$A,"LCWSA")</f>
        <v>0</v>
      </c>
      <c r="DJ21" s="55">
        <f>SUMIFS('Awards Summary'!$H:$H,'Awards Summary'!$B:$B,$C21,'Awards Summary'!$J:$J,"LIPA")</f>
        <v>0</v>
      </c>
      <c r="DK21" s="55">
        <f>SUMIFS('Disbursements Summary'!$E:$E,'Disbursements Summary'!$C:$C,$C21,'Disbursements Summary'!$A:$A,"LIPA")</f>
        <v>0</v>
      </c>
      <c r="DL21" s="55">
        <f>SUMIFS('Awards Summary'!$H:$H,'Awards Summary'!$B:$B,$C21,'Awards Summary'!$J:$J,"MTA")</f>
        <v>0</v>
      </c>
      <c r="DM21" s="55">
        <f>SUMIFS('Disbursements Summary'!$E:$E,'Disbursements Summary'!$C:$C,$C21,'Disbursements Summary'!$A:$A,"MTA")</f>
        <v>0</v>
      </c>
      <c r="DN21" s="55">
        <f>SUMIFS('Awards Summary'!$H:$H,'Awards Summary'!$B:$B,$C21,'Awards Summary'!$J:$J,"NIFA")</f>
        <v>0</v>
      </c>
      <c r="DO21" s="55">
        <f>SUMIFS('Disbursements Summary'!$E:$E,'Disbursements Summary'!$C:$C,$C21,'Disbursements Summary'!$A:$A,"NIFA")</f>
        <v>0</v>
      </c>
      <c r="DP21" s="55">
        <f>SUMIFS('Awards Summary'!$H:$H,'Awards Summary'!$B:$B,$C21,'Awards Summary'!$J:$J,"NHCC")</f>
        <v>0</v>
      </c>
      <c r="DQ21" s="55">
        <f>SUMIFS('Disbursements Summary'!$E:$E,'Disbursements Summary'!$C:$C,$C21,'Disbursements Summary'!$A:$A,"NHCC")</f>
        <v>0</v>
      </c>
      <c r="DR21" s="55">
        <f>SUMIFS('Awards Summary'!$H:$H,'Awards Summary'!$B:$B,$C21,'Awards Summary'!$J:$J,"NHT")</f>
        <v>0</v>
      </c>
      <c r="DS21" s="55">
        <f>SUMIFS('Disbursements Summary'!$E:$E,'Disbursements Summary'!$C:$C,$C21,'Disbursements Summary'!$A:$A,"NHT")</f>
        <v>0</v>
      </c>
      <c r="DT21" s="55">
        <f>SUMIFS('Awards Summary'!$H:$H,'Awards Summary'!$B:$B,$C21,'Awards Summary'!$J:$J,"NYPA")</f>
        <v>0</v>
      </c>
      <c r="DU21" s="55">
        <f>SUMIFS('Disbursements Summary'!$E:$E,'Disbursements Summary'!$C:$C,$C21,'Disbursements Summary'!$A:$A,"NYPA")</f>
        <v>0</v>
      </c>
      <c r="DV21" s="55">
        <f>SUMIFS('Awards Summary'!$H:$H,'Awards Summary'!$B:$B,$C21,'Awards Summary'!$J:$J,"NYSBA")</f>
        <v>0</v>
      </c>
      <c r="DW21" s="55">
        <f>SUMIFS('Disbursements Summary'!$E:$E,'Disbursements Summary'!$C:$C,$C21,'Disbursements Summary'!$A:$A,"NYSBA")</f>
        <v>0</v>
      </c>
      <c r="DX21" s="55">
        <f>SUMIFS('Awards Summary'!$H:$H,'Awards Summary'!$B:$B,$C21,'Awards Summary'!$J:$J,"NYSERDA")</f>
        <v>0</v>
      </c>
      <c r="DY21" s="55">
        <f>SUMIFS('Disbursements Summary'!$E:$E,'Disbursements Summary'!$C:$C,$C21,'Disbursements Summary'!$A:$A,"NYSERDA")</f>
        <v>0</v>
      </c>
      <c r="DZ21" s="55">
        <f>SUMIFS('Awards Summary'!$H:$H,'Awards Summary'!$B:$B,$C21,'Awards Summary'!$J:$J,"DHCR")</f>
        <v>0</v>
      </c>
      <c r="EA21" s="55">
        <f>SUMIFS('Disbursements Summary'!$E:$E,'Disbursements Summary'!$C:$C,$C21,'Disbursements Summary'!$A:$A,"DHCR")</f>
        <v>0</v>
      </c>
      <c r="EB21" s="55">
        <f>SUMIFS('Awards Summary'!$H:$H,'Awards Summary'!$B:$B,$C21,'Awards Summary'!$J:$J,"HFA")</f>
        <v>0</v>
      </c>
      <c r="EC21" s="55">
        <f>SUMIFS('Disbursements Summary'!$E:$E,'Disbursements Summary'!$C:$C,$C21,'Disbursements Summary'!$A:$A,"HFA")</f>
        <v>0</v>
      </c>
      <c r="ED21" s="55">
        <f>SUMIFS('Awards Summary'!$H:$H,'Awards Summary'!$B:$B,$C21,'Awards Summary'!$J:$J,"NYSIF")</f>
        <v>0</v>
      </c>
      <c r="EE21" s="55">
        <f>SUMIFS('Disbursements Summary'!$E:$E,'Disbursements Summary'!$C:$C,$C21,'Disbursements Summary'!$A:$A,"NYSIF")</f>
        <v>0</v>
      </c>
      <c r="EF21" s="55">
        <f>SUMIFS('Awards Summary'!$H:$H,'Awards Summary'!$B:$B,$C21,'Awards Summary'!$J:$J,"NYBREDS")</f>
        <v>0</v>
      </c>
      <c r="EG21" s="55">
        <f>SUMIFS('Disbursements Summary'!$E:$E,'Disbursements Summary'!$C:$C,$C21,'Disbursements Summary'!$A:$A,"NYBREDS")</f>
        <v>0</v>
      </c>
      <c r="EH21" s="55">
        <f>SUMIFS('Awards Summary'!$H:$H,'Awards Summary'!$B:$B,$C21,'Awards Summary'!$J:$J,"NYSTA")</f>
        <v>0</v>
      </c>
      <c r="EI21" s="55">
        <f>SUMIFS('Disbursements Summary'!$E:$E,'Disbursements Summary'!$C:$C,$C21,'Disbursements Summary'!$A:$A,"NYSTA")</f>
        <v>0</v>
      </c>
      <c r="EJ21" s="55">
        <f>SUMIFS('Awards Summary'!$H:$H,'Awards Summary'!$B:$B,$C21,'Awards Summary'!$J:$J,"NFWB")</f>
        <v>0</v>
      </c>
      <c r="EK21" s="55">
        <f>SUMIFS('Disbursements Summary'!$E:$E,'Disbursements Summary'!$C:$C,$C21,'Disbursements Summary'!$A:$A,"NFWB")</f>
        <v>0</v>
      </c>
      <c r="EL21" s="55">
        <f>SUMIFS('Awards Summary'!$H:$H,'Awards Summary'!$B:$B,$C21,'Awards Summary'!$J:$J,"NFTA")</f>
        <v>0</v>
      </c>
      <c r="EM21" s="55">
        <f>SUMIFS('Disbursements Summary'!$E:$E,'Disbursements Summary'!$C:$C,$C21,'Disbursements Summary'!$A:$A,"NFTA")</f>
        <v>0</v>
      </c>
      <c r="EN21" s="55">
        <f>SUMIFS('Awards Summary'!$H:$H,'Awards Summary'!$B:$B,$C21,'Awards Summary'!$J:$J,"OPWDD")</f>
        <v>0</v>
      </c>
      <c r="EO21" s="55">
        <f>SUMIFS('Disbursements Summary'!$E:$E,'Disbursements Summary'!$C:$C,$C21,'Disbursements Summary'!$A:$A,"OPWDD")</f>
        <v>0</v>
      </c>
      <c r="EP21" s="55">
        <f>SUMIFS('Awards Summary'!$H:$H,'Awards Summary'!$B:$B,$C21,'Awards Summary'!$J:$J,"AGING")</f>
        <v>0</v>
      </c>
      <c r="EQ21" s="55">
        <f>SUMIFS('Disbursements Summary'!$E:$E,'Disbursements Summary'!$C:$C,$C21,'Disbursements Summary'!$A:$A,"AGING")</f>
        <v>0</v>
      </c>
      <c r="ER21" s="55">
        <f>SUMIFS('Awards Summary'!$H:$H,'Awards Summary'!$B:$B,$C21,'Awards Summary'!$J:$J,"OPDV")</f>
        <v>0</v>
      </c>
      <c r="ES21" s="55">
        <f>SUMIFS('Disbursements Summary'!$E:$E,'Disbursements Summary'!$C:$C,$C21,'Disbursements Summary'!$A:$A,"OPDV")</f>
        <v>0</v>
      </c>
      <c r="ET21" s="55">
        <f>SUMIFS('Awards Summary'!$H:$H,'Awards Summary'!$B:$B,$C21,'Awards Summary'!$J:$J,"OVS")</f>
        <v>0</v>
      </c>
      <c r="EU21" s="55">
        <f>SUMIFS('Disbursements Summary'!$E:$E,'Disbursements Summary'!$C:$C,$C21,'Disbursements Summary'!$A:$A,"OVS")</f>
        <v>0</v>
      </c>
      <c r="EV21" s="55">
        <f>SUMIFS('Awards Summary'!$H:$H,'Awards Summary'!$B:$B,$C21,'Awards Summary'!$J:$J,"OASAS")</f>
        <v>0</v>
      </c>
      <c r="EW21" s="55">
        <f>SUMIFS('Disbursements Summary'!$E:$E,'Disbursements Summary'!$C:$C,$C21,'Disbursements Summary'!$A:$A,"OASAS")</f>
        <v>0</v>
      </c>
      <c r="EX21" s="55">
        <f>SUMIFS('Awards Summary'!$H:$H,'Awards Summary'!$B:$B,$C21,'Awards Summary'!$J:$J,"OCFS")</f>
        <v>0</v>
      </c>
      <c r="EY21" s="55">
        <f>SUMIFS('Disbursements Summary'!$E:$E,'Disbursements Summary'!$C:$C,$C21,'Disbursements Summary'!$A:$A,"OCFS")</f>
        <v>0</v>
      </c>
      <c r="EZ21" s="55">
        <f>SUMIFS('Awards Summary'!$H:$H,'Awards Summary'!$B:$B,$C21,'Awards Summary'!$J:$J,"OGS")</f>
        <v>0</v>
      </c>
      <c r="FA21" s="55">
        <f>SUMIFS('Disbursements Summary'!$E:$E,'Disbursements Summary'!$C:$C,$C21,'Disbursements Summary'!$A:$A,"OGS")</f>
        <v>0</v>
      </c>
      <c r="FB21" s="55">
        <f>SUMIFS('Awards Summary'!$H:$H,'Awards Summary'!$B:$B,$C21,'Awards Summary'!$J:$J,"OMH")</f>
        <v>0</v>
      </c>
      <c r="FC21" s="55">
        <f>SUMIFS('Disbursements Summary'!$E:$E,'Disbursements Summary'!$C:$C,$C21,'Disbursements Summary'!$A:$A,"OMH")</f>
        <v>0</v>
      </c>
      <c r="FD21" s="55">
        <f>SUMIFS('Awards Summary'!$H:$H,'Awards Summary'!$B:$B,$C21,'Awards Summary'!$J:$J,"PARKS")</f>
        <v>0</v>
      </c>
      <c r="FE21" s="55">
        <f>SUMIFS('Disbursements Summary'!$E:$E,'Disbursements Summary'!$C:$C,$C21,'Disbursements Summary'!$A:$A,"PARKS")</f>
        <v>0</v>
      </c>
      <c r="FF21" s="55">
        <f>SUMIFS('Awards Summary'!$H:$H,'Awards Summary'!$B:$B,$C21,'Awards Summary'!$J:$J,"OTDA")</f>
        <v>0</v>
      </c>
      <c r="FG21" s="55">
        <f>SUMIFS('Disbursements Summary'!$E:$E,'Disbursements Summary'!$C:$C,$C21,'Disbursements Summary'!$A:$A,"OTDA")</f>
        <v>0</v>
      </c>
      <c r="FH21" s="55">
        <f>SUMIFS('Awards Summary'!$H:$H,'Awards Summary'!$B:$B,$C21,'Awards Summary'!$J:$J,"OIG")</f>
        <v>0</v>
      </c>
      <c r="FI21" s="55">
        <f>SUMIFS('Disbursements Summary'!$E:$E,'Disbursements Summary'!$C:$C,$C21,'Disbursements Summary'!$A:$A,"OIG")</f>
        <v>0</v>
      </c>
      <c r="FJ21" s="55">
        <f>SUMIFS('Awards Summary'!$H:$H,'Awards Summary'!$B:$B,$C21,'Awards Summary'!$J:$J,"OMIG")</f>
        <v>0</v>
      </c>
      <c r="FK21" s="55">
        <f>SUMIFS('Disbursements Summary'!$E:$E,'Disbursements Summary'!$C:$C,$C21,'Disbursements Summary'!$A:$A,"OMIG")</f>
        <v>0</v>
      </c>
      <c r="FL21" s="55">
        <f>SUMIFS('Awards Summary'!$H:$H,'Awards Summary'!$B:$B,$C21,'Awards Summary'!$J:$J,"OSC")</f>
        <v>0</v>
      </c>
      <c r="FM21" s="55">
        <f>SUMIFS('Disbursements Summary'!$E:$E,'Disbursements Summary'!$C:$C,$C21,'Disbursements Summary'!$A:$A,"OSC")</f>
        <v>0</v>
      </c>
      <c r="FN21" s="55">
        <f>SUMIFS('Awards Summary'!$H:$H,'Awards Summary'!$B:$B,$C21,'Awards Summary'!$J:$J,"OWIG")</f>
        <v>0</v>
      </c>
      <c r="FO21" s="55">
        <f>SUMIFS('Disbursements Summary'!$E:$E,'Disbursements Summary'!$C:$C,$C21,'Disbursements Summary'!$A:$A,"OWIG")</f>
        <v>0</v>
      </c>
      <c r="FP21" s="55">
        <f>SUMIFS('Awards Summary'!$H:$H,'Awards Summary'!$B:$B,$C21,'Awards Summary'!$J:$J,"OGDEN")</f>
        <v>0</v>
      </c>
      <c r="FQ21" s="55">
        <f>SUMIFS('Disbursements Summary'!$E:$E,'Disbursements Summary'!$C:$C,$C21,'Disbursements Summary'!$A:$A,"OGDEN")</f>
        <v>0</v>
      </c>
      <c r="FR21" s="55">
        <f>SUMIFS('Awards Summary'!$H:$H,'Awards Summary'!$B:$B,$C21,'Awards Summary'!$J:$J,"ORDA")</f>
        <v>0</v>
      </c>
      <c r="FS21" s="55">
        <f>SUMIFS('Disbursements Summary'!$E:$E,'Disbursements Summary'!$C:$C,$C21,'Disbursements Summary'!$A:$A,"ORDA")</f>
        <v>0</v>
      </c>
      <c r="FT21" s="55">
        <f>SUMIFS('Awards Summary'!$H:$H,'Awards Summary'!$B:$B,$C21,'Awards Summary'!$J:$J,"OSWEGO")</f>
        <v>0</v>
      </c>
      <c r="FU21" s="55">
        <f>SUMIFS('Disbursements Summary'!$E:$E,'Disbursements Summary'!$C:$C,$C21,'Disbursements Summary'!$A:$A,"OSWEGO")</f>
        <v>0</v>
      </c>
      <c r="FV21" s="55">
        <f>SUMIFS('Awards Summary'!$H:$H,'Awards Summary'!$B:$B,$C21,'Awards Summary'!$J:$J,"PERB")</f>
        <v>0</v>
      </c>
      <c r="FW21" s="55">
        <f>SUMIFS('Disbursements Summary'!$E:$E,'Disbursements Summary'!$C:$C,$C21,'Disbursements Summary'!$A:$A,"PERB")</f>
        <v>0</v>
      </c>
      <c r="FX21" s="55">
        <f>SUMIFS('Awards Summary'!$H:$H,'Awards Summary'!$B:$B,$C21,'Awards Summary'!$J:$J,"RGRTA")</f>
        <v>0</v>
      </c>
      <c r="FY21" s="55">
        <f>SUMIFS('Disbursements Summary'!$E:$E,'Disbursements Summary'!$C:$C,$C21,'Disbursements Summary'!$A:$A,"RGRTA")</f>
        <v>0</v>
      </c>
      <c r="FZ21" s="55">
        <f>SUMIFS('Awards Summary'!$H:$H,'Awards Summary'!$B:$B,$C21,'Awards Summary'!$J:$J,"RIOC")</f>
        <v>0</v>
      </c>
      <c r="GA21" s="55">
        <f>SUMIFS('Disbursements Summary'!$E:$E,'Disbursements Summary'!$C:$C,$C21,'Disbursements Summary'!$A:$A,"RIOC")</f>
        <v>0</v>
      </c>
      <c r="GB21" s="55">
        <f>SUMIFS('Awards Summary'!$H:$H,'Awards Summary'!$B:$B,$C21,'Awards Summary'!$J:$J,"RPCI")</f>
        <v>0</v>
      </c>
      <c r="GC21" s="55">
        <f>SUMIFS('Disbursements Summary'!$E:$E,'Disbursements Summary'!$C:$C,$C21,'Disbursements Summary'!$A:$A,"RPCI")</f>
        <v>0</v>
      </c>
      <c r="GD21" s="55">
        <f>SUMIFS('Awards Summary'!$H:$H,'Awards Summary'!$B:$B,$C21,'Awards Summary'!$J:$J,"SMDA")</f>
        <v>0</v>
      </c>
      <c r="GE21" s="55">
        <f>SUMIFS('Disbursements Summary'!$E:$E,'Disbursements Summary'!$C:$C,$C21,'Disbursements Summary'!$A:$A,"SMDA")</f>
        <v>0</v>
      </c>
      <c r="GF21" s="55">
        <f>SUMIFS('Awards Summary'!$H:$H,'Awards Summary'!$B:$B,$C21,'Awards Summary'!$J:$J,"SCOC")</f>
        <v>0</v>
      </c>
      <c r="GG21" s="55">
        <f>SUMIFS('Disbursements Summary'!$E:$E,'Disbursements Summary'!$C:$C,$C21,'Disbursements Summary'!$A:$A,"SCOC")</f>
        <v>0</v>
      </c>
      <c r="GH21" s="55">
        <f>SUMIFS('Awards Summary'!$H:$H,'Awards Summary'!$B:$B,$C21,'Awards Summary'!$J:$J,"SUCF")</f>
        <v>0</v>
      </c>
      <c r="GI21" s="55">
        <f>SUMIFS('Disbursements Summary'!$E:$E,'Disbursements Summary'!$C:$C,$C21,'Disbursements Summary'!$A:$A,"SUCF")</f>
        <v>0</v>
      </c>
      <c r="GJ21" s="55">
        <f>SUMIFS('Awards Summary'!$H:$H,'Awards Summary'!$B:$B,$C21,'Awards Summary'!$J:$J,"SUNY")</f>
        <v>0</v>
      </c>
      <c r="GK21" s="55">
        <f>SUMIFS('Disbursements Summary'!$E:$E,'Disbursements Summary'!$C:$C,$C21,'Disbursements Summary'!$A:$A,"SUNY")</f>
        <v>0</v>
      </c>
      <c r="GL21" s="55">
        <f>SUMIFS('Awards Summary'!$H:$H,'Awards Summary'!$B:$B,$C21,'Awards Summary'!$J:$J,"SRAA")</f>
        <v>0</v>
      </c>
      <c r="GM21" s="55">
        <f>SUMIFS('Disbursements Summary'!$E:$E,'Disbursements Summary'!$C:$C,$C21,'Disbursements Summary'!$A:$A,"SRAA")</f>
        <v>0</v>
      </c>
      <c r="GN21" s="55">
        <f>SUMIFS('Awards Summary'!$H:$H,'Awards Summary'!$B:$B,$C21,'Awards Summary'!$J:$J,"UNDC")</f>
        <v>0</v>
      </c>
      <c r="GO21" s="55">
        <f>SUMIFS('Disbursements Summary'!$E:$E,'Disbursements Summary'!$C:$C,$C21,'Disbursements Summary'!$A:$A,"UNDC")</f>
        <v>0</v>
      </c>
      <c r="GP21" s="55">
        <f>SUMIFS('Awards Summary'!$H:$H,'Awards Summary'!$B:$B,$C21,'Awards Summary'!$J:$J,"MVWA")</f>
        <v>0</v>
      </c>
      <c r="GQ21" s="55">
        <f>SUMIFS('Disbursements Summary'!$E:$E,'Disbursements Summary'!$C:$C,$C21,'Disbursements Summary'!$A:$A,"MVWA")</f>
        <v>0</v>
      </c>
      <c r="GR21" s="55">
        <f>SUMIFS('Awards Summary'!$H:$H,'Awards Summary'!$B:$B,$C21,'Awards Summary'!$J:$J,"WMC")</f>
        <v>0</v>
      </c>
      <c r="GS21" s="55">
        <f>SUMIFS('Disbursements Summary'!$E:$E,'Disbursements Summary'!$C:$C,$C21,'Disbursements Summary'!$A:$A,"WMC")</f>
        <v>0</v>
      </c>
      <c r="GT21" s="55">
        <f>SUMIFS('Awards Summary'!$H:$H,'Awards Summary'!$B:$B,$C21,'Awards Summary'!$J:$J,"WCB")</f>
        <v>0</v>
      </c>
      <c r="GU21" s="55">
        <f>SUMIFS('Disbursements Summary'!$E:$E,'Disbursements Summary'!$C:$C,$C21,'Disbursements Summary'!$A:$A,"WCB")</f>
        <v>0</v>
      </c>
      <c r="GV21" s="32">
        <f t="shared" si="1"/>
        <v>0</v>
      </c>
      <c r="GW21" s="32">
        <f t="shared" si="2"/>
        <v>0</v>
      </c>
      <c r="GX21" s="30" t="b">
        <f t="shared" si="3"/>
        <v>1</v>
      </c>
      <c r="GY21" s="30" t="b">
        <f t="shared" si="4"/>
        <v>1</v>
      </c>
    </row>
    <row r="22" spans="1:207" s="31" customFormat="1">
      <c r="A22" s="22" t="str">
        <f t="shared" si="0"/>
        <v/>
      </c>
      <c r="B22" s="40" t="s">
        <v>96</v>
      </c>
      <c r="C22" s="16">
        <v>141036</v>
      </c>
      <c r="D22" s="26">
        <f>COUNTIF('Awards Summary'!B:B,"141036")</f>
        <v>0</v>
      </c>
      <c r="E22" s="45">
        <f>SUMIFS('Awards Summary'!H:H,'Awards Summary'!B:B,"141036")</f>
        <v>0</v>
      </c>
      <c r="F22" s="46">
        <f>SUMIFS('Disbursements Summary'!E:E,'Disbursements Summary'!C:C, "141036")</f>
        <v>0</v>
      </c>
      <c r="H22" s="55">
        <f>SUMIFS('Awards Summary'!$H:$H,'Awards Summary'!$B:$B,$C22,'Awards Summary'!$J:$J,"APA")</f>
        <v>0</v>
      </c>
      <c r="I22" s="55">
        <f>SUMIFS('Disbursements Summary'!$E:$E,'Disbursements Summary'!$C:$C,$C22,'Disbursements Summary'!$A:$A,"APA")</f>
        <v>0</v>
      </c>
      <c r="J22" s="55">
        <f>SUMIFS('Awards Summary'!$H:$H,'Awards Summary'!$B:$B,$C22,'Awards Summary'!$J:$J,"Ag&amp;Horse")</f>
        <v>0</v>
      </c>
      <c r="K22" s="55">
        <f>SUMIFS('Disbursements Summary'!$E:$E,'Disbursements Summary'!$C:$C,$C22,'Disbursements Summary'!$A:$A,"Ag&amp;Horse")</f>
        <v>0</v>
      </c>
      <c r="L22" s="55">
        <f>SUMIFS('Awards Summary'!$H:$H,'Awards Summary'!$B:$B,$C22,'Awards Summary'!$J:$J,"ACAA")</f>
        <v>0</v>
      </c>
      <c r="M22" s="55">
        <f>SUMIFS('Disbursements Summary'!$E:$E,'Disbursements Summary'!$C:$C,$C22,'Disbursements Summary'!$A:$A,"ACAA")</f>
        <v>0</v>
      </c>
      <c r="N22" s="55">
        <f>SUMIFS('Awards Summary'!$H:$H,'Awards Summary'!$B:$B,$C22,'Awards Summary'!$J:$J,"PortAlbany")</f>
        <v>0</v>
      </c>
      <c r="O22" s="55">
        <f>SUMIFS('Disbursements Summary'!$E:$E,'Disbursements Summary'!$C:$C,$C22,'Disbursements Summary'!$A:$A,"PortAlbany")</f>
        <v>0</v>
      </c>
      <c r="P22" s="55">
        <f>SUMIFS('Awards Summary'!$H:$H,'Awards Summary'!$B:$B,$C22,'Awards Summary'!$J:$J,"SLA")</f>
        <v>0</v>
      </c>
      <c r="Q22" s="55">
        <f>SUMIFS('Disbursements Summary'!$E:$E,'Disbursements Summary'!$C:$C,$C22,'Disbursements Summary'!$A:$A,"SLA")</f>
        <v>0</v>
      </c>
      <c r="R22" s="55">
        <f>SUMIFS('Awards Summary'!$H:$H,'Awards Summary'!$B:$B,$C22,'Awards Summary'!$J:$J,"BPCA")</f>
        <v>0</v>
      </c>
      <c r="S22" s="55">
        <f>SUMIFS('Disbursements Summary'!$E:$E,'Disbursements Summary'!$C:$C,$C22,'Disbursements Summary'!$A:$A,"BPCA")</f>
        <v>0</v>
      </c>
      <c r="T22" s="55">
        <f>SUMIFS('Awards Summary'!$H:$H,'Awards Summary'!$B:$B,$C22,'Awards Summary'!$J:$J,"ELECTIONS")</f>
        <v>0</v>
      </c>
      <c r="U22" s="55">
        <f>SUMIFS('Disbursements Summary'!$E:$E,'Disbursements Summary'!$C:$C,$C22,'Disbursements Summary'!$A:$A,"ELECTIONS")</f>
        <v>0</v>
      </c>
      <c r="V22" s="55">
        <f>SUMIFS('Awards Summary'!$H:$H,'Awards Summary'!$B:$B,$C22,'Awards Summary'!$J:$J,"BFSA")</f>
        <v>0</v>
      </c>
      <c r="W22" s="55">
        <f>SUMIFS('Disbursements Summary'!$E:$E,'Disbursements Summary'!$C:$C,$C22,'Disbursements Summary'!$A:$A,"BFSA")</f>
        <v>0</v>
      </c>
      <c r="X22" s="55">
        <f>SUMIFS('Awards Summary'!$H:$H,'Awards Summary'!$B:$B,$C22,'Awards Summary'!$J:$J,"CDTA")</f>
        <v>0</v>
      </c>
      <c r="Y22" s="55">
        <f>SUMIFS('Disbursements Summary'!$E:$E,'Disbursements Summary'!$C:$C,$C22,'Disbursements Summary'!$A:$A,"CDTA")</f>
        <v>0</v>
      </c>
      <c r="Z22" s="55">
        <f>SUMIFS('Awards Summary'!$H:$H,'Awards Summary'!$B:$B,$C22,'Awards Summary'!$J:$J,"CCWSA")</f>
        <v>0</v>
      </c>
      <c r="AA22" s="55">
        <f>SUMIFS('Disbursements Summary'!$E:$E,'Disbursements Summary'!$C:$C,$C22,'Disbursements Summary'!$A:$A,"CCWSA")</f>
        <v>0</v>
      </c>
      <c r="AB22" s="55">
        <f>SUMIFS('Awards Summary'!$H:$H,'Awards Summary'!$B:$B,$C22,'Awards Summary'!$J:$J,"CNYRTA")</f>
        <v>0</v>
      </c>
      <c r="AC22" s="55">
        <f>SUMIFS('Disbursements Summary'!$E:$E,'Disbursements Summary'!$C:$C,$C22,'Disbursements Summary'!$A:$A,"CNYRTA")</f>
        <v>0</v>
      </c>
      <c r="AD22" s="55">
        <f>SUMIFS('Awards Summary'!$H:$H,'Awards Summary'!$B:$B,$C22,'Awards Summary'!$J:$J,"CUCF")</f>
        <v>0</v>
      </c>
      <c r="AE22" s="55">
        <f>SUMIFS('Disbursements Summary'!$E:$E,'Disbursements Summary'!$C:$C,$C22,'Disbursements Summary'!$A:$A,"CUCF")</f>
        <v>0</v>
      </c>
      <c r="AF22" s="55">
        <f>SUMIFS('Awards Summary'!$H:$H,'Awards Summary'!$B:$B,$C22,'Awards Summary'!$J:$J,"CUNY")</f>
        <v>0</v>
      </c>
      <c r="AG22" s="55">
        <f>SUMIFS('Disbursements Summary'!$E:$E,'Disbursements Summary'!$C:$C,$C22,'Disbursements Summary'!$A:$A,"CUNY")</f>
        <v>0</v>
      </c>
      <c r="AH22" s="55">
        <f>SUMIFS('Awards Summary'!$H:$H,'Awards Summary'!$B:$B,$C22,'Awards Summary'!$J:$J,"ARTS")</f>
        <v>0</v>
      </c>
      <c r="AI22" s="55">
        <f>SUMIFS('Disbursements Summary'!$E:$E,'Disbursements Summary'!$C:$C,$C22,'Disbursements Summary'!$A:$A,"ARTS")</f>
        <v>0</v>
      </c>
      <c r="AJ22" s="55">
        <f>SUMIFS('Awards Summary'!$H:$H,'Awards Summary'!$B:$B,$C22,'Awards Summary'!$J:$J,"AG&amp;MKTS")</f>
        <v>0</v>
      </c>
      <c r="AK22" s="55">
        <f>SUMIFS('Disbursements Summary'!$E:$E,'Disbursements Summary'!$C:$C,$C22,'Disbursements Summary'!$A:$A,"AG&amp;MKTS")</f>
        <v>0</v>
      </c>
      <c r="AL22" s="55">
        <f>SUMIFS('Awards Summary'!$H:$H,'Awards Summary'!$B:$B,$C22,'Awards Summary'!$J:$J,"CS")</f>
        <v>0</v>
      </c>
      <c r="AM22" s="55">
        <f>SUMIFS('Disbursements Summary'!$E:$E,'Disbursements Summary'!$C:$C,$C22,'Disbursements Summary'!$A:$A,"CS")</f>
        <v>0</v>
      </c>
      <c r="AN22" s="55">
        <f>SUMIFS('Awards Summary'!$H:$H,'Awards Summary'!$B:$B,$C22,'Awards Summary'!$J:$J,"DOCCS")</f>
        <v>0</v>
      </c>
      <c r="AO22" s="55">
        <f>SUMIFS('Disbursements Summary'!$E:$E,'Disbursements Summary'!$C:$C,$C22,'Disbursements Summary'!$A:$A,"DOCCS")</f>
        <v>0</v>
      </c>
      <c r="AP22" s="55">
        <f>SUMIFS('Awards Summary'!$H:$H,'Awards Summary'!$B:$B,$C22,'Awards Summary'!$J:$J,"DED")</f>
        <v>0</v>
      </c>
      <c r="AQ22" s="55">
        <f>SUMIFS('Disbursements Summary'!$E:$E,'Disbursements Summary'!$C:$C,$C22,'Disbursements Summary'!$A:$A,"DED")</f>
        <v>0</v>
      </c>
      <c r="AR22" s="55">
        <f>SUMIFS('Awards Summary'!$H:$H,'Awards Summary'!$B:$B,$C22,'Awards Summary'!$J:$J,"DEC")</f>
        <v>0</v>
      </c>
      <c r="AS22" s="55">
        <f>SUMIFS('Disbursements Summary'!$E:$E,'Disbursements Summary'!$C:$C,$C22,'Disbursements Summary'!$A:$A,"DEC")</f>
        <v>0</v>
      </c>
      <c r="AT22" s="55">
        <f>SUMIFS('Awards Summary'!$H:$H,'Awards Summary'!$B:$B,$C22,'Awards Summary'!$J:$J,"DFS")</f>
        <v>0</v>
      </c>
      <c r="AU22" s="55">
        <f>SUMIFS('Disbursements Summary'!$E:$E,'Disbursements Summary'!$C:$C,$C22,'Disbursements Summary'!$A:$A,"DFS")</f>
        <v>0</v>
      </c>
      <c r="AV22" s="55">
        <f>SUMIFS('Awards Summary'!$H:$H,'Awards Summary'!$B:$B,$C22,'Awards Summary'!$J:$J,"DOH")</f>
        <v>0</v>
      </c>
      <c r="AW22" s="55">
        <f>SUMIFS('Disbursements Summary'!$E:$E,'Disbursements Summary'!$C:$C,$C22,'Disbursements Summary'!$A:$A,"DOH")</f>
        <v>0</v>
      </c>
      <c r="AX22" s="55">
        <f>SUMIFS('Awards Summary'!$H:$H,'Awards Summary'!$B:$B,$C22,'Awards Summary'!$J:$J,"DOL")</f>
        <v>0</v>
      </c>
      <c r="AY22" s="55">
        <f>SUMIFS('Disbursements Summary'!$E:$E,'Disbursements Summary'!$C:$C,$C22,'Disbursements Summary'!$A:$A,"DOL")</f>
        <v>0</v>
      </c>
      <c r="AZ22" s="55">
        <f>SUMIFS('Awards Summary'!$H:$H,'Awards Summary'!$B:$B,$C22,'Awards Summary'!$J:$J,"DMV")</f>
        <v>0</v>
      </c>
      <c r="BA22" s="55">
        <f>SUMIFS('Disbursements Summary'!$E:$E,'Disbursements Summary'!$C:$C,$C22,'Disbursements Summary'!$A:$A,"DMV")</f>
        <v>0</v>
      </c>
      <c r="BB22" s="55">
        <f>SUMIFS('Awards Summary'!$H:$H,'Awards Summary'!$B:$B,$C22,'Awards Summary'!$J:$J,"DPS")</f>
        <v>0</v>
      </c>
      <c r="BC22" s="55">
        <f>SUMIFS('Disbursements Summary'!$E:$E,'Disbursements Summary'!$C:$C,$C22,'Disbursements Summary'!$A:$A,"DPS")</f>
        <v>0</v>
      </c>
      <c r="BD22" s="55">
        <f>SUMIFS('Awards Summary'!$H:$H,'Awards Summary'!$B:$B,$C22,'Awards Summary'!$J:$J,"DOS")</f>
        <v>0</v>
      </c>
      <c r="BE22" s="55">
        <f>SUMIFS('Disbursements Summary'!$E:$E,'Disbursements Summary'!$C:$C,$C22,'Disbursements Summary'!$A:$A,"DOS")</f>
        <v>0</v>
      </c>
      <c r="BF22" s="55">
        <f>SUMIFS('Awards Summary'!$H:$H,'Awards Summary'!$B:$B,$C22,'Awards Summary'!$J:$J,"TAX")</f>
        <v>0</v>
      </c>
      <c r="BG22" s="55">
        <f>SUMIFS('Disbursements Summary'!$E:$E,'Disbursements Summary'!$C:$C,$C22,'Disbursements Summary'!$A:$A,"TAX")</f>
        <v>0</v>
      </c>
      <c r="BH22" s="55">
        <f>SUMIFS('Awards Summary'!$H:$H,'Awards Summary'!$B:$B,$C22,'Awards Summary'!$J:$J,"DOT")</f>
        <v>0</v>
      </c>
      <c r="BI22" s="55">
        <f>SUMIFS('Disbursements Summary'!$E:$E,'Disbursements Summary'!$C:$C,$C22,'Disbursements Summary'!$A:$A,"DOT")</f>
        <v>0</v>
      </c>
      <c r="BJ22" s="55">
        <f>SUMIFS('Awards Summary'!$H:$H,'Awards Summary'!$B:$B,$C22,'Awards Summary'!$J:$J,"DANC")</f>
        <v>0</v>
      </c>
      <c r="BK22" s="55">
        <f>SUMIFS('Disbursements Summary'!$E:$E,'Disbursements Summary'!$C:$C,$C22,'Disbursements Summary'!$A:$A,"DANC")</f>
        <v>0</v>
      </c>
      <c r="BL22" s="55">
        <f>SUMIFS('Awards Summary'!$H:$H,'Awards Summary'!$B:$B,$C22,'Awards Summary'!$J:$J,"DOB")</f>
        <v>0</v>
      </c>
      <c r="BM22" s="55">
        <f>SUMIFS('Disbursements Summary'!$E:$E,'Disbursements Summary'!$C:$C,$C22,'Disbursements Summary'!$A:$A,"DOB")</f>
        <v>0</v>
      </c>
      <c r="BN22" s="55">
        <f>SUMIFS('Awards Summary'!$H:$H,'Awards Summary'!$B:$B,$C22,'Awards Summary'!$J:$J,"DCJS")</f>
        <v>0</v>
      </c>
      <c r="BO22" s="55">
        <f>SUMIFS('Disbursements Summary'!$E:$E,'Disbursements Summary'!$C:$C,$C22,'Disbursements Summary'!$A:$A,"DCJS")</f>
        <v>0</v>
      </c>
      <c r="BP22" s="55">
        <f>SUMIFS('Awards Summary'!$H:$H,'Awards Summary'!$B:$B,$C22,'Awards Summary'!$J:$J,"DHSES")</f>
        <v>0</v>
      </c>
      <c r="BQ22" s="55">
        <f>SUMIFS('Disbursements Summary'!$E:$E,'Disbursements Summary'!$C:$C,$C22,'Disbursements Summary'!$A:$A,"DHSES")</f>
        <v>0</v>
      </c>
      <c r="BR22" s="55">
        <f>SUMIFS('Awards Summary'!$H:$H,'Awards Summary'!$B:$B,$C22,'Awards Summary'!$J:$J,"DHR")</f>
        <v>0</v>
      </c>
      <c r="BS22" s="55">
        <f>SUMIFS('Disbursements Summary'!$E:$E,'Disbursements Summary'!$C:$C,$C22,'Disbursements Summary'!$A:$A,"DHR")</f>
        <v>0</v>
      </c>
      <c r="BT22" s="55">
        <f>SUMIFS('Awards Summary'!$H:$H,'Awards Summary'!$B:$B,$C22,'Awards Summary'!$J:$J,"DMNA")</f>
        <v>0</v>
      </c>
      <c r="BU22" s="55">
        <f>SUMIFS('Disbursements Summary'!$E:$E,'Disbursements Summary'!$C:$C,$C22,'Disbursements Summary'!$A:$A,"DMNA")</f>
        <v>0</v>
      </c>
      <c r="BV22" s="55">
        <f>SUMIFS('Awards Summary'!$H:$H,'Awards Summary'!$B:$B,$C22,'Awards Summary'!$J:$J,"TROOPERS")</f>
        <v>0</v>
      </c>
      <c r="BW22" s="55">
        <f>SUMIFS('Disbursements Summary'!$E:$E,'Disbursements Summary'!$C:$C,$C22,'Disbursements Summary'!$A:$A,"TROOPERS")</f>
        <v>0</v>
      </c>
      <c r="BX22" s="55">
        <f>SUMIFS('Awards Summary'!$H:$H,'Awards Summary'!$B:$B,$C22,'Awards Summary'!$J:$J,"DVA")</f>
        <v>0</v>
      </c>
      <c r="BY22" s="55">
        <f>SUMIFS('Disbursements Summary'!$E:$E,'Disbursements Summary'!$C:$C,$C22,'Disbursements Summary'!$A:$A,"DVA")</f>
        <v>0</v>
      </c>
      <c r="BZ22" s="55">
        <f>SUMIFS('Awards Summary'!$H:$H,'Awards Summary'!$B:$B,$C22,'Awards Summary'!$J:$J,"DASNY")</f>
        <v>0</v>
      </c>
      <c r="CA22" s="55">
        <f>SUMIFS('Disbursements Summary'!$E:$E,'Disbursements Summary'!$C:$C,$C22,'Disbursements Summary'!$A:$A,"DASNY")</f>
        <v>0</v>
      </c>
      <c r="CB22" s="55">
        <f>SUMIFS('Awards Summary'!$H:$H,'Awards Summary'!$B:$B,$C22,'Awards Summary'!$J:$J,"EGG")</f>
        <v>0</v>
      </c>
      <c r="CC22" s="55">
        <f>SUMIFS('Disbursements Summary'!$E:$E,'Disbursements Summary'!$C:$C,$C22,'Disbursements Summary'!$A:$A,"EGG")</f>
        <v>0</v>
      </c>
      <c r="CD22" s="55">
        <f>SUMIFS('Awards Summary'!$H:$H,'Awards Summary'!$B:$B,$C22,'Awards Summary'!$J:$J,"ESD")</f>
        <v>0</v>
      </c>
      <c r="CE22" s="55">
        <f>SUMIFS('Disbursements Summary'!$E:$E,'Disbursements Summary'!$C:$C,$C22,'Disbursements Summary'!$A:$A,"ESD")</f>
        <v>0</v>
      </c>
      <c r="CF22" s="55">
        <f>SUMIFS('Awards Summary'!$H:$H,'Awards Summary'!$B:$B,$C22,'Awards Summary'!$J:$J,"EFC")</f>
        <v>0</v>
      </c>
      <c r="CG22" s="55">
        <f>SUMIFS('Disbursements Summary'!$E:$E,'Disbursements Summary'!$C:$C,$C22,'Disbursements Summary'!$A:$A,"EFC")</f>
        <v>0</v>
      </c>
      <c r="CH22" s="55">
        <f>SUMIFS('Awards Summary'!$H:$H,'Awards Summary'!$B:$B,$C22,'Awards Summary'!$J:$J,"ECFSA")</f>
        <v>0</v>
      </c>
      <c r="CI22" s="55">
        <f>SUMIFS('Disbursements Summary'!$E:$E,'Disbursements Summary'!$C:$C,$C22,'Disbursements Summary'!$A:$A,"ECFSA")</f>
        <v>0</v>
      </c>
      <c r="CJ22" s="55">
        <f>SUMIFS('Awards Summary'!$H:$H,'Awards Summary'!$B:$B,$C22,'Awards Summary'!$J:$J,"ECMC")</f>
        <v>0</v>
      </c>
      <c r="CK22" s="55">
        <f>SUMIFS('Disbursements Summary'!$E:$E,'Disbursements Summary'!$C:$C,$C22,'Disbursements Summary'!$A:$A,"ECMC")</f>
        <v>0</v>
      </c>
      <c r="CL22" s="55">
        <f>SUMIFS('Awards Summary'!$H:$H,'Awards Summary'!$B:$B,$C22,'Awards Summary'!$J:$J,"CHAMBER")</f>
        <v>0</v>
      </c>
      <c r="CM22" s="55">
        <f>SUMIFS('Disbursements Summary'!$E:$E,'Disbursements Summary'!$C:$C,$C22,'Disbursements Summary'!$A:$A,"CHAMBER")</f>
        <v>0</v>
      </c>
      <c r="CN22" s="55">
        <f>SUMIFS('Awards Summary'!$H:$H,'Awards Summary'!$B:$B,$C22,'Awards Summary'!$J:$J,"GAMING")</f>
        <v>0</v>
      </c>
      <c r="CO22" s="55">
        <f>SUMIFS('Disbursements Summary'!$E:$E,'Disbursements Summary'!$C:$C,$C22,'Disbursements Summary'!$A:$A,"GAMING")</f>
        <v>0</v>
      </c>
      <c r="CP22" s="55">
        <f>SUMIFS('Awards Summary'!$H:$H,'Awards Summary'!$B:$B,$C22,'Awards Summary'!$J:$J,"GOER")</f>
        <v>0</v>
      </c>
      <c r="CQ22" s="55">
        <f>SUMIFS('Disbursements Summary'!$E:$E,'Disbursements Summary'!$C:$C,$C22,'Disbursements Summary'!$A:$A,"GOER")</f>
        <v>0</v>
      </c>
      <c r="CR22" s="55">
        <f>SUMIFS('Awards Summary'!$H:$H,'Awards Summary'!$B:$B,$C22,'Awards Summary'!$J:$J,"HESC")</f>
        <v>0</v>
      </c>
      <c r="CS22" s="55">
        <f>SUMIFS('Disbursements Summary'!$E:$E,'Disbursements Summary'!$C:$C,$C22,'Disbursements Summary'!$A:$A,"HESC")</f>
        <v>0</v>
      </c>
      <c r="CT22" s="55">
        <f>SUMIFS('Awards Summary'!$H:$H,'Awards Summary'!$B:$B,$C22,'Awards Summary'!$J:$J,"GOSR")</f>
        <v>0</v>
      </c>
      <c r="CU22" s="55">
        <f>SUMIFS('Disbursements Summary'!$E:$E,'Disbursements Summary'!$C:$C,$C22,'Disbursements Summary'!$A:$A,"GOSR")</f>
        <v>0</v>
      </c>
      <c r="CV22" s="55">
        <f>SUMIFS('Awards Summary'!$H:$H,'Awards Summary'!$B:$B,$C22,'Awards Summary'!$J:$J,"HRPT")</f>
        <v>0</v>
      </c>
      <c r="CW22" s="55">
        <f>SUMIFS('Disbursements Summary'!$E:$E,'Disbursements Summary'!$C:$C,$C22,'Disbursements Summary'!$A:$A,"HRPT")</f>
        <v>0</v>
      </c>
      <c r="CX22" s="55">
        <f>SUMIFS('Awards Summary'!$H:$H,'Awards Summary'!$B:$B,$C22,'Awards Summary'!$J:$J,"HRBRRD")</f>
        <v>0</v>
      </c>
      <c r="CY22" s="55">
        <f>SUMIFS('Disbursements Summary'!$E:$E,'Disbursements Summary'!$C:$C,$C22,'Disbursements Summary'!$A:$A,"HRBRRD")</f>
        <v>0</v>
      </c>
      <c r="CZ22" s="55">
        <f>SUMIFS('Awards Summary'!$H:$H,'Awards Summary'!$B:$B,$C22,'Awards Summary'!$J:$J,"ITS")</f>
        <v>0</v>
      </c>
      <c r="DA22" s="55">
        <f>SUMIFS('Disbursements Summary'!$E:$E,'Disbursements Summary'!$C:$C,$C22,'Disbursements Summary'!$A:$A,"ITS")</f>
        <v>0</v>
      </c>
      <c r="DB22" s="55">
        <f>SUMIFS('Awards Summary'!$H:$H,'Awards Summary'!$B:$B,$C22,'Awards Summary'!$J:$J,"JAVITS")</f>
        <v>0</v>
      </c>
      <c r="DC22" s="55">
        <f>SUMIFS('Disbursements Summary'!$E:$E,'Disbursements Summary'!$C:$C,$C22,'Disbursements Summary'!$A:$A,"JAVITS")</f>
        <v>0</v>
      </c>
      <c r="DD22" s="55">
        <f>SUMIFS('Awards Summary'!$H:$H,'Awards Summary'!$B:$B,$C22,'Awards Summary'!$J:$J,"JCOPE")</f>
        <v>0</v>
      </c>
      <c r="DE22" s="55">
        <f>SUMIFS('Disbursements Summary'!$E:$E,'Disbursements Summary'!$C:$C,$C22,'Disbursements Summary'!$A:$A,"JCOPE")</f>
        <v>0</v>
      </c>
      <c r="DF22" s="55">
        <f>SUMIFS('Awards Summary'!$H:$H,'Awards Summary'!$B:$B,$C22,'Awards Summary'!$J:$J,"JUSTICE")</f>
        <v>0</v>
      </c>
      <c r="DG22" s="55">
        <f>SUMIFS('Disbursements Summary'!$E:$E,'Disbursements Summary'!$C:$C,$C22,'Disbursements Summary'!$A:$A,"JUSTICE")</f>
        <v>0</v>
      </c>
      <c r="DH22" s="55">
        <f>SUMIFS('Awards Summary'!$H:$H,'Awards Summary'!$B:$B,$C22,'Awards Summary'!$J:$J,"LCWSA")</f>
        <v>0</v>
      </c>
      <c r="DI22" s="55">
        <f>SUMIFS('Disbursements Summary'!$E:$E,'Disbursements Summary'!$C:$C,$C22,'Disbursements Summary'!$A:$A,"LCWSA")</f>
        <v>0</v>
      </c>
      <c r="DJ22" s="55">
        <f>SUMIFS('Awards Summary'!$H:$H,'Awards Summary'!$B:$B,$C22,'Awards Summary'!$J:$J,"LIPA")</f>
        <v>0</v>
      </c>
      <c r="DK22" s="55">
        <f>SUMIFS('Disbursements Summary'!$E:$E,'Disbursements Summary'!$C:$C,$C22,'Disbursements Summary'!$A:$A,"LIPA")</f>
        <v>0</v>
      </c>
      <c r="DL22" s="55">
        <f>SUMIFS('Awards Summary'!$H:$H,'Awards Summary'!$B:$B,$C22,'Awards Summary'!$J:$J,"MTA")</f>
        <v>0</v>
      </c>
      <c r="DM22" s="55">
        <f>SUMIFS('Disbursements Summary'!$E:$E,'Disbursements Summary'!$C:$C,$C22,'Disbursements Summary'!$A:$A,"MTA")</f>
        <v>0</v>
      </c>
      <c r="DN22" s="55">
        <f>SUMIFS('Awards Summary'!$H:$H,'Awards Summary'!$B:$B,$C22,'Awards Summary'!$J:$J,"NIFA")</f>
        <v>0</v>
      </c>
      <c r="DO22" s="55">
        <f>SUMIFS('Disbursements Summary'!$E:$E,'Disbursements Summary'!$C:$C,$C22,'Disbursements Summary'!$A:$A,"NIFA")</f>
        <v>0</v>
      </c>
      <c r="DP22" s="55">
        <f>SUMIFS('Awards Summary'!$H:$H,'Awards Summary'!$B:$B,$C22,'Awards Summary'!$J:$J,"NHCC")</f>
        <v>0</v>
      </c>
      <c r="DQ22" s="55">
        <f>SUMIFS('Disbursements Summary'!$E:$E,'Disbursements Summary'!$C:$C,$C22,'Disbursements Summary'!$A:$A,"NHCC")</f>
        <v>0</v>
      </c>
      <c r="DR22" s="55">
        <f>SUMIFS('Awards Summary'!$H:$H,'Awards Summary'!$B:$B,$C22,'Awards Summary'!$J:$J,"NHT")</f>
        <v>0</v>
      </c>
      <c r="DS22" s="55">
        <f>SUMIFS('Disbursements Summary'!$E:$E,'Disbursements Summary'!$C:$C,$C22,'Disbursements Summary'!$A:$A,"NHT")</f>
        <v>0</v>
      </c>
      <c r="DT22" s="55">
        <f>SUMIFS('Awards Summary'!$H:$H,'Awards Summary'!$B:$B,$C22,'Awards Summary'!$J:$J,"NYPA")</f>
        <v>0</v>
      </c>
      <c r="DU22" s="55">
        <f>SUMIFS('Disbursements Summary'!$E:$E,'Disbursements Summary'!$C:$C,$C22,'Disbursements Summary'!$A:$A,"NYPA")</f>
        <v>0</v>
      </c>
      <c r="DV22" s="55">
        <f>SUMIFS('Awards Summary'!$H:$H,'Awards Summary'!$B:$B,$C22,'Awards Summary'!$J:$J,"NYSBA")</f>
        <v>0</v>
      </c>
      <c r="DW22" s="55">
        <f>SUMIFS('Disbursements Summary'!$E:$E,'Disbursements Summary'!$C:$C,$C22,'Disbursements Summary'!$A:$A,"NYSBA")</f>
        <v>0</v>
      </c>
      <c r="DX22" s="55">
        <f>SUMIFS('Awards Summary'!$H:$H,'Awards Summary'!$B:$B,$C22,'Awards Summary'!$J:$J,"NYSERDA")</f>
        <v>0</v>
      </c>
      <c r="DY22" s="55">
        <f>SUMIFS('Disbursements Summary'!$E:$E,'Disbursements Summary'!$C:$C,$C22,'Disbursements Summary'!$A:$A,"NYSERDA")</f>
        <v>0</v>
      </c>
      <c r="DZ22" s="55">
        <f>SUMIFS('Awards Summary'!$H:$H,'Awards Summary'!$B:$B,$C22,'Awards Summary'!$J:$J,"DHCR")</f>
        <v>0</v>
      </c>
      <c r="EA22" s="55">
        <f>SUMIFS('Disbursements Summary'!$E:$E,'Disbursements Summary'!$C:$C,$C22,'Disbursements Summary'!$A:$A,"DHCR")</f>
        <v>0</v>
      </c>
      <c r="EB22" s="55">
        <f>SUMIFS('Awards Summary'!$H:$H,'Awards Summary'!$B:$B,$C22,'Awards Summary'!$J:$J,"HFA")</f>
        <v>0</v>
      </c>
      <c r="EC22" s="55">
        <f>SUMIFS('Disbursements Summary'!$E:$E,'Disbursements Summary'!$C:$C,$C22,'Disbursements Summary'!$A:$A,"HFA")</f>
        <v>0</v>
      </c>
      <c r="ED22" s="55">
        <f>SUMIFS('Awards Summary'!$H:$H,'Awards Summary'!$B:$B,$C22,'Awards Summary'!$J:$J,"NYSIF")</f>
        <v>0</v>
      </c>
      <c r="EE22" s="55">
        <f>SUMIFS('Disbursements Summary'!$E:$E,'Disbursements Summary'!$C:$C,$C22,'Disbursements Summary'!$A:$A,"NYSIF")</f>
        <v>0</v>
      </c>
      <c r="EF22" s="55">
        <f>SUMIFS('Awards Summary'!$H:$H,'Awards Summary'!$B:$B,$C22,'Awards Summary'!$J:$J,"NYBREDS")</f>
        <v>0</v>
      </c>
      <c r="EG22" s="55">
        <f>SUMIFS('Disbursements Summary'!$E:$E,'Disbursements Summary'!$C:$C,$C22,'Disbursements Summary'!$A:$A,"NYBREDS")</f>
        <v>0</v>
      </c>
      <c r="EH22" s="55">
        <f>SUMIFS('Awards Summary'!$H:$H,'Awards Summary'!$B:$B,$C22,'Awards Summary'!$J:$J,"NYSTA")</f>
        <v>0</v>
      </c>
      <c r="EI22" s="55">
        <f>SUMIFS('Disbursements Summary'!$E:$E,'Disbursements Summary'!$C:$C,$C22,'Disbursements Summary'!$A:$A,"NYSTA")</f>
        <v>0</v>
      </c>
      <c r="EJ22" s="55">
        <f>SUMIFS('Awards Summary'!$H:$H,'Awards Summary'!$B:$B,$C22,'Awards Summary'!$J:$J,"NFWB")</f>
        <v>0</v>
      </c>
      <c r="EK22" s="55">
        <f>SUMIFS('Disbursements Summary'!$E:$E,'Disbursements Summary'!$C:$C,$C22,'Disbursements Summary'!$A:$A,"NFWB")</f>
        <v>0</v>
      </c>
      <c r="EL22" s="55">
        <f>SUMIFS('Awards Summary'!$H:$H,'Awards Summary'!$B:$B,$C22,'Awards Summary'!$J:$J,"NFTA")</f>
        <v>0</v>
      </c>
      <c r="EM22" s="55">
        <f>SUMIFS('Disbursements Summary'!$E:$E,'Disbursements Summary'!$C:$C,$C22,'Disbursements Summary'!$A:$A,"NFTA")</f>
        <v>0</v>
      </c>
      <c r="EN22" s="55">
        <f>SUMIFS('Awards Summary'!$H:$H,'Awards Summary'!$B:$B,$C22,'Awards Summary'!$J:$J,"OPWDD")</f>
        <v>0</v>
      </c>
      <c r="EO22" s="55">
        <f>SUMIFS('Disbursements Summary'!$E:$E,'Disbursements Summary'!$C:$C,$C22,'Disbursements Summary'!$A:$A,"OPWDD")</f>
        <v>0</v>
      </c>
      <c r="EP22" s="55">
        <f>SUMIFS('Awards Summary'!$H:$H,'Awards Summary'!$B:$B,$C22,'Awards Summary'!$J:$J,"AGING")</f>
        <v>0</v>
      </c>
      <c r="EQ22" s="55">
        <f>SUMIFS('Disbursements Summary'!$E:$E,'Disbursements Summary'!$C:$C,$C22,'Disbursements Summary'!$A:$A,"AGING")</f>
        <v>0</v>
      </c>
      <c r="ER22" s="55">
        <f>SUMIFS('Awards Summary'!$H:$H,'Awards Summary'!$B:$B,$C22,'Awards Summary'!$J:$J,"OPDV")</f>
        <v>0</v>
      </c>
      <c r="ES22" s="55">
        <f>SUMIFS('Disbursements Summary'!$E:$E,'Disbursements Summary'!$C:$C,$C22,'Disbursements Summary'!$A:$A,"OPDV")</f>
        <v>0</v>
      </c>
      <c r="ET22" s="55">
        <f>SUMIFS('Awards Summary'!$H:$H,'Awards Summary'!$B:$B,$C22,'Awards Summary'!$J:$J,"OVS")</f>
        <v>0</v>
      </c>
      <c r="EU22" s="55">
        <f>SUMIFS('Disbursements Summary'!$E:$E,'Disbursements Summary'!$C:$C,$C22,'Disbursements Summary'!$A:$A,"OVS")</f>
        <v>0</v>
      </c>
      <c r="EV22" s="55">
        <f>SUMIFS('Awards Summary'!$H:$H,'Awards Summary'!$B:$B,$C22,'Awards Summary'!$J:$J,"OASAS")</f>
        <v>0</v>
      </c>
      <c r="EW22" s="55">
        <f>SUMIFS('Disbursements Summary'!$E:$E,'Disbursements Summary'!$C:$C,$C22,'Disbursements Summary'!$A:$A,"OASAS")</f>
        <v>0</v>
      </c>
      <c r="EX22" s="55">
        <f>SUMIFS('Awards Summary'!$H:$H,'Awards Summary'!$B:$B,$C22,'Awards Summary'!$J:$J,"OCFS")</f>
        <v>0</v>
      </c>
      <c r="EY22" s="55">
        <f>SUMIFS('Disbursements Summary'!$E:$E,'Disbursements Summary'!$C:$C,$C22,'Disbursements Summary'!$A:$A,"OCFS")</f>
        <v>0</v>
      </c>
      <c r="EZ22" s="55">
        <f>SUMIFS('Awards Summary'!$H:$H,'Awards Summary'!$B:$B,$C22,'Awards Summary'!$J:$J,"OGS")</f>
        <v>0</v>
      </c>
      <c r="FA22" s="55">
        <f>SUMIFS('Disbursements Summary'!$E:$E,'Disbursements Summary'!$C:$C,$C22,'Disbursements Summary'!$A:$A,"OGS")</f>
        <v>0</v>
      </c>
      <c r="FB22" s="55">
        <f>SUMIFS('Awards Summary'!$H:$H,'Awards Summary'!$B:$B,$C22,'Awards Summary'!$J:$J,"OMH")</f>
        <v>0</v>
      </c>
      <c r="FC22" s="55">
        <f>SUMIFS('Disbursements Summary'!$E:$E,'Disbursements Summary'!$C:$C,$C22,'Disbursements Summary'!$A:$A,"OMH")</f>
        <v>0</v>
      </c>
      <c r="FD22" s="55">
        <f>SUMIFS('Awards Summary'!$H:$H,'Awards Summary'!$B:$B,$C22,'Awards Summary'!$J:$J,"PARKS")</f>
        <v>0</v>
      </c>
      <c r="FE22" s="55">
        <f>SUMIFS('Disbursements Summary'!$E:$E,'Disbursements Summary'!$C:$C,$C22,'Disbursements Summary'!$A:$A,"PARKS")</f>
        <v>0</v>
      </c>
      <c r="FF22" s="55">
        <f>SUMIFS('Awards Summary'!$H:$H,'Awards Summary'!$B:$B,$C22,'Awards Summary'!$J:$J,"OTDA")</f>
        <v>0</v>
      </c>
      <c r="FG22" s="55">
        <f>SUMIFS('Disbursements Summary'!$E:$E,'Disbursements Summary'!$C:$C,$C22,'Disbursements Summary'!$A:$A,"OTDA")</f>
        <v>0</v>
      </c>
      <c r="FH22" s="55">
        <f>SUMIFS('Awards Summary'!$H:$H,'Awards Summary'!$B:$B,$C22,'Awards Summary'!$J:$J,"OIG")</f>
        <v>0</v>
      </c>
      <c r="FI22" s="55">
        <f>SUMIFS('Disbursements Summary'!$E:$E,'Disbursements Summary'!$C:$C,$C22,'Disbursements Summary'!$A:$A,"OIG")</f>
        <v>0</v>
      </c>
      <c r="FJ22" s="55">
        <f>SUMIFS('Awards Summary'!$H:$H,'Awards Summary'!$B:$B,$C22,'Awards Summary'!$J:$J,"OMIG")</f>
        <v>0</v>
      </c>
      <c r="FK22" s="55">
        <f>SUMIFS('Disbursements Summary'!$E:$E,'Disbursements Summary'!$C:$C,$C22,'Disbursements Summary'!$A:$A,"OMIG")</f>
        <v>0</v>
      </c>
      <c r="FL22" s="55">
        <f>SUMIFS('Awards Summary'!$H:$H,'Awards Summary'!$B:$B,$C22,'Awards Summary'!$J:$J,"OSC")</f>
        <v>0</v>
      </c>
      <c r="FM22" s="55">
        <f>SUMIFS('Disbursements Summary'!$E:$E,'Disbursements Summary'!$C:$C,$C22,'Disbursements Summary'!$A:$A,"OSC")</f>
        <v>0</v>
      </c>
      <c r="FN22" s="55">
        <f>SUMIFS('Awards Summary'!$H:$H,'Awards Summary'!$B:$B,$C22,'Awards Summary'!$J:$J,"OWIG")</f>
        <v>0</v>
      </c>
      <c r="FO22" s="55">
        <f>SUMIFS('Disbursements Summary'!$E:$E,'Disbursements Summary'!$C:$C,$C22,'Disbursements Summary'!$A:$A,"OWIG")</f>
        <v>0</v>
      </c>
      <c r="FP22" s="55">
        <f>SUMIFS('Awards Summary'!$H:$H,'Awards Summary'!$B:$B,$C22,'Awards Summary'!$J:$J,"OGDEN")</f>
        <v>0</v>
      </c>
      <c r="FQ22" s="55">
        <f>SUMIFS('Disbursements Summary'!$E:$E,'Disbursements Summary'!$C:$C,$C22,'Disbursements Summary'!$A:$A,"OGDEN")</f>
        <v>0</v>
      </c>
      <c r="FR22" s="55">
        <f>SUMIFS('Awards Summary'!$H:$H,'Awards Summary'!$B:$B,$C22,'Awards Summary'!$J:$J,"ORDA")</f>
        <v>0</v>
      </c>
      <c r="FS22" s="55">
        <f>SUMIFS('Disbursements Summary'!$E:$E,'Disbursements Summary'!$C:$C,$C22,'Disbursements Summary'!$A:$A,"ORDA")</f>
        <v>0</v>
      </c>
      <c r="FT22" s="55">
        <f>SUMIFS('Awards Summary'!$H:$H,'Awards Summary'!$B:$B,$C22,'Awards Summary'!$J:$J,"OSWEGO")</f>
        <v>0</v>
      </c>
      <c r="FU22" s="55">
        <f>SUMIFS('Disbursements Summary'!$E:$E,'Disbursements Summary'!$C:$C,$C22,'Disbursements Summary'!$A:$A,"OSWEGO")</f>
        <v>0</v>
      </c>
      <c r="FV22" s="55">
        <f>SUMIFS('Awards Summary'!$H:$H,'Awards Summary'!$B:$B,$C22,'Awards Summary'!$J:$J,"PERB")</f>
        <v>0</v>
      </c>
      <c r="FW22" s="55">
        <f>SUMIFS('Disbursements Summary'!$E:$E,'Disbursements Summary'!$C:$C,$C22,'Disbursements Summary'!$A:$A,"PERB")</f>
        <v>0</v>
      </c>
      <c r="FX22" s="55">
        <f>SUMIFS('Awards Summary'!$H:$H,'Awards Summary'!$B:$B,$C22,'Awards Summary'!$J:$J,"RGRTA")</f>
        <v>0</v>
      </c>
      <c r="FY22" s="55">
        <f>SUMIFS('Disbursements Summary'!$E:$E,'Disbursements Summary'!$C:$C,$C22,'Disbursements Summary'!$A:$A,"RGRTA")</f>
        <v>0</v>
      </c>
      <c r="FZ22" s="55">
        <f>SUMIFS('Awards Summary'!$H:$H,'Awards Summary'!$B:$B,$C22,'Awards Summary'!$J:$J,"RIOC")</f>
        <v>0</v>
      </c>
      <c r="GA22" s="55">
        <f>SUMIFS('Disbursements Summary'!$E:$E,'Disbursements Summary'!$C:$C,$C22,'Disbursements Summary'!$A:$A,"RIOC")</f>
        <v>0</v>
      </c>
      <c r="GB22" s="55">
        <f>SUMIFS('Awards Summary'!$H:$H,'Awards Summary'!$B:$B,$C22,'Awards Summary'!$J:$J,"RPCI")</f>
        <v>0</v>
      </c>
      <c r="GC22" s="55">
        <f>SUMIFS('Disbursements Summary'!$E:$E,'Disbursements Summary'!$C:$C,$C22,'Disbursements Summary'!$A:$A,"RPCI")</f>
        <v>0</v>
      </c>
      <c r="GD22" s="55">
        <f>SUMIFS('Awards Summary'!$H:$H,'Awards Summary'!$B:$B,$C22,'Awards Summary'!$J:$J,"SMDA")</f>
        <v>0</v>
      </c>
      <c r="GE22" s="55">
        <f>SUMIFS('Disbursements Summary'!$E:$E,'Disbursements Summary'!$C:$C,$C22,'Disbursements Summary'!$A:$A,"SMDA")</f>
        <v>0</v>
      </c>
      <c r="GF22" s="55">
        <f>SUMIFS('Awards Summary'!$H:$H,'Awards Summary'!$B:$B,$C22,'Awards Summary'!$J:$J,"SCOC")</f>
        <v>0</v>
      </c>
      <c r="GG22" s="55">
        <f>SUMIFS('Disbursements Summary'!$E:$E,'Disbursements Summary'!$C:$C,$C22,'Disbursements Summary'!$A:$A,"SCOC")</f>
        <v>0</v>
      </c>
      <c r="GH22" s="55">
        <f>SUMIFS('Awards Summary'!$H:$H,'Awards Summary'!$B:$B,$C22,'Awards Summary'!$J:$J,"SUCF")</f>
        <v>0</v>
      </c>
      <c r="GI22" s="55">
        <f>SUMIFS('Disbursements Summary'!$E:$E,'Disbursements Summary'!$C:$C,$C22,'Disbursements Summary'!$A:$A,"SUCF")</f>
        <v>0</v>
      </c>
      <c r="GJ22" s="55">
        <f>SUMIFS('Awards Summary'!$H:$H,'Awards Summary'!$B:$B,$C22,'Awards Summary'!$J:$J,"SUNY")</f>
        <v>0</v>
      </c>
      <c r="GK22" s="55">
        <f>SUMIFS('Disbursements Summary'!$E:$E,'Disbursements Summary'!$C:$C,$C22,'Disbursements Summary'!$A:$A,"SUNY")</f>
        <v>0</v>
      </c>
      <c r="GL22" s="55">
        <f>SUMIFS('Awards Summary'!$H:$H,'Awards Summary'!$B:$B,$C22,'Awards Summary'!$J:$J,"SRAA")</f>
        <v>0</v>
      </c>
      <c r="GM22" s="55">
        <f>SUMIFS('Disbursements Summary'!$E:$E,'Disbursements Summary'!$C:$C,$C22,'Disbursements Summary'!$A:$A,"SRAA")</f>
        <v>0</v>
      </c>
      <c r="GN22" s="55">
        <f>SUMIFS('Awards Summary'!$H:$H,'Awards Summary'!$B:$B,$C22,'Awards Summary'!$J:$J,"UNDC")</f>
        <v>0</v>
      </c>
      <c r="GO22" s="55">
        <f>SUMIFS('Disbursements Summary'!$E:$E,'Disbursements Summary'!$C:$C,$C22,'Disbursements Summary'!$A:$A,"UNDC")</f>
        <v>0</v>
      </c>
      <c r="GP22" s="55">
        <f>SUMIFS('Awards Summary'!$H:$H,'Awards Summary'!$B:$B,$C22,'Awards Summary'!$J:$J,"MVWA")</f>
        <v>0</v>
      </c>
      <c r="GQ22" s="55">
        <f>SUMIFS('Disbursements Summary'!$E:$E,'Disbursements Summary'!$C:$C,$C22,'Disbursements Summary'!$A:$A,"MVWA")</f>
        <v>0</v>
      </c>
      <c r="GR22" s="55">
        <f>SUMIFS('Awards Summary'!$H:$H,'Awards Summary'!$B:$B,$C22,'Awards Summary'!$J:$J,"WMC")</f>
        <v>0</v>
      </c>
      <c r="GS22" s="55">
        <f>SUMIFS('Disbursements Summary'!$E:$E,'Disbursements Summary'!$C:$C,$C22,'Disbursements Summary'!$A:$A,"WMC")</f>
        <v>0</v>
      </c>
      <c r="GT22" s="55">
        <f>SUMIFS('Awards Summary'!$H:$H,'Awards Summary'!$B:$B,$C22,'Awards Summary'!$J:$J,"WCB")</f>
        <v>0</v>
      </c>
      <c r="GU22" s="55">
        <f>SUMIFS('Disbursements Summary'!$E:$E,'Disbursements Summary'!$C:$C,$C22,'Disbursements Summary'!$A:$A,"WCB")</f>
        <v>0</v>
      </c>
      <c r="GV22" s="32">
        <f t="shared" ref="GV22:GV85" si="5">(_GoBack+J22+L22+N22+P22+R22+T22+V22+X22+Z22+AB22+AD22+AF22+AH22+AJ22+AL22+AN22+AP22+AR22+AT22+AV22+AX22+AZ22+BB22+BD22+BF22+BH22+BJ22+BL22+BN22+BP22+BR22+BT22+BV22+BX22+BZ22+CB22+CD22+CF22+CH22+CJ22+CL22+CN22+CP22+CR22+CT22+CV22+CX22+CZ22+DB22+DD22+DF22+DH22+DJ22+DL22+DN22+DP22+DR22+DT22+DV22+DX22+DZ22+EB22+ED22+EF22+EH22+EJ22+EL22+EN22+EP22+ER22+ET22+EV22+EX22+EZ22+FB22+FD22+FF22+FH22+FJ22+FL22+FN22+FP22+FR22+FT22+FV22+FX22+FZ22+GB22+GD22+GF22+GH22+GJ22+GL22+GN22+GP22+GR22+GT22)</f>
        <v>0</v>
      </c>
      <c r="GW22" s="32">
        <f t="shared" ref="GW22:GW85" si="6">(_GoBack+K22+M22+O22+Q22+S22+U22+W22+Y22+AA22+AC22+AE22+AG22+AI22+AK22+AM22+AO22+AQ22+AS22+AU22+AW22+AY22+BA22+BC22+BE22+BG22+BI22+BK22+BM22+BO22+BQ22+BS22+BU22+BW22+BY22+CA22+CC22+CE22+CG22+CI22+CK22+CM22+CO22+CQ22+CS22+CU22+CW22+CY22+DA22+DC22+DE22+DG22+DI22+DK22+DM22+DO22+DQ22+DS22+DU22+DW22+DY22+EA22+EC22+EE22+EG22+EI22+EK22+EM22+EO22+EQ22+ES22+EU22+EW22+EY22+FA22+FC22+FE22+FG22+FI22+FK22+FM22+FO22+FQ22+FS22+FU22+FW22+FY22+GA22+GC22+GE22+GG22+GI22+GK22+GM22+GO22+GQ22+GS22+GU22)</f>
        <v>0</v>
      </c>
      <c r="GX22" s="30" t="b">
        <f t="shared" ref="GX22:GX85" si="7">(E22=GV22)</f>
        <v>1</v>
      </c>
      <c r="GY22" s="30" t="b">
        <f t="shared" ref="GY22:GY85" si="8">(F22=GW22)</f>
        <v>1</v>
      </c>
    </row>
    <row r="23" spans="1:207" s="30" customFormat="1">
      <c r="A23" s="22" t="str">
        <f t="shared" si="0"/>
        <v/>
      </c>
      <c r="B23" s="40" t="s">
        <v>89</v>
      </c>
      <c r="C23" s="16">
        <v>141040</v>
      </c>
      <c r="D23" s="26">
        <f>COUNTIF('Awards Summary'!B:B,"141040")</f>
        <v>0</v>
      </c>
      <c r="E23" s="45">
        <f>SUMIFS('Awards Summary'!H:H,'Awards Summary'!B:B,"141040")</f>
        <v>0</v>
      </c>
      <c r="F23" s="46">
        <f>SUMIFS('Disbursements Summary'!E:E,'Disbursements Summary'!C:C, "141040")</f>
        <v>0</v>
      </c>
      <c r="H23" s="55">
        <f>SUMIFS('Awards Summary'!$H:$H,'Awards Summary'!$B:$B,$C23,'Awards Summary'!$J:$J,"APA")</f>
        <v>0</v>
      </c>
      <c r="I23" s="55">
        <f>SUMIFS('Disbursements Summary'!$E:$E,'Disbursements Summary'!$C:$C,$C23,'Disbursements Summary'!$A:$A,"APA")</f>
        <v>0</v>
      </c>
      <c r="J23" s="55">
        <f>SUMIFS('Awards Summary'!$H:$H,'Awards Summary'!$B:$B,$C23,'Awards Summary'!$J:$J,"Ag&amp;Horse")</f>
        <v>0</v>
      </c>
      <c r="K23" s="55">
        <f>SUMIFS('Disbursements Summary'!$E:$E,'Disbursements Summary'!$C:$C,$C23,'Disbursements Summary'!$A:$A,"Ag&amp;Horse")</f>
        <v>0</v>
      </c>
      <c r="L23" s="55">
        <f>SUMIFS('Awards Summary'!$H:$H,'Awards Summary'!$B:$B,$C23,'Awards Summary'!$J:$J,"ACAA")</f>
        <v>0</v>
      </c>
      <c r="M23" s="55">
        <f>SUMIFS('Disbursements Summary'!$E:$E,'Disbursements Summary'!$C:$C,$C23,'Disbursements Summary'!$A:$A,"ACAA")</f>
        <v>0</v>
      </c>
      <c r="N23" s="55">
        <f>SUMIFS('Awards Summary'!$H:$H,'Awards Summary'!$B:$B,$C23,'Awards Summary'!$J:$J,"PortAlbany")</f>
        <v>0</v>
      </c>
      <c r="O23" s="55">
        <f>SUMIFS('Disbursements Summary'!$E:$E,'Disbursements Summary'!$C:$C,$C23,'Disbursements Summary'!$A:$A,"PortAlbany")</f>
        <v>0</v>
      </c>
      <c r="P23" s="55">
        <f>SUMIFS('Awards Summary'!$H:$H,'Awards Summary'!$B:$B,$C23,'Awards Summary'!$J:$J,"SLA")</f>
        <v>0</v>
      </c>
      <c r="Q23" s="55">
        <f>SUMIFS('Disbursements Summary'!$E:$E,'Disbursements Summary'!$C:$C,$C23,'Disbursements Summary'!$A:$A,"SLA")</f>
        <v>0</v>
      </c>
      <c r="R23" s="55">
        <f>SUMIFS('Awards Summary'!$H:$H,'Awards Summary'!$B:$B,$C23,'Awards Summary'!$J:$J,"BPCA")</f>
        <v>0</v>
      </c>
      <c r="S23" s="55">
        <f>SUMIFS('Disbursements Summary'!$E:$E,'Disbursements Summary'!$C:$C,$C23,'Disbursements Summary'!$A:$A,"BPCA")</f>
        <v>0</v>
      </c>
      <c r="T23" s="55">
        <f>SUMIFS('Awards Summary'!$H:$H,'Awards Summary'!$B:$B,$C23,'Awards Summary'!$J:$J,"ELECTIONS")</f>
        <v>0</v>
      </c>
      <c r="U23" s="55">
        <f>SUMIFS('Disbursements Summary'!$E:$E,'Disbursements Summary'!$C:$C,$C23,'Disbursements Summary'!$A:$A,"ELECTIONS")</f>
        <v>0</v>
      </c>
      <c r="V23" s="55">
        <f>SUMIFS('Awards Summary'!$H:$H,'Awards Summary'!$B:$B,$C23,'Awards Summary'!$J:$J,"BFSA")</f>
        <v>0</v>
      </c>
      <c r="W23" s="55">
        <f>SUMIFS('Disbursements Summary'!$E:$E,'Disbursements Summary'!$C:$C,$C23,'Disbursements Summary'!$A:$A,"BFSA")</f>
        <v>0</v>
      </c>
      <c r="X23" s="55">
        <f>SUMIFS('Awards Summary'!$H:$H,'Awards Summary'!$B:$B,$C23,'Awards Summary'!$J:$J,"CDTA")</f>
        <v>0</v>
      </c>
      <c r="Y23" s="55">
        <f>SUMIFS('Disbursements Summary'!$E:$E,'Disbursements Summary'!$C:$C,$C23,'Disbursements Summary'!$A:$A,"CDTA")</f>
        <v>0</v>
      </c>
      <c r="Z23" s="55">
        <f>SUMIFS('Awards Summary'!$H:$H,'Awards Summary'!$B:$B,$C23,'Awards Summary'!$J:$J,"CCWSA")</f>
        <v>0</v>
      </c>
      <c r="AA23" s="55">
        <f>SUMIFS('Disbursements Summary'!$E:$E,'Disbursements Summary'!$C:$C,$C23,'Disbursements Summary'!$A:$A,"CCWSA")</f>
        <v>0</v>
      </c>
      <c r="AB23" s="55">
        <f>SUMIFS('Awards Summary'!$H:$H,'Awards Summary'!$B:$B,$C23,'Awards Summary'!$J:$J,"CNYRTA")</f>
        <v>0</v>
      </c>
      <c r="AC23" s="55">
        <f>SUMIFS('Disbursements Summary'!$E:$E,'Disbursements Summary'!$C:$C,$C23,'Disbursements Summary'!$A:$A,"CNYRTA")</f>
        <v>0</v>
      </c>
      <c r="AD23" s="55">
        <f>SUMIFS('Awards Summary'!$H:$H,'Awards Summary'!$B:$B,$C23,'Awards Summary'!$J:$J,"CUCF")</f>
        <v>0</v>
      </c>
      <c r="AE23" s="55">
        <f>SUMIFS('Disbursements Summary'!$E:$E,'Disbursements Summary'!$C:$C,$C23,'Disbursements Summary'!$A:$A,"CUCF")</f>
        <v>0</v>
      </c>
      <c r="AF23" s="55">
        <f>SUMIFS('Awards Summary'!$H:$H,'Awards Summary'!$B:$B,$C23,'Awards Summary'!$J:$J,"CUNY")</f>
        <v>0</v>
      </c>
      <c r="AG23" s="55">
        <f>SUMIFS('Disbursements Summary'!$E:$E,'Disbursements Summary'!$C:$C,$C23,'Disbursements Summary'!$A:$A,"CUNY")</f>
        <v>0</v>
      </c>
      <c r="AH23" s="55">
        <f>SUMIFS('Awards Summary'!$H:$H,'Awards Summary'!$B:$B,$C23,'Awards Summary'!$J:$J,"ARTS")</f>
        <v>0</v>
      </c>
      <c r="AI23" s="55">
        <f>SUMIFS('Disbursements Summary'!$E:$E,'Disbursements Summary'!$C:$C,$C23,'Disbursements Summary'!$A:$A,"ARTS")</f>
        <v>0</v>
      </c>
      <c r="AJ23" s="55">
        <f>SUMIFS('Awards Summary'!$H:$H,'Awards Summary'!$B:$B,$C23,'Awards Summary'!$J:$J,"AG&amp;MKTS")</f>
        <v>0</v>
      </c>
      <c r="AK23" s="55">
        <f>SUMIFS('Disbursements Summary'!$E:$E,'Disbursements Summary'!$C:$C,$C23,'Disbursements Summary'!$A:$A,"AG&amp;MKTS")</f>
        <v>0</v>
      </c>
      <c r="AL23" s="55">
        <f>SUMIFS('Awards Summary'!$H:$H,'Awards Summary'!$B:$B,$C23,'Awards Summary'!$J:$J,"CS")</f>
        <v>0</v>
      </c>
      <c r="AM23" s="55">
        <f>SUMIFS('Disbursements Summary'!$E:$E,'Disbursements Summary'!$C:$C,$C23,'Disbursements Summary'!$A:$A,"CS")</f>
        <v>0</v>
      </c>
      <c r="AN23" s="55">
        <f>SUMIFS('Awards Summary'!$H:$H,'Awards Summary'!$B:$B,$C23,'Awards Summary'!$J:$J,"DOCCS")</f>
        <v>0</v>
      </c>
      <c r="AO23" s="55">
        <f>SUMIFS('Disbursements Summary'!$E:$E,'Disbursements Summary'!$C:$C,$C23,'Disbursements Summary'!$A:$A,"DOCCS")</f>
        <v>0</v>
      </c>
      <c r="AP23" s="55">
        <f>SUMIFS('Awards Summary'!$H:$H,'Awards Summary'!$B:$B,$C23,'Awards Summary'!$J:$J,"DED")</f>
        <v>0</v>
      </c>
      <c r="AQ23" s="55">
        <f>SUMIFS('Disbursements Summary'!$E:$E,'Disbursements Summary'!$C:$C,$C23,'Disbursements Summary'!$A:$A,"DED")</f>
        <v>0</v>
      </c>
      <c r="AR23" s="55">
        <f>SUMIFS('Awards Summary'!$H:$H,'Awards Summary'!$B:$B,$C23,'Awards Summary'!$J:$J,"DEC")</f>
        <v>0</v>
      </c>
      <c r="AS23" s="55">
        <f>SUMIFS('Disbursements Summary'!$E:$E,'Disbursements Summary'!$C:$C,$C23,'Disbursements Summary'!$A:$A,"DEC")</f>
        <v>0</v>
      </c>
      <c r="AT23" s="55">
        <f>SUMIFS('Awards Summary'!$H:$H,'Awards Summary'!$B:$B,$C23,'Awards Summary'!$J:$J,"DFS")</f>
        <v>0</v>
      </c>
      <c r="AU23" s="55">
        <f>SUMIFS('Disbursements Summary'!$E:$E,'Disbursements Summary'!$C:$C,$C23,'Disbursements Summary'!$A:$A,"DFS")</f>
        <v>0</v>
      </c>
      <c r="AV23" s="55">
        <f>SUMIFS('Awards Summary'!$H:$H,'Awards Summary'!$B:$B,$C23,'Awards Summary'!$J:$J,"DOH")</f>
        <v>0</v>
      </c>
      <c r="AW23" s="55">
        <f>SUMIFS('Disbursements Summary'!$E:$E,'Disbursements Summary'!$C:$C,$C23,'Disbursements Summary'!$A:$A,"DOH")</f>
        <v>0</v>
      </c>
      <c r="AX23" s="55">
        <f>SUMIFS('Awards Summary'!$H:$H,'Awards Summary'!$B:$B,$C23,'Awards Summary'!$J:$J,"DOL")</f>
        <v>0</v>
      </c>
      <c r="AY23" s="55">
        <f>SUMIFS('Disbursements Summary'!$E:$E,'Disbursements Summary'!$C:$C,$C23,'Disbursements Summary'!$A:$A,"DOL")</f>
        <v>0</v>
      </c>
      <c r="AZ23" s="55">
        <f>SUMIFS('Awards Summary'!$H:$H,'Awards Summary'!$B:$B,$C23,'Awards Summary'!$J:$J,"DMV")</f>
        <v>0</v>
      </c>
      <c r="BA23" s="55">
        <f>SUMIFS('Disbursements Summary'!$E:$E,'Disbursements Summary'!$C:$C,$C23,'Disbursements Summary'!$A:$A,"DMV")</f>
        <v>0</v>
      </c>
      <c r="BB23" s="55">
        <f>SUMIFS('Awards Summary'!$H:$H,'Awards Summary'!$B:$B,$C23,'Awards Summary'!$J:$J,"DPS")</f>
        <v>0</v>
      </c>
      <c r="BC23" s="55">
        <f>SUMIFS('Disbursements Summary'!$E:$E,'Disbursements Summary'!$C:$C,$C23,'Disbursements Summary'!$A:$A,"DPS")</f>
        <v>0</v>
      </c>
      <c r="BD23" s="55">
        <f>SUMIFS('Awards Summary'!$H:$H,'Awards Summary'!$B:$B,$C23,'Awards Summary'!$J:$J,"DOS")</f>
        <v>0</v>
      </c>
      <c r="BE23" s="55">
        <f>SUMIFS('Disbursements Summary'!$E:$E,'Disbursements Summary'!$C:$C,$C23,'Disbursements Summary'!$A:$A,"DOS")</f>
        <v>0</v>
      </c>
      <c r="BF23" s="55">
        <f>SUMIFS('Awards Summary'!$H:$H,'Awards Summary'!$B:$B,$C23,'Awards Summary'!$J:$J,"TAX")</f>
        <v>0</v>
      </c>
      <c r="BG23" s="55">
        <f>SUMIFS('Disbursements Summary'!$E:$E,'Disbursements Summary'!$C:$C,$C23,'Disbursements Summary'!$A:$A,"TAX")</f>
        <v>0</v>
      </c>
      <c r="BH23" s="55">
        <f>SUMIFS('Awards Summary'!$H:$H,'Awards Summary'!$B:$B,$C23,'Awards Summary'!$J:$J,"DOT")</f>
        <v>0</v>
      </c>
      <c r="BI23" s="55">
        <f>SUMIFS('Disbursements Summary'!$E:$E,'Disbursements Summary'!$C:$C,$C23,'Disbursements Summary'!$A:$A,"DOT")</f>
        <v>0</v>
      </c>
      <c r="BJ23" s="55">
        <f>SUMIFS('Awards Summary'!$H:$H,'Awards Summary'!$B:$B,$C23,'Awards Summary'!$J:$J,"DANC")</f>
        <v>0</v>
      </c>
      <c r="BK23" s="55">
        <f>SUMIFS('Disbursements Summary'!$E:$E,'Disbursements Summary'!$C:$C,$C23,'Disbursements Summary'!$A:$A,"DANC")</f>
        <v>0</v>
      </c>
      <c r="BL23" s="55">
        <f>SUMIFS('Awards Summary'!$H:$H,'Awards Summary'!$B:$B,$C23,'Awards Summary'!$J:$J,"DOB")</f>
        <v>0</v>
      </c>
      <c r="BM23" s="55">
        <f>SUMIFS('Disbursements Summary'!$E:$E,'Disbursements Summary'!$C:$C,$C23,'Disbursements Summary'!$A:$A,"DOB")</f>
        <v>0</v>
      </c>
      <c r="BN23" s="55">
        <f>SUMIFS('Awards Summary'!$H:$H,'Awards Summary'!$B:$B,$C23,'Awards Summary'!$J:$J,"DCJS")</f>
        <v>0</v>
      </c>
      <c r="BO23" s="55">
        <f>SUMIFS('Disbursements Summary'!$E:$E,'Disbursements Summary'!$C:$C,$C23,'Disbursements Summary'!$A:$A,"DCJS")</f>
        <v>0</v>
      </c>
      <c r="BP23" s="55">
        <f>SUMIFS('Awards Summary'!$H:$H,'Awards Summary'!$B:$B,$C23,'Awards Summary'!$J:$J,"DHSES")</f>
        <v>0</v>
      </c>
      <c r="BQ23" s="55">
        <f>SUMIFS('Disbursements Summary'!$E:$E,'Disbursements Summary'!$C:$C,$C23,'Disbursements Summary'!$A:$A,"DHSES")</f>
        <v>0</v>
      </c>
      <c r="BR23" s="55">
        <f>SUMIFS('Awards Summary'!$H:$H,'Awards Summary'!$B:$B,$C23,'Awards Summary'!$J:$J,"DHR")</f>
        <v>0</v>
      </c>
      <c r="BS23" s="55">
        <f>SUMIFS('Disbursements Summary'!$E:$E,'Disbursements Summary'!$C:$C,$C23,'Disbursements Summary'!$A:$A,"DHR")</f>
        <v>0</v>
      </c>
      <c r="BT23" s="55">
        <f>SUMIFS('Awards Summary'!$H:$H,'Awards Summary'!$B:$B,$C23,'Awards Summary'!$J:$J,"DMNA")</f>
        <v>0</v>
      </c>
      <c r="BU23" s="55">
        <f>SUMIFS('Disbursements Summary'!$E:$E,'Disbursements Summary'!$C:$C,$C23,'Disbursements Summary'!$A:$A,"DMNA")</f>
        <v>0</v>
      </c>
      <c r="BV23" s="55">
        <f>SUMIFS('Awards Summary'!$H:$H,'Awards Summary'!$B:$B,$C23,'Awards Summary'!$J:$J,"TROOPERS")</f>
        <v>0</v>
      </c>
      <c r="BW23" s="55">
        <f>SUMIFS('Disbursements Summary'!$E:$E,'Disbursements Summary'!$C:$C,$C23,'Disbursements Summary'!$A:$A,"TROOPERS")</f>
        <v>0</v>
      </c>
      <c r="BX23" s="55">
        <f>SUMIFS('Awards Summary'!$H:$H,'Awards Summary'!$B:$B,$C23,'Awards Summary'!$J:$J,"DVA")</f>
        <v>0</v>
      </c>
      <c r="BY23" s="55">
        <f>SUMIFS('Disbursements Summary'!$E:$E,'Disbursements Summary'!$C:$C,$C23,'Disbursements Summary'!$A:$A,"DVA")</f>
        <v>0</v>
      </c>
      <c r="BZ23" s="55">
        <f>SUMIFS('Awards Summary'!$H:$H,'Awards Summary'!$B:$B,$C23,'Awards Summary'!$J:$J,"DASNY")</f>
        <v>0</v>
      </c>
      <c r="CA23" s="55">
        <f>SUMIFS('Disbursements Summary'!$E:$E,'Disbursements Summary'!$C:$C,$C23,'Disbursements Summary'!$A:$A,"DASNY")</f>
        <v>0</v>
      </c>
      <c r="CB23" s="55">
        <f>SUMIFS('Awards Summary'!$H:$H,'Awards Summary'!$B:$B,$C23,'Awards Summary'!$J:$J,"EGG")</f>
        <v>0</v>
      </c>
      <c r="CC23" s="55">
        <f>SUMIFS('Disbursements Summary'!$E:$E,'Disbursements Summary'!$C:$C,$C23,'Disbursements Summary'!$A:$A,"EGG")</f>
        <v>0</v>
      </c>
      <c r="CD23" s="55">
        <f>SUMIFS('Awards Summary'!$H:$H,'Awards Summary'!$B:$B,$C23,'Awards Summary'!$J:$J,"ESD")</f>
        <v>0</v>
      </c>
      <c r="CE23" s="55">
        <f>SUMIFS('Disbursements Summary'!$E:$E,'Disbursements Summary'!$C:$C,$C23,'Disbursements Summary'!$A:$A,"ESD")</f>
        <v>0</v>
      </c>
      <c r="CF23" s="55">
        <f>SUMIFS('Awards Summary'!$H:$H,'Awards Summary'!$B:$B,$C23,'Awards Summary'!$J:$J,"EFC")</f>
        <v>0</v>
      </c>
      <c r="CG23" s="55">
        <f>SUMIFS('Disbursements Summary'!$E:$E,'Disbursements Summary'!$C:$C,$C23,'Disbursements Summary'!$A:$A,"EFC")</f>
        <v>0</v>
      </c>
      <c r="CH23" s="55">
        <f>SUMIFS('Awards Summary'!$H:$H,'Awards Summary'!$B:$B,$C23,'Awards Summary'!$J:$J,"ECFSA")</f>
        <v>0</v>
      </c>
      <c r="CI23" s="55">
        <f>SUMIFS('Disbursements Summary'!$E:$E,'Disbursements Summary'!$C:$C,$C23,'Disbursements Summary'!$A:$A,"ECFSA")</f>
        <v>0</v>
      </c>
      <c r="CJ23" s="55">
        <f>SUMIFS('Awards Summary'!$H:$H,'Awards Summary'!$B:$B,$C23,'Awards Summary'!$J:$J,"ECMC")</f>
        <v>0</v>
      </c>
      <c r="CK23" s="55">
        <f>SUMIFS('Disbursements Summary'!$E:$E,'Disbursements Summary'!$C:$C,$C23,'Disbursements Summary'!$A:$A,"ECMC")</f>
        <v>0</v>
      </c>
      <c r="CL23" s="55">
        <f>SUMIFS('Awards Summary'!$H:$H,'Awards Summary'!$B:$B,$C23,'Awards Summary'!$J:$J,"CHAMBER")</f>
        <v>0</v>
      </c>
      <c r="CM23" s="55">
        <f>SUMIFS('Disbursements Summary'!$E:$E,'Disbursements Summary'!$C:$C,$C23,'Disbursements Summary'!$A:$A,"CHAMBER")</f>
        <v>0</v>
      </c>
      <c r="CN23" s="55">
        <f>SUMIFS('Awards Summary'!$H:$H,'Awards Summary'!$B:$B,$C23,'Awards Summary'!$J:$J,"GAMING")</f>
        <v>0</v>
      </c>
      <c r="CO23" s="55">
        <f>SUMIFS('Disbursements Summary'!$E:$E,'Disbursements Summary'!$C:$C,$C23,'Disbursements Summary'!$A:$A,"GAMING")</f>
        <v>0</v>
      </c>
      <c r="CP23" s="55">
        <f>SUMIFS('Awards Summary'!$H:$H,'Awards Summary'!$B:$B,$C23,'Awards Summary'!$J:$J,"GOER")</f>
        <v>0</v>
      </c>
      <c r="CQ23" s="55">
        <f>SUMIFS('Disbursements Summary'!$E:$E,'Disbursements Summary'!$C:$C,$C23,'Disbursements Summary'!$A:$A,"GOER")</f>
        <v>0</v>
      </c>
      <c r="CR23" s="55">
        <f>SUMIFS('Awards Summary'!$H:$H,'Awards Summary'!$B:$B,$C23,'Awards Summary'!$J:$J,"HESC")</f>
        <v>0</v>
      </c>
      <c r="CS23" s="55">
        <f>SUMIFS('Disbursements Summary'!$E:$E,'Disbursements Summary'!$C:$C,$C23,'Disbursements Summary'!$A:$A,"HESC")</f>
        <v>0</v>
      </c>
      <c r="CT23" s="55">
        <f>SUMIFS('Awards Summary'!$H:$H,'Awards Summary'!$B:$B,$C23,'Awards Summary'!$J:$J,"GOSR")</f>
        <v>0</v>
      </c>
      <c r="CU23" s="55">
        <f>SUMIFS('Disbursements Summary'!$E:$E,'Disbursements Summary'!$C:$C,$C23,'Disbursements Summary'!$A:$A,"GOSR")</f>
        <v>0</v>
      </c>
      <c r="CV23" s="55">
        <f>SUMIFS('Awards Summary'!$H:$H,'Awards Summary'!$B:$B,$C23,'Awards Summary'!$J:$J,"HRPT")</f>
        <v>0</v>
      </c>
      <c r="CW23" s="55">
        <f>SUMIFS('Disbursements Summary'!$E:$E,'Disbursements Summary'!$C:$C,$C23,'Disbursements Summary'!$A:$A,"HRPT")</f>
        <v>0</v>
      </c>
      <c r="CX23" s="55">
        <f>SUMIFS('Awards Summary'!$H:$H,'Awards Summary'!$B:$B,$C23,'Awards Summary'!$J:$J,"HRBRRD")</f>
        <v>0</v>
      </c>
      <c r="CY23" s="55">
        <f>SUMIFS('Disbursements Summary'!$E:$E,'Disbursements Summary'!$C:$C,$C23,'Disbursements Summary'!$A:$A,"HRBRRD")</f>
        <v>0</v>
      </c>
      <c r="CZ23" s="55">
        <f>SUMIFS('Awards Summary'!$H:$H,'Awards Summary'!$B:$B,$C23,'Awards Summary'!$J:$J,"ITS")</f>
        <v>0</v>
      </c>
      <c r="DA23" s="55">
        <f>SUMIFS('Disbursements Summary'!$E:$E,'Disbursements Summary'!$C:$C,$C23,'Disbursements Summary'!$A:$A,"ITS")</f>
        <v>0</v>
      </c>
      <c r="DB23" s="55">
        <f>SUMIFS('Awards Summary'!$H:$H,'Awards Summary'!$B:$B,$C23,'Awards Summary'!$J:$J,"JAVITS")</f>
        <v>0</v>
      </c>
      <c r="DC23" s="55">
        <f>SUMIFS('Disbursements Summary'!$E:$E,'Disbursements Summary'!$C:$C,$C23,'Disbursements Summary'!$A:$A,"JAVITS")</f>
        <v>0</v>
      </c>
      <c r="DD23" s="55">
        <f>SUMIFS('Awards Summary'!$H:$H,'Awards Summary'!$B:$B,$C23,'Awards Summary'!$J:$J,"JCOPE")</f>
        <v>0</v>
      </c>
      <c r="DE23" s="55">
        <f>SUMIFS('Disbursements Summary'!$E:$E,'Disbursements Summary'!$C:$C,$C23,'Disbursements Summary'!$A:$A,"JCOPE")</f>
        <v>0</v>
      </c>
      <c r="DF23" s="55">
        <f>SUMIFS('Awards Summary'!$H:$H,'Awards Summary'!$B:$B,$C23,'Awards Summary'!$J:$J,"JUSTICE")</f>
        <v>0</v>
      </c>
      <c r="DG23" s="55">
        <f>SUMIFS('Disbursements Summary'!$E:$E,'Disbursements Summary'!$C:$C,$C23,'Disbursements Summary'!$A:$A,"JUSTICE")</f>
        <v>0</v>
      </c>
      <c r="DH23" s="55">
        <f>SUMIFS('Awards Summary'!$H:$H,'Awards Summary'!$B:$B,$C23,'Awards Summary'!$J:$J,"LCWSA")</f>
        <v>0</v>
      </c>
      <c r="DI23" s="55">
        <f>SUMIFS('Disbursements Summary'!$E:$E,'Disbursements Summary'!$C:$C,$C23,'Disbursements Summary'!$A:$A,"LCWSA")</f>
        <v>0</v>
      </c>
      <c r="DJ23" s="55">
        <f>SUMIFS('Awards Summary'!$H:$H,'Awards Summary'!$B:$B,$C23,'Awards Summary'!$J:$J,"LIPA")</f>
        <v>0</v>
      </c>
      <c r="DK23" s="55">
        <f>SUMIFS('Disbursements Summary'!$E:$E,'Disbursements Summary'!$C:$C,$C23,'Disbursements Summary'!$A:$A,"LIPA")</f>
        <v>0</v>
      </c>
      <c r="DL23" s="55">
        <f>SUMIFS('Awards Summary'!$H:$H,'Awards Summary'!$B:$B,$C23,'Awards Summary'!$J:$J,"MTA")</f>
        <v>0</v>
      </c>
      <c r="DM23" s="55">
        <f>SUMIFS('Disbursements Summary'!$E:$E,'Disbursements Summary'!$C:$C,$C23,'Disbursements Summary'!$A:$A,"MTA")</f>
        <v>0</v>
      </c>
      <c r="DN23" s="55">
        <f>SUMIFS('Awards Summary'!$H:$H,'Awards Summary'!$B:$B,$C23,'Awards Summary'!$J:$J,"NIFA")</f>
        <v>0</v>
      </c>
      <c r="DO23" s="55">
        <f>SUMIFS('Disbursements Summary'!$E:$E,'Disbursements Summary'!$C:$C,$C23,'Disbursements Summary'!$A:$A,"NIFA")</f>
        <v>0</v>
      </c>
      <c r="DP23" s="55">
        <f>SUMIFS('Awards Summary'!$H:$H,'Awards Summary'!$B:$B,$C23,'Awards Summary'!$J:$J,"NHCC")</f>
        <v>0</v>
      </c>
      <c r="DQ23" s="55">
        <f>SUMIFS('Disbursements Summary'!$E:$E,'Disbursements Summary'!$C:$C,$C23,'Disbursements Summary'!$A:$A,"NHCC")</f>
        <v>0</v>
      </c>
      <c r="DR23" s="55">
        <f>SUMIFS('Awards Summary'!$H:$H,'Awards Summary'!$B:$B,$C23,'Awards Summary'!$J:$J,"NHT")</f>
        <v>0</v>
      </c>
      <c r="DS23" s="55">
        <f>SUMIFS('Disbursements Summary'!$E:$E,'Disbursements Summary'!$C:$C,$C23,'Disbursements Summary'!$A:$A,"NHT")</f>
        <v>0</v>
      </c>
      <c r="DT23" s="55">
        <f>SUMIFS('Awards Summary'!$H:$H,'Awards Summary'!$B:$B,$C23,'Awards Summary'!$J:$J,"NYPA")</f>
        <v>0</v>
      </c>
      <c r="DU23" s="55">
        <f>SUMIFS('Disbursements Summary'!$E:$E,'Disbursements Summary'!$C:$C,$C23,'Disbursements Summary'!$A:$A,"NYPA")</f>
        <v>0</v>
      </c>
      <c r="DV23" s="55">
        <f>SUMIFS('Awards Summary'!$H:$H,'Awards Summary'!$B:$B,$C23,'Awards Summary'!$J:$J,"NYSBA")</f>
        <v>0</v>
      </c>
      <c r="DW23" s="55">
        <f>SUMIFS('Disbursements Summary'!$E:$E,'Disbursements Summary'!$C:$C,$C23,'Disbursements Summary'!$A:$A,"NYSBA")</f>
        <v>0</v>
      </c>
      <c r="DX23" s="55">
        <f>SUMIFS('Awards Summary'!$H:$H,'Awards Summary'!$B:$B,$C23,'Awards Summary'!$J:$J,"NYSERDA")</f>
        <v>0</v>
      </c>
      <c r="DY23" s="55">
        <f>SUMIFS('Disbursements Summary'!$E:$E,'Disbursements Summary'!$C:$C,$C23,'Disbursements Summary'!$A:$A,"NYSERDA")</f>
        <v>0</v>
      </c>
      <c r="DZ23" s="55">
        <f>SUMIFS('Awards Summary'!$H:$H,'Awards Summary'!$B:$B,$C23,'Awards Summary'!$J:$J,"DHCR")</f>
        <v>0</v>
      </c>
      <c r="EA23" s="55">
        <f>SUMIFS('Disbursements Summary'!$E:$E,'Disbursements Summary'!$C:$C,$C23,'Disbursements Summary'!$A:$A,"DHCR")</f>
        <v>0</v>
      </c>
      <c r="EB23" s="55">
        <f>SUMIFS('Awards Summary'!$H:$H,'Awards Summary'!$B:$B,$C23,'Awards Summary'!$J:$J,"HFA")</f>
        <v>0</v>
      </c>
      <c r="EC23" s="55">
        <f>SUMIFS('Disbursements Summary'!$E:$E,'Disbursements Summary'!$C:$C,$C23,'Disbursements Summary'!$A:$A,"HFA")</f>
        <v>0</v>
      </c>
      <c r="ED23" s="55">
        <f>SUMIFS('Awards Summary'!$H:$H,'Awards Summary'!$B:$B,$C23,'Awards Summary'!$J:$J,"NYSIF")</f>
        <v>0</v>
      </c>
      <c r="EE23" s="55">
        <f>SUMIFS('Disbursements Summary'!$E:$E,'Disbursements Summary'!$C:$C,$C23,'Disbursements Summary'!$A:$A,"NYSIF")</f>
        <v>0</v>
      </c>
      <c r="EF23" s="55">
        <f>SUMIFS('Awards Summary'!$H:$H,'Awards Summary'!$B:$B,$C23,'Awards Summary'!$J:$J,"NYBREDS")</f>
        <v>0</v>
      </c>
      <c r="EG23" s="55">
        <f>SUMIFS('Disbursements Summary'!$E:$E,'Disbursements Summary'!$C:$C,$C23,'Disbursements Summary'!$A:$A,"NYBREDS")</f>
        <v>0</v>
      </c>
      <c r="EH23" s="55">
        <f>SUMIFS('Awards Summary'!$H:$H,'Awards Summary'!$B:$B,$C23,'Awards Summary'!$J:$J,"NYSTA")</f>
        <v>0</v>
      </c>
      <c r="EI23" s="55">
        <f>SUMIFS('Disbursements Summary'!$E:$E,'Disbursements Summary'!$C:$C,$C23,'Disbursements Summary'!$A:$A,"NYSTA")</f>
        <v>0</v>
      </c>
      <c r="EJ23" s="55">
        <f>SUMIFS('Awards Summary'!$H:$H,'Awards Summary'!$B:$B,$C23,'Awards Summary'!$J:$J,"NFWB")</f>
        <v>0</v>
      </c>
      <c r="EK23" s="55">
        <f>SUMIFS('Disbursements Summary'!$E:$E,'Disbursements Summary'!$C:$C,$C23,'Disbursements Summary'!$A:$A,"NFWB")</f>
        <v>0</v>
      </c>
      <c r="EL23" s="55">
        <f>SUMIFS('Awards Summary'!$H:$H,'Awards Summary'!$B:$B,$C23,'Awards Summary'!$J:$J,"NFTA")</f>
        <v>0</v>
      </c>
      <c r="EM23" s="55">
        <f>SUMIFS('Disbursements Summary'!$E:$E,'Disbursements Summary'!$C:$C,$C23,'Disbursements Summary'!$A:$A,"NFTA")</f>
        <v>0</v>
      </c>
      <c r="EN23" s="55">
        <f>SUMIFS('Awards Summary'!$H:$H,'Awards Summary'!$B:$B,$C23,'Awards Summary'!$J:$J,"OPWDD")</f>
        <v>0</v>
      </c>
      <c r="EO23" s="55">
        <f>SUMIFS('Disbursements Summary'!$E:$E,'Disbursements Summary'!$C:$C,$C23,'Disbursements Summary'!$A:$A,"OPWDD")</f>
        <v>0</v>
      </c>
      <c r="EP23" s="55">
        <f>SUMIFS('Awards Summary'!$H:$H,'Awards Summary'!$B:$B,$C23,'Awards Summary'!$J:$J,"AGING")</f>
        <v>0</v>
      </c>
      <c r="EQ23" s="55">
        <f>SUMIFS('Disbursements Summary'!$E:$E,'Disbursements Summary'!$C:$C,$C23,'Disbursements Summary'!$A:$A,"AGING")</f>
        <v>0</v>
      </c>
      <c r="ER23" s="55">
        <f>SUMIFS('Awards Summary'!$H:$H,'Awards Summary'!$B:$B,$C23,'Awards Summary'!$J:$J,"OPDV")</f>
        <v>0</v>
      </c>
      <c r="ES23" s="55">
        <f>SUMIFS('Disbursements Summary'!$E:$E,'Disbursements Summary'!$C:$C,$C23,'Disbursements Summary'!$A:$A,"OPDV")</f>
        <v>0</v>
      </c>
      <c r="ET23" s="55">
        <f>SUMIFS('Awards Summary'!$H:$H,'Awards Summary'!$B:$B,$C23,'Awards Summary'!$J:$J,"OVS")</f>
        <v>0</v>
      </c>
      <c r="EU23" s="55">
        <f>SUMIFS('Disbursements Summary'!$E:$E,'Disbursements Summary'!$C:$C,$C23,'Disbursements Summary'!$A:$A,"OVS")</f>
        <v>0</v>
      </c>
      <c r="EV23" s="55">
        <f>SUMIFS('Awards Summary'!$H:$H,'Awards Summary'!$B:$B,$C23,'Awards Summary'!$J:$J,"OASAS")</f>
        <v>0</v>
      </c>
      <c r="EW23" s="55">
        <f>SUMIFS('Disbursements Summary'!$E:$E,'Disbursements Summary'!$C:$C,$C23,'Disbursements Summary'!$A:$A,"OASAS")</f>
        <v>0</v>
      </c>
      <c r="EX23" s="55">
        <f>SUMIFS('Awards Summary'!$H:$H,'Awards Summary'!$B:$B,$C23,'Awards Summary'!$J:$J,"OCFS")</f>
        <v>0</v>
      </c>
      <c r="EY23" s="55">
        <f>SUMIFS('Disbursements Summary'!$E:$E,'Disbursements Summary'!$C:$C,$C23,'Disbursements Summary'!$A:$A,"OCFS")</f>
        <v>0</v>
      </c>
      <c r="EZ23" s="55">
        <f>SUMIFS('Awards Summary'!$H:$H,'Awards Summary'!$B:$B,$C23,'Awards Summary'!$J:$J,"OGS")</f>
        <v>0</v>
      </c>
      <c r="FA23" s="55">
        <f>SUMIFS('Disbursements Summary'!$E:$E,'Disbursements Summary'!$C:$C,$C23,'Disbursements Summary'!$A:$A,"OGS")</f>
        <v>0</v>
      </c>
      <c r="FB23" s="55">
        <f>SUMIFS('Awards Summary'!$H:$H,'Awards Summary'!$B:$B,$C23,'Awards Summary'!$J:$J,"OMH")</f>
        <v>0</v>
      </c>
      <c r="FC23" s="55">
        <f>SUMIFS('Disbursements Summary'!$E:$E,'Disbursements Summary'!$C:$C,$C23,'Disbursements Summary'!$A:$A,"OMH")</f>
        <v>0</v>
      </c>
      <c r="FD23" s="55">
        <f>SUMIFS('Awards Summary'!$H:$H,'Awards Summary'!$B:$B,$C23,'Awards Summary'!$J:$J,"PARKS")</f>
        <v>0</v>
      </c>
      <c r="FE23" s="55">
        <f>SUMIFS('Disbursements Summary'!$E:$E,'Disbursements Summary'!$C:$C,$C23,'Disbursements Summary'!$A:$A,"PARKS")</f>
        <v>0</v>
      </c>
      <c r="FF23" s="55">
        <f>SUMIFS('Awards Summary'!$H:$H,'Awards Summary'!$B:$B,$C23,'Awards Summary'!$J:$J,"OTDA")</f>
        <v>0</v>
      </c>
      <c r="FG23" s="55">
        <f>SUMIFS('Disbursements Summary'!$E:$E,'Disbursements Summary'!$C:$C,$C23,'Disbursements Summary'!$A:$A,"OTDA")</f>
        <v>0</v>
      </c>
      <c r="FH23" s="55">
        <f>SUMIFS('Awards Summary'!$H:$H,'Awards Summary'!$B:$B,$C23,'Awards Summary'!$J:$J,"OIG")</f>
        <v>0</v>
      </c>
      <c r="FI23" s="55">
        <f>SUMIFS('Disbursements Summary'!$E:$E,'Disbursements Summary'!$C:$C,$C23,'Disbursements Summary'!$A:$A,"OIG")</f>
        <v>0</v>
      </c>
      <c r="FJ23" s="55">
        <f>SUMIFS('Awards Summary'!$H:$H,'Awards Summary'!$B:$B,$C23,'Awards Summary'!$J:$J,"OMIG")</f>
        <v>0</v>
      </c>
      <c r="FK23" s="55">
        <f>SUMIFS('Disbursements Summary'!$E:$E,'Disbursements Summary'!$C:$C,$C23,'Disbursements Summary'!$A:$A,"OMIG")</f>
        <v>0</v>
      </c>
      <c r="FL23" s="55">
        <f>SUMIFS('Awards Summary'!$H:$H,'Awards Summary'!$B:$B,$C23,'Awards Summary'!$J:$J,"OSC")</f>
        <v>0</v>
      </c>
      <c r="FM23" s="55">
        <f>SUMIFS('Disbursements Summary'!$E:$E,'Disbursements Summary'!$C:$C,$C23,'Disbursements Summary'!$A:$A,"OSC")</f>
        <v>0</v>
      </c>
      <c r="FN23" s="55">
        <f>SUMIFS('Awards Summary'!$H:$H,'Awards Summary'!$B:$B,$C23,'Awards Summary'!$J:$J,"OWIG")</f>
        <v>0</v>
      </c>
      <c r="FO23" s="55">
        <f>SUMIFS('Disbursements Summary'!$E:$E,'Disbursements Summary'!$C:$C,$C23,'Disbursements Summary'!$A:$A,"OWIG")</f>
        <v>0</v>
      </c>
      <c r="FP23" s="55">
        <f>SUMIFS('Awards Summary'!$H:$H,'Awards Summary'!$B:$B,$C23,'Awards Summary'!$J:$J,"OGDEN")</f>
        <v>0</v>
      </c>
      <c r="FQ23" s="55">
        <f>SUMIFS('Disbursements Summary'!$E:$E,'Disbursements Summary'!$C:$C,$C23,'Disbursements Summary'!$A:$A,"OGDEN")</f>
        <v>0</v>
      </c>
      <c r="FR23" s="55">
        <f>SUMIFS('Awards Summary'!$H:$H,'Awards Summary'!$B:$B,$C23,'Awards Summary'!$J:$J,"ORDA")</f>
        <v>0</v>
      </c>
      <c r="FS23" s="55">
        <f>SUMIFS('Disbursements Summary'!$E:$E,'Disbursements Summary'!$C:$C,$C23,'Disbursements Summary'!$A:$A,"ORDA")</f>
        <v>0</v>
      </c>
      <c r="FT23" s="55">
        <f>SUMIFS('Awards Summary'!$H:$H,'Awards Summary'!$B:$B,$C23,'Awards Summary'!$J:$J,"OSWEGO")</f>
        <v>0</v>
      </c>
      <c r="FU23" s="55">
        <f>SUMIFS('Disbursements Summary'!$E:$E,'Disbursements Summary'!$C:$C,$C23,'Disbursements Summary'!$A:$A,"OSWEGO")</f>
        <v>0</v>
      </c>
      <c r="FV23" s="55">
        <f>SUMIFS('Awards Summary'!$H:$H,'Awards Summary'!$B:$B,$C23,'Awards Summary'!$J:$J,"PERB")</f>
        <v>0</v>
      </c>
      <c r="FW23" s="55">
        <f>SUMIFS('Disbursements Summary'!$E:$E,'Disbursements Summary'!$C:$C,$C23,'Disbursements Summary'!$A:$A,"PERB")</f>
        <v>0</v>
      </c>
      <c r="FX23" s="55">
        <f>SUMIFS('Awards Summary'!$H:$H,'Awards Summary'!$B:$B,$C23,'Awards Summary'!$J:$J,"RGRTA")</f>
        <v>0</v>
      </c>
      <c r="FY23" s="55">
        <f>SUMIFS('Disbursements Summary'!$E:$E,'Disbursements Summary'!$C:$C,$C23,'Disbursements Summary'!$A:$A,"RGRTA")</f>
        <v>0</v>
      </c>
      <c r="FZ23" s="55">
        <f>SUMIFS('Awards Summary'!$H:$H,'Awards Summary'!$B:$B,$C23,'Awards Summary'!$J:$J,"RIOC")</f>
        <v>0</v>
      </c>
      <c r="GA23" s="55">
        <f>SUMIFS('Disbursements Summary'!$E:$E,'Disbursements Summary'!$C:$C,$C23,'Disbursements Summary'!$A:$A,"RIOC")</f>
        <v>0</v>
      </c>
      <c r="GB23" s="55">
        <f>SUMIFS('Awards Summary'!$H:$H,'Awards Summary'!$B:$B,$C23,'Awards Summary'!$J:$J,"RPCI")</f>
        <v>0</v>
      </c>
      <c r="GC23" s="55">
        <f>SUMIFS('Disbursements Summary'!$E:$E,'Disbursements Summary'!$C:$C,$C23,'Disbursements Summary'!$A:$A,"RPCI")</f>
        <v>0</v>
      </c>
      <c r="GD23" s="55">
        <f>SUMIFS('Awards Summary'!$H:$H,'Awards Summary'!$B:$B,$C23,'Awards Summary'!$J:$J,"SMDA")</f>
        <v>0</v>
      </c>
      <c r="GE23" s="55">
        <f>SUMIFS('Disbursements Summary'!$E:$E,'Disbursements Summary'!$C:$C,$C23,'Disbursements Summary'!$A:$A,"SMDA")</f>
        <v>0</v>
      </c>
      <c r="GF23" s="55">
        <f>SUMIFS('Awards Summary'!$H:$H,'Awards Summary'!$B:$B,$C23,'Awards Summary'!$J:$J,"SCOC")</f>
        <v>0</v>
      </c>
      <c r="GG23" s="55">
        <f>SUMIFS('Disbursements Summary'!$E:$E,'Disbursements Summary'!$C:$C,$C23,'Disbursements Summary'!$A:$A,"SCOC")</f>
        <v>0</v>
      </c>
      <c r="GH23" s="55">
        <f>SUMIFS('Awards Summary'!$H:$H,'Awards Summary'!$B:$B,$C23,'Awards Summary'!$J:$J,"SUCF")</f>
        <v>0</v>
      </c>
      <c r="GI23" s="55">
        <f>SUMIFS('Disbursements Summary'!$E:$E,'Disbursements Summary'!$C:$C,$C23,'Disbursements Summary'!$A:$A,"SUCF")</f>
        <v>0</v>
      </c>
      <c r="GJ23" s="55">
        <f>SUMIFS('Awards Summary'!$H:$H,'Awards Summary'!$B:$B,$C23,'Awards Summary'!$J:$J,"SUNY")</f>
        <v>0</v>
      </c>
      <c r="GK23" s="55">
        <f>SUMIFS('Disbursements Summary'!$E:$E,'Disbursements Summary'!$C:$C,$C23,'Disbursements Summary'!$A:$A,"SUNY")</f>
        <v>0</v>
      </c>
      <c r="GL23" s="55">
        <f>SUMIFS('Awards Summary'!$H:$H,'Awards Summary'!$B:$B,$C23,'Awards Summary'!$J:$J,"SRAA")</f>
        <v>0</v>
      </c>
      <c r="GM23" s="55">
        <f>SUMIFS('Disbursements Summary'!$E:$E,'Disbursements Summary'!$C:$C,$C23,'Disbursements Summary'!$A:$A,"SRAA")</f>
        <v>0</v>
      </c>
      <c r="GN23" s="55">
        <f>SUMIFS('Awards Summary'!$H:$H,'Awards Summary'!$B:$B,$C23,'Awards Summary'!$J:$J,"UNDC")</f>
        <v>0</v>
      </c>
      <c r="GO23" s="55">
        <f>SUMIFS('Disbursements Summary'!$E:$E,'Disbursements Summary'!$C:$C,$C23,'Disbursements Summary'!$A:$A,"UNDC")</f>
        <v>0</v>
      </c>
      <c r="GP23" s="55">
        <f>SUMIFS('Awards Summary'!$H:$H,'Awards Summary'!$B:$B,$C23,'Awards Summary'!$J:$J,"MVWA")</f>
        <v>0</v>
      </c>
      <c r="GQ23" s="55">
        <f>SUMIFS('Disbursements Summary'!$E:$E,'Disbursements Summary'!$C:$C,$C23,'Disbursements Summary'!$A:$A,"MVWA")</f>
        <v>0</v>
      </c>
      <c r="GR23" s="55">
        <f>SUMIFS('Awards Summary'!$H:$H,'Awards Summary'!$B:$B,$C23,'Awards Summary'!$J:$J,"WMC")</f>
        <v>0</v>
      </c>
      <c r="GS23" s="55">
        <f>SUMIFS('Disbursements Summary'!$E:$E,'Disbursements Summary'!$C:$C,$C23,'Disbursements Summary'!$A:$A,"WMC")</f>
        <v>0</v>
      </c>
      <c r="GT23" s="55">
        <f>SUMIFS('Awards Summary'!$H:$H,'Awards Summary'!$B:$B,$C23,'Awards Summary'!$J:$J,"WCB")</f>
        <v>0</v>
      </c>
      <c r="GU23" s="55">
        <f>SUMIFS('Disbursements Summary'!$E:$E,'Disbursements Summary'!$C:$C,$C23,'Disbursements Summary'!$A:$A,"WCB")</f>
        <v>0</v>
      </c>
      <c r="GV23" s="32">
        <f t="shared" si="5"/>
        <v>0</v>
      </c>
      <c r="GW23" s="32">
        <f t="shared" si="6"/>
        <v>0</v>
      </c>
      <c r="GX23" s="30" t="b">
        <f t="shared" si="7"/>
        <v>1</v>
      </c>
      <c r="GY23" s="30" t="b">
        <f t="shared" si="8"/>
        <v>1</v>
      </c>
    </row>
    <row r="24" spans="1:207" s="30" customFormat="1">
      <c r="A24" s="22" t="str">
        <f t="shared" si="0"/>
        <v/>
      </c>
      <c r="B24" s="20" t="s">
        <v>474</v>
      </c>
      <c r="C24" s="28">
        <v>141042</v>
      </c>
      <c r="D24" s="26">
        <f>COUNTIF('Awards Summary'!B:B,"141042")</f>
        <v>0</v>
      </c>
      <c r="E24" s="45">
        <f>SUMIFS('Awards Summary'!H:H,'Awards Summary'!B:B,"141042")</f>
        <v>0</v>
      </c>
      <c r="F24" s="46">
        <f>SUMIFS('Disbursements Summary'!E:E,'Disbursements Summary'!C:C, "141042")</f>
        <v>0</v>
      </c>
      <c r="H24" s="55">
        <f>SUMIFS('Awards Summary'!$H:$H,'Awards Summary'!$B:$B,$C24,'Awards Summary'!$J:$J,"APA")</f>
        <v>0</v>
      </c>
      <c r="I24" s="55">
        <f>SUMIFS('Disbursements Summary'!$E:$E,'Disbursements Summary'!$C:$C,$C24,'Disbursements Summary'!$A:$A,"APA")</f>
        <v>0</v>
      </c>
      <c r="J24" s="55">
        <f>SUMIFS('Awards Summary'!$H:$H,'Awards Summary'!$B:$B,$C24,'Awards Summary'!$J:$J,"Ag&amp;Horse")</f>
        <v>0</v>
      </c>
      <c r="K24" s="55">
        <f>SUMIFS('Disbursements Summary'!$E:$E,'Disbursements Summary'!$C:$C,$C24,'Disbursements Summary'!$A:$A,"Ag&amp;Horse")</f>
        <v>0</v>
      </c>
      <c r="L24" s="55">
        <f>SUMIFS('Awards Summary'!$H:$H,'Awards Summary'!$B:$B,$C24,'Awards Summary'!$J:$J,"ACAA")</f>
        <v>0</v>
      </c>
      <c r="M24" s="55">
        <f>SUMIFS('Disbursements Summary'!$E:$E,'Disbursements Summary'!$C:$C,$C24,'Disbursements Summary'!$A:$A,"ACAA")</f>
        <v>0</v>
      </c>
      <c r="N24" s="55">
        <f>SUMIFS('Awards Summary'!$H:$H,'Awards Summary'!$B:$B,$C24,'Awards Summary'!$J:$J,"PortAlbany")</f>
        <v>0</v>
      </c>
      <c r="O24" s="55">
        <f>SUMIFS('Disbursements Summary'!$E:$E,'Disbursements Summary'!$C:$C,$C24,'Disbursements Summary'!$A:$A,"PortAlbany")</f>
        <v>0</v>
      </c>
      <c r="P24" s="55">
        <f>SUMIFS('Awards Summary'!$H:$H,'Awards Summary'!$B:$B,$C24,'Awards Summary'!$J:$J,"SLA")</f>
        <v>0</v>
      </c>
      <c r="Q24" s="55">
        <f>SUMIFS('Disbursements Summary'!$E:$E,'Disbursements Summary'!$C:$C,$C24,'Disbursements Summary'!$A:$A,"SLA")</f>
        <v>0</v>
      </c>
      <c r="R24" s="55">
        <f>SUMIFS('Awards Summary'!$H:$H,'Awards Summary'!$B:$B,$C24,'Awards Summary'!$J:$J,"BPCA")</f>
        <v>0</v>
      </c>
      <c r="S24" s="55">
        <f>SUMIFS('Disbursements Summary'!$E:$E,'Disbursements Summary'!$C:$C,$C24,'Disbursements Summary'!$A:$A,"BPCA")</f>
        <v>0</v>
      </c>
      <c r="T24" s="55">
        <f>SUMIFS('Awards Summary'!$H:$H,'Awards Summary'!$B:$B,$C24,'Awards Summary'!$J:$J,"ELECTIONS")</f>
        <v>0</v>
      </c>
      <c r="U24" s="55">
        <f>SUMIFS('Disbursements Summary'!$E:$E,'Disbursements Summary'!$C:$C,$C24,'Disbursements Summary'!$A:$A,"ELECTIONS")</f>
        <v>0</v>
      </c>
      <c r="V24" s="55">
        <f>SUMIFS('Awards Summary'!$H:$H,'Awards Summary'!$B:$B,$C24,'Awards Summary'!$J:$J,"BFSA")</f>
        <v>0</v>
      </c>
      <c r="W24" s="55">
        <f>SUMIFS('Disbursements Summary'!$E:$E,'Disbursements Summary'!$C:$C,$C24,'Disbursements Summary'!$A:$A,"BFSA")</f>
        <v>0</v>
      </c>
      <c r="X24" s="55">
        <f>SUMIFS('Awards Summary'!$H:$H,'Awards Summary'!$B:$B,$C24,'Awards Summary'!$J:$J,"CDTA")</f>
        <v>0</v>
      </c>
      <c r="Y24" s="55">
        <f>SUMIFS('Disbursements Summary'!$E:$E,'Disbursements Summary'!$C:$C,$C24,'Disbursements Summary'!$A:$A,"CDTA")</f>
        <v>0</v>
      </c>
      <c r="Z24" s="55">
        <f>SUMIFS('Awards Summary'!$H:$H,'Awards Summary'!$B:$B,$C24,'Awards Summary'!$J:$J,"CCWSA")</f>
        <v>0</v>
      </c>
      <c r="AA24" s="55">
        <f>SUMIFS('Disbursements Summary'!$E:$E,'Disbursements Summary'!$C:$C,$C24,'Disbursements Summary'!$A:$A,"CCWSA")</f>
        <v>0</v>
      </c>
      <c r="AB24" s="55">
        <f>SUMIFS('Awards Summary'!$H:$H,'Awards Summary'!$B:$B,$C24,'Awards Summary'!$J:$J,"CNYRTA")</f>
        <v>0</v>
      </c>
      <c r="AC24" s="55">
        <f>SUMIFS('Disbursements Summary'!$E:$E,'Disbursements Summary'!$C:$C,$C24,'Disbursements Summary'!$A:$A,"CNYRTA")</f>
        <v>0</v>
      </c>
      <c r="AD24" s="55">
        <f>SUMIFS('Awards Summary'!$H:$H,'Awards Summary'!$B:$B,$C24,'Awards Summary'!$J:$J,"CUCF")</f>
        <v>0</v>
      </c>
      <c r="AE24" s="55">
        <f>SUMIFS('Disbursements Summary'!$E:$E,'Disbursements Summary'!$C:$C,$C24,'Disbursements Summary'!$A:$A,"CUCF")</f>
        <v>0</v>
      </c>
      <c r="AF24" s="55">
        <f>SUMIFS('Awards Summary'!$H:$H,'Awards Summary'!$B:$B,$C24,'Awards Summary'!$J:$J,"CUNY")</f>
        <v>0</v>
      </c>
      <c r="AG24" s="55">
        <f>SUMIFS('Disbursements Summary'!$E:$E,'Disbursements Summary'!$C:$C,$C24,'Disbursements Summary'!$A:$A,"CUNY")</f>
        <v>0</v>
      </c>
      <c r="AH24" s="55">
        <f>SUMIFS('Awards Summary'!$H:$H,'Awards Summary'!$B:$B,$C24,'Awards Summary'!$J:$J,"ARTS")</f>
        <v>0</v>
      </c>
      <c r="AI24" s="55">
        <f>SUMIFS('Disbursements Summary'!$E:$E,'Disbursements Summary'!$C:$C,$C24,'Disbursements Summary'!$A:$A,"ARTS")</f>
        <v>0</v>
      </c>
      <c r="AJ24" s="55">
        <f>SUMIFS('Awards Summary'!$H:$H,'Awards Summary'!$B:$B,$C24,'Awards Summary'!$J:$J,"AG&amp;MKTS")</f>
        <v>0</v>
      </c>
      <c r="AK24" s="55">
        <f>SUMIFS('Disbursements Summary'!$E:$E,'Disbursements Summary'!$C:$C,$C24,'Disbursements Summary'!$A:$A,"AG&amp;MKTS")</f>
        <v>0</v>
      </c>
      <c r="AL24" s="55">
        <f>SUMIFS('Awards Summary'!$H:$H,'Awards Summary'!$B:$B,$C24,'Awards Summary'!$J:$J,"CS")</f>
        <v>0</v>
      </c>
      <c r="AM24" s="55">
        <f>SUMIFS('Disbursements Summary'!$E:$E,'Disbursements Summary'!$C:$C,$C24,'Disbursements Summary'!$A:$A,"CS")</f>
        <v>0</v>
      </c>
      <c r="AN24" s="55">
        <f>SUMIFS('Awards Summary'!$H:$H,'Awards Summary'!$B:$B,$C24,'Awards Summary'!$J:$J,"DOCCS")</f>
        <v>0</v>
      </c>
      <c r="AO24" s="55">
        <f>SUMIFS('Disbursements Summary'!$E:$E,'Disbursements Summary'!$C:$C,$C24,'Disbursements Summary'!$A:$A,"DOCCS")</f>
        <v>0</v>
      </c>
      <c r="AP24" s="55">
        <f>SUMIFS('Awards Summary'!$H:$H,'Awards Summary'!$B:$B,$C24,'Awards Summary'!$J:$J,"DED")</f>
        <v>0</v>
      </c>
      <c r="AQ24" s="55">
        <f>SUMIFS('Disbursements Summary'!$E:$E,'Disbursements Summary'!$C:$C,$C24,'Disbursements Summary'!$A:$A,"DED")</f>
        <v>0</v>
      </c>
      <c r="AR24" s="55">
        <f>SUMIFS('Awards Summary'!$H:$H,'Awards Summary'!$B:$B,$C24,'Awards Summary'!$J:$J,"DEC")</f>
        <v>0</v>
      </c>
      <c r="AS24" s="55">
        <f>SUMIFS('Disbursements Summary'!$E:$E,'Disbursements Summary'!$C:$C,$C24,'Disbursements Summary'!$A:$A,"DEC")</f>
        <v>0</v>
      </c>
      <c r="AT24" s="55">
        <f>SUMIFS('Awards Summary'!$H:$H,'Awards Summary'!$B:$B,$C24,'Awards Summary'!$J:$J,"DFS")</f>
        <v>0</v>
      </c>
      <c r="AU24" s="55">
        <f>SUMIFS('Disbursements Summary'!$E:$E,'Disbursements Summary'!$C:$C,$C24,'Disbursements Summary'!$A:$A,"DFS")</f>
        <v>0</v>
      </c>
      <c r="AV24" s="55">
        <f>SUMIFS('Awards Summary'!$H:$H,'Awards Summary'!$B:$B,$C24,'Awards Summary'!$J:$J,"DOH")</f>
        <v>0</v>
      </c>
      <c r="AW24" s="55">
        <f>SUMIFS('Disbursements Summary'!$E:$E,'Disbursements Summary'!$C:$C,$C24,'Disbursements Summary'!$A:$A,"DOH")</f>
        <v>0</v>
      </c>
      <c r="AX24" s="55">
        <f>SUMIFS('Awards Summary'!$H:$H,'Awards Summary'!$B:$B,$C24,'Awards Summary'!$J:$J,"DOL")</f>
        <v>0</v>
      </c>
      <c r="AY24" s="55">
        <f>SUMIFS('Disbursements Summary'!$E:$E,'Disbursements Summary'!$C:$C,$C24,'Disbursements Summary'!$A:$A,"DOL")</f>
        <v>0</v>
      </c>
      <c r="AZ24" s="55">
        <f>SUMIFS('Awards Summary'!$H:$H,'Awards Summary'!$B:$B,$C24,'Awards Summary'!$J:$J,"DMV")</f>
        <v>0</v>
      </c>
      <c r="BA24" s="55">
        <f>SUMIFS('Disbursements Summary'!$E:$E,'Disbursements Summary'!$C:$C,$C24,'Disbursements Summary'!$A:$A,"DMV")</f>
        <v>0</v>
      </c>
      <c r="BB24" s="55">
        <f>SUMIFS('Awards Summary'!$H:$H,'Awards Summary'!$B:$B,$C24,'Awards Summary'!$J:$J,"DPS")</f>
        <v>0</v>
      </c>
      <c r="BC24" s="55">
        <f>SUMIFS('Disbursements Summary'!$E:$E,'Disbursements Summary'!$C:$C,$C24,'Disbursements Summary'!$A:$A,"DPS")</f>
        <v>0</v>
      </c>
      <c r="BD24" s="55">
        <f>SUMIFS('Awards Summary'!$H:$H,'Awards Summary'!$B:$B,$C24,'Awards Summary'!$J:$J,"DOS")</f>
        <v>0</v>
      </c>
      <c r="BE24" s="55">
        <f>SUMIFS('Disbursements Summary'!$E:$E,'Disbursements Summary'!$C:$C,$C24,'Disbursements Summary'!$A:$A,"DOS")</f>
        <v>0</v>
      </c>
      <c r="BF24" s="55">
        <f>SUMIFS('Awards Summary'!$H:$H,'Awards Summary'!$B:$B,$C24,'Awards Summary'!$J:$J,"TAX")</f>
        <v>0</v>
      </c>
      <c r="BG24" s="55">
        <f>SUMIFS('Disbursements Summary'!$E:$E,'Disbursements Summary'!$C:$C,$C24,'Disbursements Summary'!$A:$A,"TAX")</f>
        <v>0</v>
      </c>
      <c r="BH24" s="55">
        <f>SUMIFS('Awards Summary'!$H:$H,'Awards Summary'!$B:$B,$C24,'Awards Summary'!$J:$J,"DOT")</f>
        <v>0</v>
      </c>
      <c r="BI24" s="55">
        <f>SUMIFS('Disbursements Summary'!$E:$E,'Disbursements Summary'!$C:$C,$C24,'Disbursements Summary'!$A:$A,"DOT")</f>
        <v>0</v>
      </c>
      <c r="BJ24" s="55">
        <f>SUMIFS('Awards Summary'!$H:$H,'Awards Summary'!$B:$B,$C24,'Awards Summary'!$J:$J,"DANC")</f>
        <v>0</v>
      </c>
      <c r="BK24" s="55">
        <f>SUMIFS('Disbursements Summary'!$E:$E,'Disbursements Summary'!$C:$C,$C24,'Disbursements Summary'!$A:$A,"DANC")</f>
        <v>0</v>
      </c>
      <c r="BL24" s="55">
        <f>SUMIFS('Awards Summary'!$H:$H,'Awards Summary'!$B:$B,$C24,'Awards Summary'!$J:$J,"DOB")</f>
        <v>0</v>
      </c>
      <c r="BM24" s="55">
        <f>SUMIFS('Disbursements Summary'!$E:$E,'Disbursements Summary'!$C:$C,$C24,'Disbursements Summary'!$A:$A,"DOB")</f>
        <v>0</v>
      </c>
      <c r="BN24" s="55">
        <f>SUMIFS('Awards Summary'!$H:$H,'Awards Summary'!$B:$B,$C24,'Awards Summary'!$J:$J,"DCJS")</f>
        <v>0</v>
      </c>
      <c r="BO24" s="55">
        <f>SUMIFS('Disbursements Summary'!$E:$E,'Disbursements Summary'!$C:$C,$C24,'Disbursements Summary'!$A:$A,"DCJS")</f>
        <v>0</v>
      </c>
      <c r="BP24" s="55">
        <f>SUMIFS('Awards Summary'!$H:$H,'Awards Summary'!$B:$B,$C24,'Awards Summary'!$J:$J,"DHSES")</f>
        <v>0</v>
      </c>
      <c r="BQ24" s="55">
        <f>SUMIFS('Disbursements Summary'!$E:$E,'Disbursements Summary'!$C:$C,$C24,'Disbursements Summary'!$A:$A,"DHSES")</f>
        <v>0</v>
      </c>
      <c r="BR24" s="55">
        <f>SUMIFS('Awards Summary'!$H:$H,'Awards Summary'!$B:$B,$C24,'Awards Summary'!$J:$J,"DHR")</f>
        <v>0</v>
      </c>
      <c r="BS24" s="55">
        <f>SUMIFS('Disbursements Summary'!$E:$E,'Disbursements Summary'!$C:$C,$C24,'Disbursements Summary'!$A:$A,"DHR")</f>
        <v>0</v>
      </c>
      <c r="BT24" s="55">
        <f>SUMIFS('Awards Summary'!$H:$H,'Awards Summary'!$B:$B,$C24,'Awards Summary'!$J:$J,"DMNA")</f>
        <v>0</v>
      </c>
      <c r="BU24" s="55">
        <f>SUMIFS('Disbursements Summary'!$E:$E,'Disbursements Summary'!$C:$C,$C24,'Disbursements Summary'!$A:$A,"DMNA")</f>
        <v>0</v>
      </c>
      <c r="BV24" s="55">
        <f>SUMIFS('Awards Summary'!$H:$H,'Awards Summary'!$B:$B,$C24,'Awards Summary'!$J:$J,"TROOPERS")</f>
        <v>0</v>
      </c>
      <c r="BW24" s="55">
        <f>SUMIFS('Disbursements Summary'!$E:$E,'Disbursements Summary'!$C:$C,$C24,'Disbursements Summary'!$A:$A,"TROOPERS")</f>
        <v>0</v>
      </c>
      <c r="BX24" s="55">
        <f>SUMIFS('Awards Summary'!$H:$H,'Awards Summary'!$B:$B,$C24,'Awards Summary'!$J:$J,"DVA")</f>
        <v>0</v>
      </c>
      <c r="BY24" s="55">
        <f>SUMIFS('Disbursements Summary'!$E:$E,'Disbursements Summary'!$C:$C,$C24,'Disbursements Summary'!$A:$A,"DVA")</f>
        <v>0</v>
      </c>
      <c r="BZ24" s="55">
        <f>SUMIFS('Awards Summary'!$H:$H,'Awards Summary'!$B:$B,$C24,'Awards Summary'!$J:$J,"DASNY")</f>
        <v>0</v>
      </c>
      <c r="CA24" s="55">
        <f>SUMIFS('Disbursements Summary'!$E:$E,'Disbursements Summary'!$C:$C,$C24,'Disbursements Summary'!$A:$A,"DASNY")</f>
        <v>0</v>
      </c>
      <c r="CB24" s="55">
        <f>SUMIFS('Awards Summary'!$H:$H,'Awards Summary'!$B:$B,$C24,'Awards Summary'!$J:$J,"EGG")</f>
        <v>0</v>
      </c>
      <c r="CC24" s="55">
        <f>SUMIFS('Disbursements Summary'!$E:$E,'Disbursements Summary'!$C:$C,$C24,'Disbursements Summary'!$A:$A,"EGG")</f>
        <v>0</v>
      </c>
      <c r="CD24" s="55">
        <f>SUMIFS('Awards Summary'!$H:$H,'Awards Summary'!$B:$B,$C24,'Awards Summary'!$J:$J,"ESD")</f>
        <v>0</v>
      </c>
      <c r="CE24" s="55">
        <f>SUMIFS('Disbursements Summary'!$E:$E,'Disbursements Summary'!$C:$C,$C24,'Disbursements Summary'!$A:$A,"ESD")</f>
        <v>0</v>
      </c>
      <c r="CF24" s="55">
        <f>SUMIFS('Awards Summary'!$H:$H,'Awards Summary'!$B:$B,$C24,'Awards Summary'!$J:$J,"EFC")</f>
        <v>0</v>
      </c>
      <c r="CG24" s="55">
        <f>SUMIFS('Disbursements Summary'!$E:$E,'Disbursements Summary'!$C:$C,$C24,'Disbursements Summary'!$A:$A,"EFC")</f>
        <v>0</v>
      </c>
      <c r="CH24" s="55">
        <f>SUMIFS('Awards Summary'!$H:$H,'Awards Summary'!$B:$B,$C24,'Awards Summary'!$J:$J,"ECFSA")</f>
        <v>0</v>
      </c>
      <c r="CI24" s="55">
        <f>SUMIFS('Disbursements Summary'!$E:$E,'Disbursements Summary'!$C:$C,$C24,'Disbursements Summary'!$A:$A,"ECFSA")</f>
        <v>0</v>
      </c>
      <c r="CJ24" s="55">
        <f>SUMIFS('Awards Summary'!$H:$H,'Awards Summary'!$B:$B,$C24,'Awards Summary'!$J:$J,"ECMC")</f>
        <v>0</v>
      </c>
      <c r="CK24" s="55">
        <f>SUMIFS('Disbursements Summary'!$E:$E,'Disbursements Summary'!$C:$C,$C24,'Disbursements Summary'!$A:$A,"ECMC")</f>
        <v>0</v>
      </c>
      <c r="CL24" s="55">
        <f>SUMIFS('Awards Summary'!$H:$H,'Awards Summary'!$B:$B,$C24,'Awards Summary'!$J:$J,"CHAMBER")</f>
        <v>0</v>
      </c>
      <c r="CM24" s="55">
        <f>SUMIFS('Disbursements Summary'!$E:$E,'Disbursements Summary'!$C:$C,$C24,'Disbursements Summary'!$A:$A,"CHAMBER")</f>
        <v>0</v>
      </c>
      <c r="CN24" s="55">
        <f>SUMIFS('Awards Summary'!$H:$H,'Awards Summary'!$B:$B,$C24,'Awards Summary'!$J:$J,"GAMING")</f>
        <v>0</v>
      </c>
      <c r="CO24" s="55">
        <f>SUMIFS('Disbursements Summary'!$E:$E,'Disbursements Summary'!$C:$C,$C24,'Disbursements Summary'!$A:$A,"GAMING")</f>
        <v>0</v>
      </c>
      <c r="CP24" s="55">
        <f>SUMIFS('Awards Summary'!$H:$H,'Awards Summary'!$B:$B,$C24,'Awards Summary'!$J:$J,"GOER")</f>
        <v>0</v>
      </c>
      <c r="CQ24" s="55">
        <f>SUMIFS('Disbursements Summary'!$E:$E,'Disbursements Summary'!$C:$C,$C24,'Disbursements Summary'!$A:$A,"GOER")</f>
        <v>0</v>
      </c>
      <c r="CR24" s="55">
        <f>SUMIFS('Awards Summary'!$H:$H,'Awards Summary'!$B:$B,$C24,'Awards Summary'!$J:$J,"HESC")</f>
        <v>0</v>
      </c>
      <c r="CS24" s="55">
        <f>SUMIFS('Disbursements Summary'!$E:$E,'Disbursements Summary'!$C:$C,$C24,'Disbursements Summary'!$A:$A,"HESC")</f>
        <v>0</v>
      </c>
      <c r="CT24" s="55">
        <f>SUMIFS('Awards Summary'!$H:$H,'Awards Summary'!$B:$B,$C24,'Awards Summary'!$J:$J,"GOSR")</f>
        <v>0</v>
      </c>
      <c r="CU24" s="55">
        <f>SUMIFS('Disbursements Summary'!$E:$E,'Disbursements Summary'!$C:$C,$C24,'Disbursements Summary'!$A:$A,"GOSR")</f>
        <v>0</v>
      </c>
      <c r="CV24" s="55">
        <f>SUMIFS('Awards Summary'!$H:$H,'Awards Summary'!$B:$B,$C24,'Awards Summary'!$J:$J,"HRPT")</f>
        <v>0</v>
      </c>
      <c r="CW24" s="55">
        <f>SUMIFS('Disbursements Summary'!$E:$E,'Disbursements Summary'!$C:$C,$C24,'Disbursements Summary'!$A:$A,"HRPT")</f>
        <v>0</v>
      </c>
      <c r="CX24" s="55">
        <f>SUMIFS('Awards Summary'!$H:$H,'Awards Summary'!$B:$B,$C24,'Awards Summary'!$J:$J,"HRBRRD")</f>
        <v>0</v>
      </c>
      <c r="CY24" s="55">
        <f>SUMIFS('Disbursements Summary'!$E:$E,'Disbursements Summary'!$C:$C,$C24,'Disbursements Summary'!$A:$A,"HRBRRD")</f>
        <v>0</v>
      </c>
      <c r="CZ24" s="55">
        <f>SUMIFS('Awards Summary'!$H:$H,'Awards Summary'!$B:$B,$C24,'Awards Summary'!$J:$J,"ITS")</f>
        <v>0</v>
      </c>
      <c r="DA24" s="55">
        <f>SUMIFS('Disbursements Summary'!$E:$E,'Disbursements Summary'!$C:$C,$C24,'Disbursements Summary'!$A:$A,"ITS")</f>
        <v>0</v>
      </c>
      <c r="DB24" s="55">
        <f>SUMIFS('Awards Summary'!$H:$H,'Awards Summary'!$B:$B,$C24,'Awards Summary'!$J:$J,"JAVITS")</f>
        <v>0</v>
      </c>
      <c r="DC24" s="55">
        <f>SUMIFS('Disbursements Summary'!$E:$E,'Disbursements Summary'!$C:$C,$C24,'Disbursements Summary'!$A:$A,"JAVITS")</f>
        <v>0</v>
      </c>
      <c r="DD24" s="55">
        <f>SUMIFS('Awards Summary'!$H:$H,'Awards Summary'!$B:$B,$C24,'Awards Summary'!$J:$J,"JCOPE")</f>
        <v>0</v>
      </c>
      <c r="DE24" s="55">
        <f>SUMIFS('Disbursements Summary'!$E:$E,'Disbursements Summary'!$C:$C,$C24,'Disbursements Summary'!$A:$A,"JCOPE")</f>
        <v>0</v>
      </c>
      <c r="DF24" s="55">
        <f>SUMIFS('Awards Summary'!$H:$H,'Awards Summary'!$B:$B,$C24,'Awards Summary'!$J:$J,"JUSTICE")</f>
        <v>0</v>
      </c>
      <c r="DG24" s="55">
        <f>SUMIFS('Disbursements Summary'!$E:$E,'Disbursements Summary'!$C:$C,$C24,'Disbursements Summary'!$A:$A,"JUSTICE")</f>
        <v>0</v>
      </c>
      <c r="DH24" s="55">
        <f>SUMIFS('Awards Summary'!$H:$H,'Awards Summary'!$B:$B,$C24,'Awards Summary'!$J:$J,"LCWSA")</f>
        <v>0</v>
      </c>
      <c r="DI24" s="55">
        <f>SUMIFS('Disbursements Summary'!$E:$E,'Disbursements Summary'!$C:$C,$C24,'Disbursements Summary'!$A:$A,"LCWSA")</f>
        <v>0</v>
      </c>
      <c r="DJ24" s="55">
        <f>SUMIFS('Awards Summary'!$H:$H,'Awards Summary'!$B:$B,$C24,'Awards Summary'!$J:$J,"LIPA")</f>
        <v>0</v>
      </c>
      <c r="DK24" s="55">
        <f>SUMIFS('Disbursements Summary'!$E:$E,'Disbursements Summary'!$C:$C,$C24,'Disbursements Summary'!$A:$A,"LIPA")</f>
        <v>0</v>
      </c>
      <c r="DL24" s="55">
        <f>SUMIFS('Awards Summary'!$H:$H,'Awards Summary'!$B:$B,$C24,'Awards Summary'!$J:$J,"MTA")</f>
        <v>0</v>
      </c>
      <c r="DM24" s="55">
        <f>SUMIFS('Disbursements Summary'!$E:$E,'Disbursements Summary'!$C:$C,$C24,'Disbursements Summary'!$A:$A,"MTA")</f>
        <v>0</v>
      </c>
      <c r="DN24" s="55">
        <f>SUMIFS('Awards Summary'!$H:$H,'Awards Summary'!$B:$B,$C24,'Awards Summary'!$J:$J,"NIFA")</f>
        <v>0</v>
      </c>
      <c r="DO24" s="55">
        <f>SUMIFS('Disbursements Summary'!$E:$E,'Disbursements Summary'!$C:$C,$C24,'Disbursements Summary'!$A:$A,"NIFA")</f>
        <v>0</v>
      </c>
      <c r="DP24" s="55">
        <f>SUMIFS('Awards Summary'!$H:$H,'Awards Summary'!$B:$B,$C24,'Awards Summary'!$J:$J,"NHCC")</f>
        <v>0</v>
      </c>
      <c r="DQ24" s="55">
        <f>SUMIFS('Disbursements Summary'!$E:$E,'Disbursements Summary'!$C:$C,$C24,'Disbursements Summary'!$A:$A,"NHCC")</f>
        <v>0</v>
      </c>
      <c r="DR24" s="55">
        <f>SUMIFS('Awards Summary'!$H:$H,'Awards Summary'!$B:$B,$C24,'Awards Summary'!$J:$J,"NHT")</f>
        <v>0</v>
      </c>
      <c r="DS24" s="55">
        <f>SUMIFS('Disbursements Summary'!$E:$E,'Disbursements Summary'!$C:$C,$C24,'Disbursements Summary'!$A:$A,"NHT")</f>
        <v>0</v>
      </c>
      <c r="DT24" s="55">
        <f>SUMIFS('Awards Summary'!$H:$H,'Awards Summary'!$B:$B,$C24,'Awards Summary'!$J:$J,"NYPA")</f>
        <v>0</v>
      </c>
      <c r="DU24" s="55">
        <f>SUMIFS('Disbursements Summary'!$E:$E,'Disbursements Summary'!$C:$C,$C24,'Disbursements Summary'!$A:$A,"NYPA")</f>
        <v>0</v>
      </c>
      <c r="DV24" s="55">
        <f>SUMIFS('Awards Summary'!$H:$H,'Awards Summary'!$B:$B,$C24,'Awards Summary'!$J:$J,"NYSBA")</f>
        <v>0</v>
      </c>
      <c r="DW24" s="55">
        <f>SUMIFS('Disbursements Summary'!$E:$E,'Disbursements Summary'!$C:$C,$C24,'Disbursements Summary'!$A:$A,"NYSBA")</f>
        <v>0</v>
      </c>
      <c r="DX24" s="55">
        <f>SUMIFS('Awards Summary'!$H:$H,'Awards Summary'!$B:$B,$C24,'Awards Summary'!$J:$J,"NYSERDA")</f>
        <v>0</v>
      </c>
      <c r="DY24" s="55">
        <f>SUMIFS('Disbursements Summary'!$E:$E,'Disbursements Summary'!$C:$C,$C24,'Disbursements Summary'!$A:$A,"NYSERDA")</f>
        <v>0</v>
      </c>
      <c r="DZ24" s="55">
        <f>SUMIFS('Awards Summary'!$H:$H,'Awards Summary'!$B:$B,$C24,'Awards Summary'!$J:$J,"DHCR")</f>
        <v>0</v>
      </c>
      <c r="EA24" s="55">
        <f>SUMIFS('Disbursements Summary'!$E:$E,'Disbursements Summary'!$C:$C,$C24,'Disbursements Summary'!$A:$A,"DHCR")</f>
        <v>0</v>
      </c>
      <c r="EB24" s="55">
        <f>SUMIFS('Awards Summary'!$H:$H,'Awards Summary'!$B:$B,$C24,'Awards Summary'!$J:$J,"HFA")</f>
        <v>0</v>
      </c>
      <c r="EC24" s="55">
        <f>SUMIFS('Disbursements Summary'!$E:$E,'Disbursements Summary'!$C:$C,$C24,'Disbursements Summary'!$A:$A,"HFA")</f>
        <v>0</v>
      </c>
      <c r="ED24" s="55">
        <f>SUMIFS('Awards Summary'!$H:$H,'Awards Summary'!$B:$B,$C24,'Awards Summary'!$J:$J,"NYSIF")</f>
        <v>0</v>
      </c>
      <c r="EE24" s="55">
        <f>SUMIFS('Disbursements Summary'!$E:$E,'Disbursements Summary'!$C:$C,$C24,'Disbursements Summary'!$A:$A,"NYSIF")</f>
        <v>0</v>
      </c>
      <c r="EF24" s="55">
        <f>SUMIFS('Awards Summary'!$H:$H,'Awards Summary'!$B:$B,$C24,'Awards Summary'!$J:$J,"NYBREDS")</f>
        <v>0</v>
      </c>
      <c r="EG24" s="55">
        <f>SUMIFS('Disbursements Summary'!$E:$E,'Disbursements Summary'!$C:$C,$C24,'Disbursements Summary'!$A:$A,"NYBREDS")</f>
        <v>0</v>
      </c>
      <c r="EH24" s="55">
        <f>SUMIFS('Awards Summary'!$H:$H,'Awards Summary'!$B:$B,$C24,'Awards Summary'!$J:$J,"NYSTA")</f>
        <v>0</v>
      </c>
      <c r="EI24" s="55">
        <f>SUMIFS('Disbursements Summary'!$E:$E,'Disbursements Summary'!$C:$C,$C24,'Disbursements Summary'!$A:$A,"NYSTA")</f>
        <v>0</v>
      </c>
      <c r="EJ24" s="55">
        <f>SUMIFS('Awards Summary'!$H:$H,'Awards Summary'!$B:$B,$C24,'Awards Summary'!$J:$J,"NFWB")</f>
        <v>0</v>
      </c>
      <c r="EK24" s="55">
        <f>SUMIFS('Disbursements Summary'!$E:$E,'Disbursements Summary'!$C:$C,$C24,'Disbursements Summary'!$A:$A,"NFWB")</f>
        <v>0</v>
      </c>
      <c r="EL24" s="55">
        <f>SUMIFS('Awards Summary'!$H:$H,'Awards Summary'!$B:$B,$C24,'Awards Summary'!$J:$J,"NFTA")</f>
        <v>0</v>
      </c>
      <c r="EM24" s="55">
        <f>SUMIFS('Disbursements Summary'!$E:$E,'Disbursements Summary'!$C:$C,$C24,'Disbursements Summary'!$A:$A,"NFTA")</f>
        <v>0</v>
      </c>
      <c r="EN24" s="55">
        <f>SUMIFS('Awards Summary'!$H:$H,'Awards Summary'!$B:$B,$C24,'Awards Summary'!$J:$J,"OPWDD")</f>
        <v>0</v>
      </c>
      <c r="EO24" s="55">
        <f>SUMIFS('Disbursements Summary'!$E:$E,'Disbursements Summary'!$C:$C,$C24,'Disbursements Summary'!$A:$A,"OPWDD")</f>
        <v>0</v>
      </c>
      <c r="EP24" s="55">
        <f>SUMIFS('Awards Summary'!$H:$H,'Awards Summary'!$B:$B,$C24,'Awards Summary'!$J:$J,"AGING")</f>
        <v>0</v>
      </c>
      <c r="EQ24" s="55">
        <f>SUMIFS('Disbursements Summary'!$E:$E,'Disbursements Summary'!$C:$C,$C24,'Disbursements Summary'!$A:$A,"AGING")</f>
        <v>0</v>
      </c>
      <c r="ER24" s="55">
        <f>SUMIFS('Awards Summary'!$H:$H,'Awards Summary'!$B:$B,$C24,'Awards Summary'!$J:$J,"OPDV")</f>
        <v>0</v>
      </c>
      <c r="ES24" s="55">
        <f>SUMIFS('Disbursements Summary'!$E:$E,'Disbursements Summary'!$C:$C,$C24,'Disbursements Summary'!$A:$A,"OPDV")</f>
        <v>0</v>
      </c>
      <c r="ET24" s="55">
        <f>SUMIFS('Awards Summary'!$H:$H,'Awards Summary'!$B:$B,$C24,'Awards Summary'!$J:$J,"OVS")</f>
        <v>0</v>
      </c>
      <c r="EU24" s="55">
        <f>SUMIFS('Disbursements Summary'!$E:$E,'Disbursements Summary'!$C:$C,$C24,'Disbursements Summary'!$A:$A,"OVS")</f>
        <v>0</v>
      </c>
      <c r="EV24" s="55">
        <f>SUMIFS('Awards Summary'!$H:$H,'Awards Summary'!$B:$B,$C24,'Awards Summary'!$J:$J,"OASAS")</f>
        <v>0</v>
      </c>
      <c r="EW24" s="55">
        <f>SUMIFS('Disbursements Summary'!$E:$E,'Disbursements Summary'!$C:$C,$C24,'Disbursements Summary'!$A:$A,"OASAS")</f>
        <v>0</v>
      </c>
      <c r="EX24" s="55">
        <f>SUMIFS('Awards Summary'!$H:$H,'Awards Summary'!$B:$B,$C24,'Awards Summary'!$J:$J,"OCFS")</f>
        <v>0</v>
      </c>
      <c r="EY24" s="55">
        <f>SUMIFS('Disbursements Summary'!$E:$E,'Disbursements Summary'!$C:$C,$C24,'Disbursements Summary'!$A:$A,"OCFS")</f>
        <v>0</v>
      </c>
      <c r="EZ24" s="55">
        <f>SUMIFS('Awards Summary'!$H:$H,'Awards Summary'!$B:$B,$C24,'Awards Summary'!$J:$J,"OGS")</f>
        <v>0</v>
      </c>
      <c r="FA24" s="55">
        <f>SUMIFS('Disbursements Summary'!$E:$E,'Disbursements Summary'!$C:$C,$C24,'Disbursements Summary'!$A:$A,"OGS")</f>
        <v>0</v>
      </c>
      <c r="FB24" s="55">
        <f>SUMIFS('Awards Summary'!$H:$H,'Awards Summary'!$B:$B,$C24,'Awards Summary'!$J:$J,"OMH")</f>
        <v>0</v>
      </c>
      <c r="FC24" s="55">
        <f>SUMIFS('Disbursements Summary'!$E:$E,'Disbursements Summary'!$C:$C,$C24,'Disbursements Summary'!$A:$A,"OMH")</f>
        <v>0</v>
      </c>
      <c r="FD24" s="55">
        <f>SUMIFS('Awards Summary'!$H:$H,'Awards Summary'!$B:$B,$C24,'Awards Summary'!$J:$J,"PARKS")</f>
        <v>0</v>
      </c>
      <c r="FE24" s="55">
        <f>SUMIFS('Disbursements Summary'!$E:$E,'Disbursements Summary'!$C:$C,$C24,'Disbursements Summary'!$A:$A,"PARKS")</f>
        <v>0</v>
      </c>
      <c r="FF24" s="55">
        <f>SUMIFS('Awards Summary'!$H:$H,'Awards Summary'!$B:$B,$C24,'Awards Summary'!$J:$J,"OTDA")</f>
        <v>0</v>
      </c>
      <c r="FG24" s="55">
        <f>SUMIFS('Disbursements Summary'!$E:$E,'Disbursements Summary'!$C:$C,$C24,'Disbursements Summary'!$A:$A,"OTDA")</f>
        <v>0</v>
      </c>
      <c r="FH24" s="55">
        <f>SUMIFS('Awards Summary'!$H:$H,'Awards Summary'!$B:$B,$C24,'Awards Summary'!$J:$J,"OIG")</f>
        <v>0</v>
      </c>
      <c r="FI24" s="55">
        <f>SUMIFS('Disbursements Summary'!$E:$E,'Disbursements Summary'!$C:$C,$C24,'Disbursements Summary'!$A:$A,"OIG")</f>
        <v>0</v>
      </c>
      <c r="FJ24" s="55">
        <f>SUMIFS('Awards Summary'!$H:$H,'Awards Summary'!$B:$B,$C24,'Awards Summary'!$J:$J,"OMIG")</f>
        <v>0</v>
      </c>
      <c r="FK24" s="55">
        <f>SUMIFS('Disbursements Summary'!$E:$E,'Disbursements Summary'!$C:$C,$C24,'Disbursements Summary'!$A:$A,"OMIG")</f>
        <v>0</v>
      </c>
      <c r="FL24" s="55">
        <f>SUMIFS('Awards Summary'!$H:$H,'Awards Summary'!$B:$B,$C24,'Awards Summary'!$J:$J,"OSC")</f>
        <v>0</v>
      </c>
      <c r="FM24" s="55">
        <f>SUMIFS('Disbursements Summary'!$E:$E,'Disbursements Summary'!$C:$C,$C24,'Disbursements Summary'!$A:$A,"OSC")</f>
        <v>0</v>
      </c>
      <c r="FN24" s="55">
        <f>SUMIFS('Awards Summary'!$H:$H,'Awards Summary'!$B:$B,$C24,'Awards Summary'!$J:$J,"OWIG")</f>
        <v>0</v>
      </c>
      <c r="FO24" s="55">
        <f>SUMIFS('Disbursements Summary'!$E:$E,'Disbursements Summary'!$C:$C,$C24,'Disbursements Summary'!$A:$A,"OWIG")</f>
        <v>0</v>
      </c>
      <c r="FP24" s="55">
        <f>SUMIFS('Awards Summary'!$H:$H,'Awards Summary'!$B:$B,$C24,'Awards Summary'!$J:$J,"OGDEN")</f>
        <v>0</v>
      </c>
      <c r="FQ24" s="55">
        <f>SUMIFS('Disbursements Summary'!$E:$E,'Disbursements Summary'!$C:$C,$C24,'Disbursements Summary'!$A:$A,"OGDEN")</f>
        <v>0</v>
      </c>
      <c r="FR24" s="55">
        <f>SUMIFS('Awards Summary'!$H:$H,'Awards Summary'!$B:$B,$C24,'Awards Summary'!$J:$J,"ORDA")</f>
        <v>0</v>
      </c>
      <c r="FS24" s="55">
        <f>SUMIFS('Disbursements Summary'!$E:$E,'Disbursements Summary'!$C:$C,$C24,'Disbursements Summary'!$A:$A,"ORDA")</f>
        <v>0</v>
      </c>
      <c r="FT24" s="55">
        <f>SUMIFS('Awards Summary'!$H:$H,'Awards Summary'!$B:$B,$C24,'Awards Summary'!$J:$J,"OSWEGO")</f>
        <v>0</v>
      </c>
      <c r="FU24" s="55">
        <f>SUMIFS('Disbursements Summary'!$E:$E,'Disbursements Summary'!$C:$C,$C24,'Disbursements Summary'!$A:$A,"OSWEGO")</f>
        <v>0</v>
      </c>
      <c r="FV24" s="55">
        <f>SUMIFS('Awards Summary'!$H:$H,'Awards Summary'!$B:$B,$C24,'Awards Summary'!$J:$J,"PERB")</f>
        <v>0</v>
      </c>
      <c r="FW24" s="55">
        <f>SUMIFS('Disbursements Summary'!$E:$E,'Disbursements Summary'!$C:$C,$C24,'Disbursements Summary'!$A:$A,"PERB")</f>
        <v>0</v>
      </c>
      <c r="FX24" s="55">
        <f>SUMIFS('Awards Summary'!$H:$H,'Awards Summary'!$B:$B,$C24,'Awards Summary'!$J:$J,"RGRTA")</f>
        <v>0</v>
      </c>
      <c r="FY24" s="55">
        <f>SUMIFS('Disbursements Summary'!$E:$E,'Disbursements Summary'!$C:$C,$C24,'Disbursements Summary'!$A:$A,"RGRTA")</f>
        <v>0</v>
      </c>
      <c r="FZ24" s="55">
        <f>SUMIFS('Awards Summary'!$H:$H,'Awards Summary'!$B:$B,$C24,'Awards Summary'!$J:$J,"RIOC")</f>
        <v>0</v>
      </c>
      <c r="GA24" s="55">
        <f>SUMIFS('Disbursements Summary'!$E:$E,'Disbursements Summary'!$C:$C,$C24,'Disbursements Summary'!$A:$A,"RIOC")</f>
        <v>0</v>
      </c>
      <c r="GB24" s="55">
        <f>SUMIFS('Awards Summary'!$H:$H,'Awards Summary'!$B:$B,$C24,'Awards Summary'!$J:$J,"RPCI")</f>
        <v>0</v>
      </c>
      <c r="GC24" s="55">
        <f>SUMIFS('Disbursements Summary'!$E:$E,'Disbursements Summary'!$C:$C,$C24,'Disbursements Summary'!$A:$A,"RPCI")</f>
        <v>0</v>
      </c>
      <c r="GD24" s="55">
        <f>SUMIFS('Awards Summary'!$H:$H,'Awards Summary'!$B:$B,$C24,'Awards Summary'!$J:$J,"SMDA")</f>
        <v>0</v>
      </c>
      <c r="GE24" s="55">
        <f>SUMIFS('Disbursements Summary'!$E:$E,'Disbursements Summary'!$C:$C,$C24,'Disbursements Summary'!$A:$A,"SMDA")</f>
        <v>0</v>
      </c>
      <c r="GF24" s="55">
        <f>SUMIFS('Awards Summary'!$H:$H,'Awards Summary'!$B:$B,$C24,'Awards Summary'!$J:$J,"SCOC")</f>
        <v>0</v>
      </c>
      <c r="GG24" s="55">
        <f>SUMIFS('Disbursements Summary'!$E:$E,'Disbursements Summary'!$C:$C,$C24,'Disbursements Summary'!$A:$A,"SCOC")</f>
        <v>0</v>
      </c>
      <c r="GH24" s="55">
        <f>SUMIFS('Awards Summary'!$H:$H,'Awards Summary'!$B:$B,$C24,'Awards Summary'!$J:$J,"SUCF")</f>
        <v>0</v>
      </c>
      <c r="GI24" s="55">
        <f>SUMIFS('Disbursements Summary'!$E:$E,'Disbursements Summary'!$C:$C,$C24,'Disbursements Summary'!$A:$A,"SUCF")</f>
        <v>0</v>
      </c>
      <c r="GJ24" s="55">
        <f>SUMIFS('Awards Summary'!$H:$H,'Awards Summary'!$B:$B,$C24,'Awards Summary'!$J:$J,"SUNY")</f>
        <v>0</v>
      </c>
      <c r="GK24" s="55">
        <f>SUMIFS('Disbursements Summary'!$E:$E,'Disbursements Summary'!$C:$C,$C24,'Disbursements Summary'!$A:$A,"SUNY")</f>
        <v>0</v>
      </c>
      <c r="GL24" s="55">
        <f>SUMIFS('Awards Summary'!$H:$H,'Awards Summary'!$B:$B,$C24,'Awards Summary'!$J:$J,"SRAA")</f>
        <v>0</v>
      </c>
      <c r="GM24" s="55">
        <f>SUMIFS('Disbursements Summary'!$E:$E,'Disbursements Summary'!$C:$C,$C24,'Disbursements Summary'!$A:$A,"SRAA")</f>
        <v>0</v>
      </c>
      <c r="GN24" s="55">
        <f>SUMIFS('Awards Summary'!$H:$H,'Awards Summary'!$B:$B,$C24,'Awards Summary'!$J:$J,"UNDC")</f>
        <v>0</v>
      </c>
      <c r="GO24" s="55">
        <f>SUMIFS('Disbursements Summary'!$E:$E,'Disbursements Summary'!$C:$C,$C24,'Disbursements Summary'!$A:$A,"UNDC")</f>
        <v>0</v>
      </c>
      <c r="GP24" s="55">
        <f>SUMIFS('Awards Summary'!$H:$H,'Awards Summary'!$B:$B,$C24,'Awards Summary'!$J:$J,"MVWA")</f>
        <v>0</v>
      </c>
      <c r="GQ24" s="55">
        <f>SUMIFS('Disbursements Summary'!$E:$E,'Disbursements Summary'!$C:$C,$C24,'Disbursements Summary'!$A:$A,"MVWA")</f>
        <v>0</v>
      </c>
      <c r="GR24" s="55">
        <f>SUMIFS('Awards Summary'!$H:$H,'Awards Summary'!$B:$B,$C24,'Awards Summary'!$J:$J,"WMC")</f>
        <v>0</v>
      </c>
      <c r="GS24" s="55">
        <f>SUMIFS('Disbursements Summary'!$E:$E,'Disbursements Summary'!$C:$C,$C24,'Disbursements Summary'!$A:$A,"WMC")</f>
        <v>0</v>
      </c>
      <c r="GT24" s="55">
        <f>SUMIFS('Awards Summary'!$H:$H,'Awards Summary'!$B:$B,$C24,'Awards Summary'!$J:$J,"WCB")</f>
        <v>0</v>
      </c>
      <c r="GU24" s="55">
        <f>SUMIFS('Disbursements Summary'!$E:$E,'Disbursements Summary'!$C:$C,$C24,'Disbursements Summary'!$A:$A,"WCB")</f>
        <v>0</v>
      </c>
      <c r="GV24" s="32">
        <f t="shared" si="5"/>
        <v>0</v>
      </c>
      <c r="GW24" s="32">
        <f t="shared" si="6"/>
        <v>0</v>
      </c>
      <c r="GX24" s="30" t="b">
        <f t="shared" si="7"/>
        <v>1</v>
      </c>
      <c r="GY24" s="30" t="b">
        <f t="shared" si="8"/>
        <v>1</v>
      </c>
    </row>
    <row r="25" spans="1:207" s="30" customFormat="1">
      <c r="A25" s="22" t="str">
        <f t="shared" si="0"/>
        <v/>
      </c>
      <c r="B25" s="41" t="s">
        <v>46</v>
      </c>
      <c r="C25" s="17">
        <v>141043</v>
      </c>
      <c r="D25" s="26">
        <f>COUNTIF('Awards Summary'!B:B,"141043")</f>
        <v>0</v>
      </c>
      <c r="E25" s="45">
        <f>SUMIFS('Awards Summary'!H:H,'Awards Summary'!B:B,"141043")</f>
        <v>0</v>
      </c>
      <c r="F25" s="46">
        <f>SUMIFS('Disbursements Summary'!E:E,'Disbursements Summary'!C:C, "141043")</f>
        <v>0</v>
      </c>
      <c r="H25" s="55">
        <f>SUMIFS('Awards Summary'!$H:$H,'Awards Summary'!$B:$B,$C25,'Awards Summary'!$J:$J,"APA")</f>
        <v>0</v>
      </c>
      <c r="I25" s="55">
        <f>SUMIFS('Disbursements Summary'!$E:$E,'Disbursements Summary'!$C:$C,$C25,'Disbursements Summary'!$A:$A,"APA")</f>
        <v>0</v>
      </c>
      <c r="J25" s="55">
        <f>SUMIFS('Awards Summary'!$H:$H,'Awards Summary'!$B:$B,$C25,'Awards Summary'!$J:$J,"Ag&amp;Horse")</f>
        <v>0</v>
      </c>
      <c r="K25" s="55">
        <f>SUMIFS('Disbursements Summary'!$E:$E,'Disbursements Summary'!$C:$C,$C25,'Disbursements Summary'!$A:$A,"Ag&amp;Horse")</f>
        <v>0</v>
      </c>
      <c r="L25" s="55">
        <f>SUMIFS('Awards Summary'!$H:$H,'Awards Summary'!$B:$B,$C25,'Awards Summary'!$J:$J,"ACAA")</f>
        <v>0</v>
      </c>
      <c r="M25" s="55">
        <f>SUMIFS('Disbursements Summary'!$E:$E,'Disbursements Summary'!$C:$C,$C25,'Disbursements Summary'!$A:$A,"ACAA")</f>
        <v>0</v>
      </c>
      <c r="N25" s="55">
        <f>SUMIFS('Awards Summary'!$H:$H,'Awards Summary'!$B:$B,$C25,'Awards Summary'!$J:$J,"PortAlbany")</f>
        <v>0</v>
      </c>
      <c r="O25" s="55">
        <f>SUMIFS('Disbursements Summary'!$E:$E,'Disbursements Summary'!$C:$C,$C25,'Disbursements Summary'!$A:$A,"PortAlbany")</f>
        <v>0</v>
      </c>
      <c r="P25" s="55">
        <f>SUMIFS('Awards Summary'!$H:$H,'Awards Summary'!$B:$B,$C25,'Awards Summary'!$J:$J,"SLA")</f>
        <v>0</v>
      </c>
      <c r="Q25" s="55">
        <f>SUMIFS('Disbursements Summary'!$E:$E,'Disbursements Summary'!$C:$C,$C25,'Disbursements Summary'!$A:$A,"SLA")</f>
        <v>0</v>
      </c>
      <c r="R25" s="55">
        <f>SUMIFS('Awards Summary'!$H:$H,'Awards Summary'!$B:$B,$C25,'Awards Summary'!$J:$J,"BPCA")</f>
        <v>0</v>
      </c>
      <c r="S25" s="55">
        <f>SUMIFS('Disbursements Summary'!$E:$E,'Disbursements Summary'!$C:$C,$C25,'Disbursements Summary'!$A:$A,"BPCA")</f>
        <v>0</v>
      </c>
      <c r="T25" s="55">
        <f>SUMIFS('Awards Summary'!$H:$H,'Awards Summary'!$B:$B,$C25,'Awards Summary'!$J:$J,"ELECTIONS")</f>
        <v>0</v>
      </c>
      <c r="U25" s="55">
        <f>SUMIFS('Disbursements Summary'!$E:$E,'Disbursements Summary'!$C:$C,$C25,'Disbursements Summary'!$A:$A,"ELECTIONS")</f>
        <v>0</v>
      </c>
      <c r="V25" s="55">
        <f>SUMIFS('Awards Summary'!$H:$H,'Awards Summary'!$B:$B,$C25,'Awards Summary'!$J:$J,"BFSA")</f>
        <v>0</v>
      </c>
      <c r="W25" s="55">
        <f>SUMIFS('Disbursements Summary'!$E:$E,'Disbursements Summary'!$C:$C,$C25,'Disbursements Summary'!$A:$A,"BFSA")</f>
        <v>0</v>
      </c>
      <c r="X25" s="55">
        <f>SUMIFS('Awards Summary'!$H:$H,'Awards Summary'!$B:$B,$C25,'Awards Summary'!$J:$J,"CDTA")</f>
        <v>0</v>
      </c>
      <c r="Y25" s="55">
        <f>SUMIFS('Disbursements Summary'!$E:$E,'Disbursements Summary'!$C:$C,$C25,'Disbursements Summary'!$A:$A,"CDTA")</f>
        <v>0</v>
      </c>
      <c r="Z25" s="55">
        <f>SUMIFS('Awards Summary'!$H:$H,'Awards Summary'!$B:$B,$C25,'Awards Summary'!$J:$J,"CCWSA")</f>
        <v>0</v>
      </c>
      <c r="AA25" s="55">
        <f>SUMIFS('Disbursements Summary'!$E:$E,'Disbursements Summary'!$C:$C,$C25,'Disbursements Summary'!$A:$A,"CCWSA")</f>
        <v>0</v>
      </c>
      <c r="AB25" s="55">
        <f>SUMIFS('Awards Summary'!$H:$H,'Awards Summary'!$B:$B,$C25,'Awards Summary'!$J:$J,"CNYRTA")</f>
        <v>0</v>
      </c>
      <c r="AC25" s="55">
        <f>SUMIFS('Disbursements Summary'!$E:$E,'Disbursements Summary'!$C:$C,$C25,'Disbursements Summary'!$A:$A,"CNYRTA")</f>
        <v>0</v>
      </c>
      <c r="AD25" s="55">
        <f>SUMIFS('Awards Summary'!$H:$H,'Awards Summary'!$B:$B,$C25,'Awards Summary'!$J:$J,"CUCF")</f>
        <v>0</v>
      </c>
      <c r="AE25" s="55">
        <f>SUMIFS('Disbursements Summary'!$E:$E,'Disbursements Summary'!$C:$C,$C25,'Disbursements Summary'!$A:$A,"CUCF")</f>
        <v>0</v>
      </c>
      <c r="AF25" s="55">
        <f>SUMIFS('Awards Summary'!$H:$H,'Awards Summary'!$B:$B,$C25,'Awards Summary'!$J:$J,"CUNY")</f>
        <v>0</v>
      </c>
      <c r="AG25" s="55">
        <f>SUMIFS('Disbursements Summary'!$E:$E,'Disbursements Summary'!$C:$C,$C25,'Disbursements Summary'!$A:$A,"CUNY")</f>
        <v>0</v>
      </c>
      <c r="AH25" s="55">
        <f>SUMIFS('Awards Summary'!$H:$H,'Awards Summary'!$B:$B,$C25,'Awards Summary'!$J:$J,"ARTS")</f>
        <v>0</v>
      </c>
      <c r="AI25" s="55">
        <f>SUMIFS('Disbursements Summary'!$E:$E,'Disbursements Summary'!$C:$C,$C25,'Disbursements Summary'!$A:$A,"ARTS")</f>
        <v>0</v>
      </c>
      <c r="AJ25" s="55">
        <f>SUMIFS('Awards Summary'!$H:$H,'Awards Summary'!$B:$B,$C25,'Awards Summary'!$J:$J,"AG&amp;MKTS")</f>
        <v>0</v>
      </c>
      <c r="AK25" s="55">
        <f>SUMIFS('Disbursements Summary'!$E:$E,'Disbursements Summary'!$C:$C,$C25,'Disbursements Summary'!$A:$A,"AG&amp;MKTS")</f>
        <v>0</v>
      </c>
      <c r="AL25" s="55">
        <f>SUMIFS('Awards Summary'!$H:$H,'Awards Summary'!$B:$B,$C25,'Awards Summary'!$J:$J,"CS")</f>
        <v>0</v>
      </c>
      <c r="AM25" s="55">
        <f>SUMIFS('Disbursements Summary'!$E:$E,'Disbursements Summary'!$C:$C,$C25,'Disbursements Summary'!$A:$A,"CS")</f>
        <v>0</v>
      </c>
      <c r="AN25" s="55">
        <f>SUMIFS('Awards Summary'!$H:$H,'Awards Summary'!$B:$B,$C25,'Awards Summary'!$J:$J,"DOCCS")</f>
        <v>0</v>
      </c>
      <c r="AO25" s="55">
        <f>SUMIFS('Disbursements Summary'!$E:$E,'Disbursements Summary'!$C:$C,$C25,'Disbursements Summary'!$A:$A,"DOCCS")</f>
        <v>0</v>
      </c>
      <c r="AP25" s="55">
        <f>SUMIFS('Awards Summary'!$H:$H,'Awards Summary'!$B:$B,$C25,'Awards Summary'!$J:$J,"DED")</f>
        <v>0</v>
      </c>
      <c r="AQ25" s="55">
        <f>SUMIFS('Disbursements Summary'!$E:$E,'Disbursements Summary'!$C:$C,$C25,'Disbursements Summary'!$A:$A,"DED")</f>
        <v>0</v>
      </c>
      <c r="AR25" s="55">
        <f>SUMIFS('Awards Summary'!$H:$H,'Awards Summary'!$B:$B,$C25,'Awards Summary'!$J:$J,"DEC")</f>
        <v>0</v>
      </c>
      <c r="AS25" s="55">
        <f>SUMIFS('Disbursements Summary'!$E:$E,'Disbursements Summary'!$C:$C,$C25,'Disbursements Summary'!$A:$A,"DEC")</f>
        <v>0</v>
      </c>
      <c r="AT25" s="55">
        <f>SUMIFS('Awards Summary'!$H:$H,'Awards Summary'!$B:$B,$C25,'Awards Summary'!$J:$J,"DFS")</f>
        <v>0</v>
      </c>
      <c r="AU25" s="55">
        <f>SUMIFS('Disbursements Summary'!$E:$E,'Disbursements Summary'!$C:$C,$C25,'Disbursements Summary'!$A:$A,"DFS")</f>
        <v>0</v>
      </c>
      <c r="AV25" s="55">
        <f>SUMIFS('Awards Summary'!$H:$H,'Awards Summary'!$B:$B,$C25,'Awards Summary'!$J:$J,"DOH")</f>
        <v>0</v>
      </c>
      <c r="AW25" s="55">
        <f>SUMIFS('Disbursements Summary'!$E:$E,'Disbursements Summary'!$C:$C,$C25,'Disbursements Summary'!$A:$A,"DOH")</f>
        <v>0</v>
      </c>
      <c r="AX25" s="55">
        <f>SUMIFS('Awards Summary'!$H:$H,'Awards Summary'!$B:$B,$C25,'Awards Summary'!$J:$J,"DOL")</f>
        <v>0</v>
      </c>
      <c r="AY25" s="55">
        <f>SUMIFS('Disbursements Summary'!$E:$E,'Disbursements Summary'!$C:$C,$C25,'Disbursements Summary'!$A:$A,"DOL")</f>
        <v>0</v>
      </c>
      <c r="AZ25" s="55">
        <f>SUMIFS('Awards Summary'!$H:$H,'Awards Summary'!$B:$B,$C25,'Awards Summary'!$J:$J,"DMV")</f>
        <v>0</v>
      </c>
      <c r="BA25" s="55">
        <f>SUMIFS('Disbursements Summary'!$E:$E,'Disbursements Summary'!$C:$C,$C25,'Disbursements Summary'!$A:$A,"DMV")</f>
        <v>0</v>
      </c>
      <c r="BB25" s="55">
        <f>SUMIFS('Awards Summary'!$H:$H,'Awards Summary'!$B:$B,$C25,'Awards Summary'!$J:$J,"DPS")</f>
        <v>0</v>
      </c>
      <c r="BC25" s="55">
        <f>SUMIFS('Disbursements Summary'!$E:$E,'Disbursements Summary'!$C:$C,$C25,'Disbursements Summary'!$A:$A,"DPS")</f>
        <v>0</v>
      </c>
      <c r="BD25" s="55">
        <f>SUMIFS('Awards Summary'!$H:$H,'Awards Summary'!$B:$B,$C25,'Awards Summary'!$J:$J,"DOS")</f>
        <v>0</v>
      </c>
      <c r="BE25" s="55">
        <f>SUMIFS('Disbursements Summary'!$E:$E,'Disbursements Summary'!$C:$C,$C25,'Disbursements Summary'!$A:$A,"DOS")</f>
        <v>0</v>
      </c>
      <c r="BF25" s="55">
        <f>SUMIFS('Awards Summary'!$H:$H,'Awards Summary'!$B:$B,$C25,'Awards Summary'!$J:$J,"TAX")</f>
        <v>0</v>
      </c>
      <c r="BG25" s="55">
        <f>SUMIFS('Disbursements Summary'!$E:$E,'Disbursements Summary'!$C:$C,$C25,'Disbursements Summary'!$A:$A,"TAX")</f>
        <v>0</v>
      </c>
      <c r="BH25" s="55">
        <f>SUMIFS('Awards Summary'!$H:$H,'Awards Summary'!$B:$B,$C25,'Awards Summary'!$J:$J,"DOT")</f>
        <v>0</v>
      </c>
      <c r="BI25" s="55">
        <f>SUMIFS('Disbursements Summary'!$E:$E,'Disbursements Summary'!$C:$C,$C25,'Disbursements Summary'!$A:$A,"DOT")</f>
        <v>0</v>
      </c>
      <c r="BJ25" s="55">
        <f>SUMIFS('Awards Summary'!$H:$H,'Awards Summary'!$B:$B,$C25,'Awards Summary'!$J:$J,"DANC")</f>
        <v>0</v>
      </c>
      <c r="BK25" s="55">
        <f>SUMIFS('Disbursements Summary'!$E:$E,'Disbursements Summary'!$C:$C,$C25,'Disbursements Summary'!$A:$A,"DANC")</f>
        <v>0</v>
      </c>
      <c r="BL25" s="55">
        <f>SUMIFS('Awards Summary'!$H:$H,'Awards Summary'!$B:$B,$C25,'Awards Summary'!$J:$J,"DOB")</f>
        <v>0</v>
      </c>
      <c r="BM25" s="55">
        <f>SUMIFS('Disbursements Summary'!$E:$E,'Disbursements Summary'!$C:$C,$C25,'Disbursements Summary'!$A:$A,"DOB")</f>
        <v>0</v>
      </c>
      <c r="BN25" s="55">
        <f>SUMIFS('Awards Summary'!$H:$H,'Awards Summary'!$B:$B,$C25,'Awards Summary'!$J:$J,"DCJS")</f>
        <v>0</v>
      </c>
      <c r="BO25" s="55">
        <f>SUMIFS('Disbursements Summary'!$E:$E,'Disbursements Summary'!$C:$C,$C25,'Disbursements Summary'!$A:$A,"DCJS")</f>
        <v>0</v>
      </c>
      <c r="BP25" s="55">
        <f>SUMIFS('Awards Summary'!$H:$H,'Awards Summary'!$B:$B,$C25,'Awards Summary'!$J:$J,"DHSES")</f>
        <v>0</v>
      </c>
      <c r="BQ25" s="55">
        <f>SUMIFS('Disbursements Summary'!$E:$E,'Disbursements Summary'!$C:$C,$C25,'Disbursements Summary'!$A:$A,"DHSES")</f>
        <v>0</v>
      </c>
      <c r="BR25" s="55">
        <f>SUMIFS('Awards Summary'!$H:$H,'Awards Summary'!$B:$B,$C25,'Awards Summary'!$J:$J,"DHR")</f>
        <v>0</v>
      </c>
      <c r="BS25" s="55">
        <f>SUMIFS('Disbursements Summary'!$E:$E,'Disbursements Summary'!$C:$C,$C25,'Disbursements Summary'!$A:$A,"DHR")</f>
        <v>0</v>
      </c>
      <c r="BT25" s="55">
        <f>SUMIFS('Awards Summary'!$H:$H,'Awards Summary'!$B:$B,$C25,'Awards Summary'!$J:$J,"DMNA")</f>
        <v>0</v>
      </c>
      <c r="BU25" s="55">
        <f>SUMIFS('Disbursements Summary'!$E:$E,'Disbursements Summary'!$C:$C,$C25,'Disbursements Summary'!$A:$A,"DMNA")</f>
        <v>0</v>
      </c>
      <c r="BV25" s="55">
        <f>SUMIFS('Awards Summary'!$H:$H,'Awards Summary'!$B:$B,$C25,'Awards Summary'!$J:$J,"TROOPERS")</f>
        <v>0</v>
      </c>
      <c r="BW25" s="55">
        <f>SUMIFS('Disbursements Summary'!$E:$E,'Disbursements Summary'!$C:$C,$C25,'Disbursements Summary'!$A:$A,"TROOPERS")</f>
        <v>0</v>
      </c>
      <c r="BX25" s="55">
        <f>SUMIFS('Awards Summary'!$H:$H,'Awards Summary'!$B:$B,$C25,'Awards Summary'!$J:$J,"DVA")</f>
        <v>0</v>
      </c>
      <c r="BY25" s="55">
        <f>SUMIFS('Disbursements Summary'!$E:$E,'Disbursements Summary'!$C:$C,$C25,'Disbursements Summary'!$A:$A,"DVA")</f>
        <v>0</v>
      </c>
      <c r="BZ25" s="55">
        <f>SUMIFS('Awards Summary'!$H:$H,'Awards Summary'!$B:$B,$C25,'Awards Summary'!$J:$J,"DASNY")</f>
        <v>0</v>
      </c>
      <c r="CA25" s="55">
        <f>SUMIFS('Disbursements Summary'!$E:$E,'Disbursements Summary'!$C:$C,$C25,'Disbursements Summary'!$A:$A,"DASNY")</f>
        <v>0</v>
      </c>
      <c r="CB25" s="55">
        <f>SUMIFS('Awards Summary'!$H:$H,'Awards Summary'!$B:$B,$C25,'Awards Summary'!$J:$J,"EGG")</f>
        <v>0</v>
      </c>
      <c r="CC25" s="55">
        <f>SUMIFS('Disbursements Summary'!$E:$E,'Disbursements Summary'!$C:$C,$C25,'Disbursements Summary'!$A:$A,"EGG")</f>
        <v>0</v>
      </c>
      <c r="CD25" s="55">
        <f>SUMIFS('Awards Summary'!$H:$H,'Awards Summary'!$B:$B,$C25,'Awards Summary'!$J:$J,"ESD")</f>
        <v>0</v>
      </c>
      <c r="CE25" s="55">
        <f>SUMIFS('Disbursements Summary'!$E:$E,'Disbursements Summary'!$C:$C,$C25,'Disbursements Summary'!$A:$A,"ESD")</f>
        <v>0</v>
      </c>
      <c r="CF25" s="55">
        <f>SUMIFS('Awards Summary'!$H:$H,'Awards Summary'!$B:$B,$C25,'Awards Summary'!$J:$J,"EFC")</f>
        <v>0</v>
      </c>
      <c r="CG25" s="55">
        <f>SUMIFS('Disbursements Summary'!$E:$E,'Disbursements Summary'!$C:$C,$C25,'Disbursements Summary'!$A:$A,"EFC")</f>
        <v>0</v>
      </c>
      <c r="CH25" s="55">
        <f>SUMIFS('Awards Summary'!$H:$H,'Awards Summary'!$B:$B,$C25,'Awards Summary'!$J:$J,"ECFSA")</f>
        <v>0</v>
      </c>
      <c r="CI25" s="55">
        <f>SUMIFS('Disbursements Summary'!$E:$E,'Disbursements Summary'!$C:$C,$C25,'Disbursements Summary'!$A:$A,"ECFSA")</f>
        <v>0</v>
      </c>
      <c r="CJ25" s="55">
        <f>SUMIFS('Awards Summary'!$H:$H,'Awards Summary'!$B:$B,$C25,'Awards Summary'!$J:$J,"ECMC")</f>
        <v>0</v>
      </c>
      <c r="CK25" s="55">
        <f>SUMIFS('Disbursements Summary'!$E:$E,'Disbursements Summary'!$C:$C,$C25,'Disbursements Summary'!$A:$A,"ECMC")</f>
        <v>0</v>
      </c>
      <c r="CL25" s="55">
        <f>SUMIFS('Awards Summary'!$H:$H,'Awards Summary'!$B:$B,$C25,'Awards Summary'!$J:$J,"CHAMBER")</f>
        <v>0</v>
      </c>
      <c r="CM25" s="55">
        <f>SUMIFS('Disbursements Summary'!$E:$E,'Disbursements Summary'!$C:$C,$C25,'Disbursements Summary'!$A:$A,"CHAMBER")</f>
        <v>0</v>
      </c>
      <c r="CN25" s="55">
        <f>SUMIFS('Awards Summary'!$H:$H,'Awards Summary'!$B:$B,$C25,'Awards Summary'!$J:$J,"GAMING")</f>
        <v>0</v>
      </c>
      <c r="CO25" s="55">
        <f>SUMIFS('Disbursements Summary'!$E:$E,'Disbursements Summary'!$C:$C,$C25,'Disbursements Summary'!$A:$A,"GAMING")</f>
        <v>0</v>
      </c>
      <c r="CP25" s="55">
        <f>SUMIFS('Awards Summary'!$H:$H,'Awards Summary'!$B:$B,$C25,'Awards Summary'!$J:$J,"GOER")</f>
        <v>0</v>
      </c>
      <c r="CQ25" s="55">
        <f>SUMIFS('Disbursements Summary'!$E:$E,'Disbursements Summary'!$C:$C,$C25,'Disbursements Summary'!$A:$A,"GOER")</f>
        <v>0</v>
      </c>
      <c r="CR25" s="55">
        <f>SUMIFS('Awards Summary'!$H:$H,'Awards Summary'!$B:$B,$C25,'Awards Summary'!$J:$J,"HESC")</f>
        <v>0</v>
      </c>
      <c r="CS25" s="55">
        <f>SUMIFS('Disbursements Summary'!$E:$E,'Disbursements Summary'!$C:$C,$C25,'Disbursements Summary'!$A:$A,"HESC")</f>
        <v>0</v>
      </c>
      <c r="CT25" s="55">
        <f>SUMIFS('Awards Summary'!$H:$H,'Awards Summary'!$B:$B,$C25,'Awards Summary'!$J:$J,"GOSR")</f>
        <v>0</v>
      </c>
      <c r="CU25" s="55">
        <f>SUMIFS('Disbursements Summary'!$E:$E,'Disbursements Summary'!$C:$C,$C25,'Disbursements Summary'!$A:$A,"GOSR")</f>
        <v>0</v>
      </c>
      <c r="CV25" s="55">
        <f>SUMIFS('Awards Summary'!$H:$H,'Awards Summary'!$B:$B,$C25,'Awards Summary'!$J:$J,"HRPT")</f>
        <v>0</v>
      </c>
      <c r="CW25" s="55">
        <f>SUMIFS('Disbursements Summary'!$E:$E,'Disbursements Summary'!$C:$C,$C25,'Disbursements Summary'!$A:$A,"HRPT")</f>
        <v>0</v>
      </c>
      <c r="CX25" s="55">
        <f>SUMIFS('Awards Summary'!$H:$H,'Awards Summary'!$B:$B,$C25,'Awards Summary'!$J:$J,"HRBRRD")</f>
        <v>0</v>
      </c>
      <c r="CY25" s="55">
        <f>SUMIFS('Disbursements Summary'!$E:$E,'Disbursements Summary'!$C:$C,$C25,'Disbursements Summary'!$A:$A,"HRBRRD")</f>
        <v>0</v>
      </c>
      <c r="CZ25" s="55">
        <f>SUMIFS('Awards Summary'!$H:$H,'Awards Summary'!$B:$B,$C25,'Awards Summary'!$J:$J,"ITS")</f>
        <v>0</v>
      </c>
      <c r="DA25" s="55">
        <f>SUMIFS('Disbursements Summary'!$E:$E,'Disbursements Summary'!$C:$C,$C25,'Disbursements Summary'!$A:$A,"ITS")</f>
        <v>0</v>
      </c>
      <c r="DB25" s="55">
        <f>SUMIFS('Awards Summary'!$H:$H,'Awards Summary'!$B:$B,$C25,'Awards Summary'!$J:$J,"JAVITS")</f>
        <v>0</v>
      </c>
      <c r="DC25" s="55">
        <f>SUMIFS('Disbursements Summary'!$E:$E,'Disbursements Summary'!$C:$C,$C25,'Disbursements Summary'!$A:$A,"JAVITS")</f>
        <v>0</v>
      </c>
      <c r="DD25" s="55">
        <f>SUMIFS('Awards Summary'!$H:$H,'Awards Summary'!$B:$B,$C25,'Awards Summary'!$J:$J,"JCOPE")</f>
        <v>0</v>
      </c>
      <c r="DE25" s="55">
        <f>SUMIFS('Disbursements Summary'!$E:$E,'Disbursements Summary'!$C:$C,$C25,'Disbursements Summary'!$A:$A,"JCOPE")</f>
        <v>0</v>
      </c>
      <c r="DF25" s="55">
        <f>SUMIFS('Awards Summary'!$H:$H,'Awards Summary'!$B:$B,$C25,'Awards Summary'!$J:$J,"JUSTICE")</f>
        <v>0</v>
      </c>
      <c r="DG25" s="55">
        <f>SUMIFS('Disbursements Summary'!$E:$E,'Disbursements Summary'!$C:$C,$C25,'Disbursements Summary'!$A:$A,"JUSTICE")</f>
        <v>0</v>
      </c>
      <c r="DH25" s="55">
        <f>SUMIFS('Awards Summary'!$H:$H,'Awards Summary'!$B:$B,$C25,'Awards Summary'!$J:$J,"LCWSA")</f>
        <v>0</v>
      </c>
      <c r="DI25" s="55">
        <f>SUMIFS('Disbursements Summary'!$E:$E,'Disbursements Summary'!$C:$C,$C25,'Disbursements Summary'!$A:$A,"LCWSA")</f>
        <v>0</v>
      </c>
      <c r="DJ25" s="55">
        <f>SUMIFS('Awards Summary'!$H:$H,'Awards Summary'!$B:$B,$C25,'Awards Summary'!$J:$J,"LIPA")</f>
        <v>0</v>
      </c>
      <c r="DK25" s="55">
        <f>SUMIFS('Disbursements Summary'!$E:$E,'Disbursements Summary'!$C:$C,$C25,'Disbursements Summary'!$A:$A,"LIPA")</f>
        <v>0</v>
      </c>
      <c r="DL25" s="55">
        <f>SUMIFS('Awards Summary'!$H:$H,'Awards Summary'!$B:$B,$C25,'Awards Summary'!$J:$J,"MTA")</f>
        <v>0</v>
      </c>
      <c r="DM25" s="55">
        <f>SUMIFS('Disbursements Summary'!$E:$E,'Disbursements Summary'!$C:$C,$C25,'Disbursements Summary'!$A:$A,"MTA")</f>
        <v>0</v>
      </c>
      <c r="DN25" s="55">
        <f>SUMIFS('Awards Summary'!$H:$H,'Awards Summary'!$B:$B,$C25,'Awards Summary'!$J:$J,"NIFA")</f>
        <v>0</v>
      </c>
      <c r="DO25" s="55">
        <f>SUMIFS('Disbursements Summary'!$E:$E,'Disbursements Summary'!$C:$C,$C25,'Disbursements Summary'!$A:$A,"NIFA")</f>
        <v>0</v>
      </c>
      <c r="DP25" s="55">
        <f>SUMIFS('Awards Summary'!$H:$H,'Awards Summary'!$B:$B,$C25,'Awards Summary'!$J:$J,"NHCC")</f>
        <v>0</v>
      </c>
      <c r="DQ25" s="55">
        <f>SUMIFS('Disbursements Summary'!$E:$E,'Disbursements Summary'!$C:$C,$C25,'Disbursements Summary'!$A:$A,"NHCC")</f>
        <v>0</v>
      </c>
      <c r="DR25" s="55">
        <f>SUMIFS('Awards Summary'!$H:$H,'Awards Summary'!$B:$B,$C25,'Awards Summary'!$J:$J,"NHT")</f>
        <v>0</v>
      </c>
      <c r="DS25" s="55">
        <f>SUMIFS('Disbursements Summary'!$E:$E,'Disbursements Summary'!$C:$C,$C25,'Disbursements Summary'!$A:$A,"NHT")</f>
        <v>0</v>
      </c>
      <c r="DT25" s="55">
        <f>SUMIFS('Awards Summary'!$H:$H,'Awards Summary'!$B:$B,$C25,'Awards Summary'!$J:$J,"NYPA")</f>
        <v>0</v>
      </c>
      <c r="DU25" s="55">
        <f>SUMIFS('Disbursements Summary'!$E:$E,'Disbursements Summary'!$C:$C,$C25,'Disbursements Summary'!$A:$A,"NYPA")</f>
        <v>0</v>
      </c>
      <c r="DV25" s="55">
        <f>SUMIFS('Awards Summary'!$H:$H,'Awards Summary'!$B:$B,$C25,'Awards Summary'!$J:$J,"NYSBA")</f>
        <v>0</v>
      </c>
      <c r="DW25" s="55">
        <f>SUMIFS('Disbursements Summary'!$E:$E,'Disbursements Summary'!$C:$C,$C25,'Disbursements Summary'!$A:$A,"NYSBA")</f>
        <v>0</v>
      </c>
      <c r="DX25" s="55">
        <f>SUMIFS('Awards Summary'!$H:$H,'Awards Summary'!$B:$B,$C25,'Awards Summary'!$J:$J,"NYSERDA")</f>
        <v>0</v>
      </c>
      <c r="DY25" s="55">
        <f>SUMIFS('Disbursements Summary'!$E:$E,'Disbursements Summary'!$C:$C,$C25,'Disbursements Summary'!$A:$A,"NYSERDA")</f>
        <v>0</v>
      </c>
      <c r="DZ25" s="55">
        <f>SUMIFS('Awards Summary'!$H:$H,'Awards Summary'!$B:$B,$C25,'Awards Summary'!$J:$J,"DHCR")</f>
        <v>0</v>
      </c>
      <c r="EA25" s="55">
        <f>SUMIFS('Disbursements Summary'!$E:$E,'Disbursements Summary'!$C:$C,$C25,'Disbursements Summary'!$A:$A,"DHCR")</f>
        <v>0</v>
      </c>
      <c r="EB25" s="55">
        <f>SUMIFS('Awards Summary'!$H:$H,'Awards Summary'!$B:$B,$C25,'Awards Summary'!$J:$J,"HFA")</f>
        <v>0</v>
      </c>
      <c r="EC25" s="55">
        <f>SUMIFS('Disbursements Summary'!$E:$E,'Disbursements Summary'!$C:$C,$C25,'Disbursements Summary'!$A:$A,"HFA")</f>
        <v>0</v>
      </c>
      <c r="ED25" s="55">
        <f>SUMIFS('Awards Summary'!$H:$H,'Awards Summary'!$B:$B,$C25,'Awards Summary'!$J:$J,"NYSIF")</f>
        <v>0</v>
      </c>
      <c r="EE25" s="55">
        <f>SUMIFS('Disbursements Summary'!$E:$E,'Disbursements Summary'!$C:$C,$C25,'Disbursements Summary'!$A:$A,"NYSIF")</f>
        <v>0</v>
      </c>
      <c r="EF25" s="55">
        <f>SUMIFS('Awards Summary'!$H:$H,'Awards Summary'!$B:$B,$C25,'Awards Summary'!$J:$J,"NYBREDS")</f>
        <v>0</v>
      </c>
      <c r="EG25" s="55">
        <f>SUMIFS('Disbursements Summary'!$E:$E,'Disbursements Summary'!$C:$C,$C25,'Disbursements Summary'!$A:$A,"NYBREDS")</f>
        <v>0</v>
      </c>
      <c r="EH25" s="55">
        <f>SUMIFS('Awards Summary'!$H:$H,'Awards Summary'!$B:$B,$C25,'Awards Summary'!$J:$J,"NYSTA")</f>
        <v>0</v>
      </c>
      <c r="EI25" s="55">
        <f>SUMIFS('Disbursements Summary'!$E:$E,'Disbursements Summary'!$C:$C,$C25,'Disbursements Summary'!$A:$A,"NYSTA")</f>
        <v>0</v>
      </c>
      <c r="EJ25" s="55">
        <f>SUMIFS('Awards Summary'!$H:$H,'Awards Summary'!$B:$B,$C25,'Awards Summary'!$J:$J,"NFWB")</f>
        <v>0</v>
      </c>
      <c r="EK25" s="55">
        <f>SUMIFS('Disbursements Summary'!$E:$E,'Disbursements Summary'!$C:$C,$C25,'Disbursements Summary'!$A:$A,"NFWB")</f>
        <v>0</v>
      </c>
      <c r="EL25" s="55">
        <f>SUMIFS('Awards Summary'!$H:$H,'Awards Summary'!$B:$B,$C25,'Awards Summary'!$J:$J,"NFTA")</f>
        <v>0</v>
      </c>
      <c r="EM25" s="55">
        <f>SUMIFS('Disbursements Summary'!$E:$E,'Disbursements Summary'!$C:$C,$C25,'Disbursements Summary'!$A:$A,"NFTA")</f>
        <v>0</v>
      </c>
      <c r="EN25" s="55">
        <f>SUMIFS('Awards Summary'!$H:$H,'Awards Summary'!$B:$B,$C25,'Awards Summary'!$J:$J,"OPWDD")</f>
        <v>0</v>
      </c>
      <c r="EO25" s="55">
        <f>SUMIFS('Disbursements Summary'!$E:$E,'Disbursements Summary'!$C:$C,$C25,'Disbursements Summary'!$A:$A,"OPWDD")</f>
        <v>0</v>
      </c>
      <c r="EP25" s="55">
        <f>SUMIFS('Awards Summary'!$H:$H,'Awards Summary'!$B:$B,$C25,'Awards Summary'!$J:$J,"AGING")</f>
        <v>0</v>
      </c>
      <c r="EQ25" s="55">
        <f>SUMIFS('Disbursements Summary'!$E:$E,'Disbursements Summary'!$C:$C,$C25,'Disbursements Summary'!$A:$A,"AGING")</f>
        <v>0</v>
      </c>
      <c r="ER25" s="55">
        <f>SUMIFS('Awards Summary'!$H:$H,'Awards Summary'!$B:$B,$C25,'Awards Summary'!$J:$J,"OPDV")</f>
        <v>0</v>
      </c>
      <c r="ES25" s="55">
        <f>SUMIFS('Disbursements Summary'!$E:$E,'Disbursements Summary'!$C:$C,$C25,'Disbursements Summary'!$A:$A,"OPDV")</f>
        <v>0</v>
      </c>
      <c r="ET25" s="55">
        <f>SUMIFS('Awards Summary'!$H:$H,'Awards Summary'!$B:$B,$C25,'Awards Summary'!$J:$J,"OVS")</f>
        <v>0</v>
      </c>
      <c r="EU25" s="55">
        <f>SUMIFS('Disbursements Summary'!$E:$E,'Disbursements Summary'!$C:$C,$C25,'Disbursements Summary'!$A:$A,"OVS")</f>
        <v>0</v>
      </c>
      <c r="EV25" s="55">
        <f>SUMIFS('Awards Summary'!$H:$H,'Awards Summary'!$B:$B,$C25,'Awards Summary'!$J:$J,"OASAS")</f>
        <v>0</v>
      </c>
      <c r="EW25" s="55">
        <f>SUMIFS('Disbursements Summary'!$E:$E,'Disbursements Summary'!$C:$C,$C25,'Disbursements Summary'!$A:$A,"OASAS")</f>
        <v>0</v>
      </c>
      <c r="EX25" s="55">
        <f>SUMIFS('Awards Summary'!$H:$H,'Awards Summary'!$B:$B,$C25,'Awards Summary'!$J:$J,"OCFS")</f>
        <v>0</v>
      </c>
      <c r="EY25" s="55">
        <f>SUMIFS('Disbursements Summary'!$E:$E,'Disbursements Summary'!$C:$C,$C25,'Disbursements Summary'!$A:$A,"OCFS")</f>
        <v>0</v>
      </c>
      <c r="EZ25" s="55">
        <f>SUMIFS('Awards Summary'!$H:$H,'Awards Summary'!$B:$B,$C25,'Awards Summary'!$J:$J,"OGS")</f>
        <v>0</v>
      </c>
      <c r="FA25" s="55">
        <f>SUMIFS('Disbursements Summary'!$E:$E,'Disbursements Summary'!$C:$C,$C25,'Disbursements Summary'!$A:$A,"OGS")</f>
        <v>0</v>
      </c>
      <c r="FB25" s="55">
        <f>SUMIFS('Awards Summary'!$H:$H,'Awards Summary'!$B:$B,$C25,'Awards Summary'!$J:$J,"OMH")</f>
        <v>0</v>
      </c>
      <c r="FC25" s="55">
        <f>SUMIFS('Disbursements Summary'!$E:$E,'Disbursements Summary'!$C:$C,$C25,'Disbursements Summary'!$A:$A,"OMH")</f>
        <v>0</v>
      </c>
      <c r="FD25" s="55">
        <f>SUMIFS('Awards Summary'!$H:$H,'Awards Summary'!$B:$B,$C25,'Awards Summary'!$J:$J,"PARKS")</f>
        <v>0</v>
      </c>
      <c r="FE25" s="55">
        <f>SUMIFS('Disbursements Summary'!$E:$E,'Disbursements Summary'!$C:$C,$C25,'Disbursements Summary'!$A:$A,"PARKS")</f>
        <v>0</v>
      </c>
      <c r="FF25" s="55">
        <f>SUMIFS('Awards Summary'!$H:$H,'Awards Summary'!$B:$B,$C25,'Awards Summary'!$J:$J,"OTDA")</f>
        <v>0</v>
      </c>
      <c r="FG25" s="55">
        <f>SUMIFS('Disbursements Summary'!$E:$E,'Disbursements Summary'!$C:$C,$C25,'Disbursements Summary'!$A:$A,"OTDA")</f>
        <v>0</v>
      </c>
      <c r="FH25" s="55">
        <f>SUMIFS('Awards Summary'!$H:$H,'Awards Summary'!$B:$B,$C25,'Awards Summary'!$J:$J,"OIG")</f>
        <v>0</v>
      </c>
      <c r="FI25" s="55">
        <f>SUMIFS('Disbursements Summary'!$E:$E,'Disbursements Summary'!$C:$C,$C25,'Disbursements Summary'!$A:$A,"OIG")</f>
        <v>0</v>
      </c>
      <c r="FJ25" s="55">
        <f>SUMIFS('Awards Summary'!$H:$H,'Awards Summary'!$B:$B,$C25,'Awards Summary'!$J:$J,"OMIG")</f>
        <v>0</v>
      </c>
      <c r="FK25" s="55">
        <f>SUMIFS('Disbursements Summary'!$E:$E,'Disbursements Summary'!$C:$C,$C25,'Disbursements Summary'!$A:$A,"OMIG")</f>
        <v>0</v>
      </c>
      <c r="FL25" s="55">
        <f>SUMIFS('Awards Summary'!$H:$H,'Awards Summary'!$B:$B,$C25,'Awards Summary'!$J:$J,"OSC")</f>
        <v>0</v>
      </c>
      <c r="FM25" s="55">
        <f>SUMIFS('Disbursements Summary'!$E:$E,'Disbursements Summary'!$C:$C,$C25,'Disbursements Summary'!$A:$A,"OSC")</f>
        <v>0</v>
      </c>
      <c r="FN25" s="55">
        <f>SUMIFS('Awards Summary'!$H:$H,'Awards Summary'!$B:$B,$C25,'Awards Summary'!$J:$J,"OWIG")</f>
        <v>0</v>
      </c>
      <c r="FO25" s="55">
        <f>SUMIFS('Disbursements Summary'!$E:$E,'Disbursements Summary'!$C:$C,$C25,'Disbursements Summary'!$A:$A,"OWIG")</f>
        <v>0</v>
      </c>
      <c r="FP25" s="55">
        <f>SUMIFS('Awards Summary'!$H:$H,'Awards Summary'!$B:$B,$C25,'Awards Summary'!$J:$J,"OGDEN")</f>
        <v>0</v>
      </c>
      <c r="FQ25" s="55">
        <f>SUMIFS('Disbursements Summary'!$E:$E,'Disbursements Summary'!$C:$C,$C25,'Disbursements Summary'!$A:$A,"OGDEN")</f>
        <v>0</v>
      </c>
      <c r="FR25" s="55">
        <f>SUMIFS('Awards Summary'!$H:$H,'Awards Summary'!$B:$B,$C25,'Awards Summary'!$J:$J,"ORDA")</f>
        <v>0</v>
      </c>
      <c r="FS25" s="55">
        <f>SUMIFS('Disbursements Summary'!$E:$E,'Disbursements Summary'!$C:$C,$C25,'Disbursements Summary'!$A:$A,"ORDA")</f>
        <v>0</v>
      </c>
      <c r="FT25" s="55">
        <f>SUMIFS('Awards Summary'!$H:$H,'Awards Summary'!$B:$B,$C25,'Awards Summary'!$J:$J,"OSWEGO")</f>
        <v>0</v>
      </c>
      <c r="FU25" s="55">
        <f>SUMIFS('Disbursements Summary'!$E:$E,'Disbursements Summary'!$C:$C,$C25,'Disbursements Summary'!$A:$A,"OSWEGO")</f>
        <v>0</v>
      </c>
      <c r="FV25" s="55">
        <f>SUMIFS('Awards Summary'!$H:$H,'Awards Summary'!$B:$B,$C25,'Awards Summary'!$J:$J,"PERB")</f>
        <v>0</v>
      </c>
      <c r="FW25" s="55">
        <f>SUMIFS('Disbursements Summary'!$E:$E,'Disbursements Summary'!$C:$C,$C25,'Disbursements Summary'!$A:$A,"PERB")</f>
        <v>0</v>
      </c>
      <c r="FX25" s="55">
        <f>SUMIFS('Awards Summary'!$H:$H,'Awards Summary'!$B:$B,$C25,'Awards Summary'!$J:$J,"RGRTA")</f>
        <v>0</v>
      </c>
      <c r="FY25" s="55">
        <f>SUMIFS('Disbursements Summary'!$E:$E,'Disbursements Summary'!$C:$C,$C25,'Disbursements Summary'!$A:$A,"RGRTA")</f>
        <v>0</v>
      </c>
      <c r="FZ25" s="55">
        <f>SUMIFS('Awards Summary'!$H:$H,'Awards Summary'!$B:$B,$C25,'Awards Summary'!$J:$J,"RIOC")</f>
        <v>0</v>
      </c>
      <c r="GA25" s="55">
        <f>SUMIFS('Disbursements Summary'!$E:$E,'Disbursements Summary'!$C:$C,$C25,'Disbursements Summary'!$A:$A,"RIOC")</f>
        <v>0</v>
      </c>
      <c r="GB25" s="55">
        <f>SUMIFS('Awards Summary'!$H:$H,'Awards Summary'!$B:$B,$C25,'Awards Summary'!$J:$J,"RPCI")</f>
        <v>0</v>
      </c>
      <c r="GC25" s="55">
        <f>SUMIFS('Disbursements Summary'!$E:$E,'Disbursements Summary'!$C:$C,$C25,'Disbursements Summary'!$A:$A,"RPCI")</f>
        <v>0</v>
      </c>
      <c r="GD25" s="55">
        <f>SUMIFS('Awards Summary'!$H:$H,'Awards Summary'!$B:$B,$C25,'Awards Summary'!$J:$J,"SMDA")</f>
        <v>0</v>
      </c>
      <c r="GE25" s="55">
        <f>SUMIFS('Disbursements Summary'!$E:$E,'Disbursements Summary'!$C:$C,$C25,'Disbursements Summary'!$A:$A,"SMDA")</f>
        <v>0</v>
      </c>
      <c r="GF25" s="55">
        <f>SUMIFS('Awards Summary'!$H:$H,'Awards Summary'!$B:$B,$C25,'Awards Summary'!$J:$J,"SCOC")</f>
        <v>0</v>
      </c>
      <c r="GG25" s="55">
        <f>SUMIFS('Disbursements Summary'!$E:$E,'Disbursements Summary'!$C:$C,$C25,'Disbursements Summary'!$A:$A,"SCOC")</f>
        <v>0</v>
      </c>
      <c r="GH25" s="55">
        <f>SUMIFS('Awards Summary'!$H:$H,'Awards Summary'!$B:$B,$C25,'Awards Summary'!$J:$J,"SUCF")</f>
        <v>0</v>
      </c>
      <c r="GI25" s="55">
        <f>SUMIFS('Disbursements Summary'!$E:$E,'Disbursements Summary'!$C:$C,$C25,'Disbursements Summary'!$A:$A,"SUCF")</f>
        <v>0</v>
      </c>
      <c r="GJ25" s="55">
        <f>SUMIFS('Awards Summary'!$H:$H,'Awards Summary'!$B:$B,$C25,'Awards Summary'!$J:$J,"SUNY")</f>
        <v>0</v>
      </c>
      <c r="GK25" s="55">
        <f>SUMIFS('Disbursements Summary'!$E:$E,'Disbursements Summary'!$C:$C,$C25,'Disbursements Summary'!$A:$A,"SUNY")</f>
        <v>0</v>
      </c>
      <c r="GL25" s="55">
        <f>SUMIFS('Awards Summary'!$H:$H,'Awards Summary'!$B:$B,$C25,'Awards Summary'!$J:$J,"SRAA")</f>
        <v>0</v>
      </c>
      <c r="GM25" s="55">
        <f>SUMIFS('Disbursements Summary'!$E:$E,'Disbursements Summary'!$C:$C,$C25,'Disbursements Summary'!$A:$A,"SRAA")</f>
        <v>0</v>
      </c>
      <c r="GN25" s="55">
        <f>SUMIFS('Awards Summary'!$H:$H,'Awards Summary'!$B:$B,$C25,'Awards Summary'!$J:$J,"UNDC")</f>
        <v>0</v>
      </c>
      <c r="GO25" s="55">
        <f>SUMIFS('Disbursements Summary'!$E:$E,'Disbursements Summary'!$C:$C,$C25,'Disbursements Summary'!$A:$A,"UNDC")</f>
        <v>0</v>
      </c>
      <c r="GP25" s="55">
        <f>SUMIFS('Awards Summary'!$H:$H,'Awards Summary'!$B:$B,$C25,'Awards Summary'!$J:$J,"MVWA")</f>
        <v>0</v>
      </c>
      <c r="GQ25" s="55">
        <f>SUMIFS('Disbursements Summary'!$E:$E,'Disbursements Summary'!$C:$C,$C25,'Disbursements Summary'!$A:$A,"MVWA")</f>
        <v>0</v>
      </c>
      <c r="GR25" s="55">
        <f>SUMIFS('Awards Summary'!$H:$H,'Awards Summary'!$B:$B,$C25,'Awards Summary'!$J:$J,"WMC")</f>
        <v>0</v>
      </c>
      <c r="GS25" s="55">
        <f>SUMIFS('Disbursements Summary'!$E:$E,'Disbursements Summary'!$C:$C,$C25,'Disbursements Summary'!$A:$A,"WMC")</f>
        <v>0</v>
      </c>
      <c r="GT25" s="55">
        <f>SUMIFS('Awards Summary'!$H:$H,'Awards Summary'!$B:$B,$C25,'Awards Summary'!$J:$J,"WCB")</f>
        <v>0</v>
      </c>
      <c r="GU25" s="55">
        <f>SUMIFS('Disbursements Summary'!$E:$E,'Disbursements Summary'!$C:$C,$C25,'Disbursements Summary'!$A:$A,"WCB")</f>
        <v>0</v>
      </c>
      <c r="GV25" s="32">
        <f t="shared" si="5"/>
        <v>0</v>
      </c>
      <c r="GW25" s="32">
        <f t="shared" si="6"/>
        <v>0</v>
      </c>
      <c r="GX25" s="30" t="b">
        <f t="shared" si="7"/>
        <v>1</v>
      </c>
      <c r="GY25" s="30" t="b">
        <f t="shared" si="8"/>
        <v>1</v>
      </c>
    </row>
    <row r="26" spans="1:207" s="30" customFormat="1">
      <c r="A26" s="22" t="str">
        <f t="shared" si="0"/>
        <v/>
      </c>
      <c r="B26" s="40" t="s">
        <v>107</v>
      </c>
      <c r="C26" s="16">
        <v>141044</v>
      </c>
      <c r="D26" s="26">
        <f>COUNTIF('Awards Summary'!B:B,"141044")</f>
        <v>0</v>
      </c>
      <c r="E26" s="45">
        <f>SUMIFS('Awards Summary'!H:H,'Awards Summary'!B:B,"141044")</f>
        <v>0</v>
      </c>
      <c r="F26" s="46">
        <f>SUMIFS('Disbursements Summary'!E:E,'Disbursements Summary'!C:C, "141044")</f>
        <v>0</v>
      </c>
      <c r="H26" s="55">
        <f>SUMIFS('Awards Summary'!$H:$H,'Awards Summary'!$B:$B,$C26,'Awards Summary'!$J:$J,"APA")</f>
        <v>0</v>
      </c>
      <c r="I26" s="55">
        <f>SUMIFS('Disbursements Summary'!$E:$E,'Disbursements Summary'!$C:$C,$C26,'Disbursements Summary'!$A:$A,"APA")</f>
        <v>0</v>
      </c>
      <c r="J26" s="55">
        <f>SUMIFS('Awards Summary'!$H:$H,'Awards Summary'!$B:$B,$C26,'Awards Summary'!$J:$J,"Ag&amp;Horse")</f>
        <v>0</v>
      </c>
      <c r="K26" s="55">
        <f>SUMIFS('Disbursements Summary'!$E:$E,'Disbursements Summary'!$C:$C,$C26,'Disbursements Summary'!$A:$A,"Ag&amp;Horse")</f>
        <v>0</v>
      </c>
      <c r="L26" s="55">
        <f>SUMIFS('Awards Summary'!$H:$H,'Awards Summary'!$B:$B,$C26,'Awards Summary'!$J:$J,"ACAA")</f>
        <v>0</v>
      </c>
      <c r="M26" s="55">
        <f>SUMIFS('Disbursements Summary'!$E:$E,'Disbursements Summary'!$C:$C,$C26,'Disbursements Summary'!$A:$A,"ACAA")</f>
        <v>0</v>
      </c>
      <c r="N26" s="55">
        <f>SUMIFS('Awards Summary'!$H:$H,'Awards Summary'!$B:$B,$C26,'Awards Summary'!$J:$J,"PortAlbany")</f>
        <v>0</v>
      </c>
      <c r="O26" s="55">
        <f>SUMIFS('Disbursements Summary'!$E:$E,'Disbursements Summary'!$C:$C,$C26,'Disbursements Summary'!$A:$A,"PortAlbany")</f>
        <v>0</v>
      </c>
      <c r="P26" s="55">
        <f>SUMIFS('Awards Summary'!$H:$H,'Awards Summary'!$B:$B,$C26,'Awards Summary'!$J:$J,"SLA")</f>
        <v>0</v>
      </c>
      <c r="Q26" s="55">
        <f>SUMIFS('Disbursements Summary'!$E:$E,'Disbursements Summary'!$C:$C,$C26,'Disbursements Summary'!$A:$A,"SLA")</f>
        <v>0</v>
      </c>
      <c r="R26" s="55">
        <f>SUMIFS('Awards Summary'!$H:$H,'Awards Summary'!$B:$B,$C26,'Awards Summary'!$J:$J,"BPCA")</f>
        <v>0</v>
      </c>
      <c r="S26" s="55">
        <f>SUMIFS('Disbursements Summary'!$E:$E,'Disbursements Summary'!$C:$C,$C26,'Disbursements Summary'!$A:$A,"BPCA")</f>
        <v>0</v>
      </c>
      <c r="T26" s="55">
        <f>SUMIFS('Awards Summary'!$H:$H,'Awards Summary'!$B:$B,$C26,'Awards Summary'!$J:$J,"ELECTIONS")</f>
        <v>0</v>
      </c>
      <c r="U26" s="55">
        <f>SUMIFS('Disbursements Summary'!$E:$E,'Disbursements Summary'!$C:$C,$C26,'Disbursements Summary'!$A:$A,"ELECTIONS")</f>
        <v>0</v>
      </c>
      <c r="V26" s="55">
        <f>SUMIFS('Awards Summary'!$H:$H,'Awards Summary'!$B:$B,$C26,'Awards Summary'!$J:$J,"BFSA")</f>
        <v>0</v>
      </c>
      <c r="W26" s="55">
        <f>SUMIFS('Disbursements Summary'!$E:$E,'Disbursements Summary'!$C:$C,$C26,'Disbursements Summary'!$A:$A,"BFSA")</f>
        <v>0</v>
      </c>
      <c r="X26" s="55">
        <f>SUMIFS('Awards Summary'!$H:$H,'Awards Summary'!$B:$B,$C26,'Awards Summary'!$J:$J,"CDTA")</f>
        <v>0</v>
      </c>
      <c r="Y26" s="55">
        <f>SUMIFS('Disbursements Summary'!$E:$E,'Disbursements Summary'!$C:$C,$C26,'Disbursements Summary'!$A:$A,"CDTA")</f>
        <v>0</v>
      </c>
      <c r="Z26" s="55">
        <f>SUMIFS('Awards Summary'!$H:$H,'Awards Summary'!$B:$B,$C26,'Awards Summary'!$J:$J,"CCWSA")</f>
        <v>0</v>
      </c>
      <c r="AA26" s="55">
        <f>SUMIFS('Disbursements Summary'!$E:$E,'Disbursements Summary'!$C:$C,$C26,'Disbursements Summary'!$A:$A,"CCWSA")</f>
        <v>0</v>
      </c>
      <c r="AB26" s="55">
        <f>SUMIFS('Awards Summary'!$H:$H,'Awards Summary'!$B:$B,$C26,'Awards Summary'!$J:$J,"CNYRTA")</f>
        <v>0</v>
      </c>
      <c r="AC26" s="55">
        <f>SUMIFS('Disbursements Summary'!$E:$E,'Disbursements Summary'!$C:$C,$C26,'Disbursements Summary'!$A:$A,"CNYRTA")</f>
        <v>0</v>
      </c>
      <c r="AD26" s="55">
        <f>SUMIFS('Awards Summary'!$H:$H,'Awards Summary'!$B:$B,$C26,'Awards Summary'!$J:$J,"CUCF")</f>
        <v>0</v>
      </c>
      <c r="AE26" s="55">
        <f>SUMIFS('Disbursements Summary'!$E:$E,'Disbursements Summary'!$C:$C,$C26,'Disbursements Summary'!$A:$A,"CUCF")</f>
        <v>0</v>
      </c>
      <c r="AF26" s="55">
        <f>SUMIFS('Awards Summary'!$H:$H,'Awards Summary'!$B:$B,$C26,'Awards Summary'!$J:$J,"CUNY")</f>
        <v>0</v>
      </c>
      <c r="AG26" s="55">
        <f>SUMIFS('Disbursements Summary'!$E:$E,'Disbursements Summary'!$C:$C,$C26,'Disbursements Summary'!$A:$A,"CUNY")</f>
        <v>0</v>
      </c>
      <c r="AH26" s="55">
        <f>SUMIFS('Awards Summary'!$H:$H,'Awards Summary'!$B:$B,$C26,'Awards Summary'!$J:$J,"ARTS")</f>
        <v>0</v>
      </c>
      <c r="AI26" s="55">
        <f>SUMIFS('Disbursements Summary'!$E:$E,'Disbursements Summary'!$C:$C,$C26,'Disbursements Summary'!$A:$A,"ARTS")</f>
        <v>0</v>
      </c>
      <c r="AJ26" s="55">
        <f>SUMIFS('Awards Summary'!$H:$H,'Awards Summary'!$B:$B,$C26,'Awards Summary'!$J:$J,"AG&amp;MKTS")</f>
        <v>0</v>
      </c>
      <c r="AK26" s="55">
        <f>SUMIFS('Disbursements Summary'!$E:$E,'Disbursements Summary'!$C:$C,$C26,'Disbursements Summary'!$A:$A,"AG&amp;MKTS")</f>
        <v>0</v>
      </c>
      <c r="AL26" s="55">
        <f>SUMIFS('Awards Summary'!$H:$H,'Awards Summary'!$B:$B,$C26,'Awards Summary'!$J:$J,"CS")</f>
        <v>0</v>
      </c>
      <c r="AM26" s="55">
        <f>SUMIFS('Disbursements Summary'!$E:$E,'Disbursements Summary'!$C:$C,$C26,'Disbursements Summary'!$A:$A,"CS")</f>
        <v>0</v>
      </c>
      <c r="AN26" s="55">
        <f>SUMIFS('Awards Summary'!$H:$H,'Awards Summary'!$B:$B,$C26,'Awards Summary'!$J:$J,"DOCCS")</f>
        <v>0</v>
      </c>
      <c r="AO26" s="55">
        <f>SUMIFS('Disbursements Summary'!$E:$E,'Disbursements Summary'!$C:$C,$C26,'Disbursements Summary'!$A:$A,"DOCCS")</f>
        <v>0</v>
      </c>
      <c r="AP26" s="55">
        <f>SUMIFS('Awards Summary'!$H:$H,'Awards Summary'!$B:$B,$C26,'Awards Summary'!$J:$J,"DED")</f>
        <v>0</v>
      </c>
      <c r="AQ26" s="55">
        <f>SUMIFS('Disbursements Summary'!$E:$E,'Disbursements Summary'!$C:$C,$C26,'Disbursements Summary'!$A:$A,"DED")</f>
        <v>0</v>
      </c>
      <c r="AR26" s="55">
        <f>SUMIFS('Awards Summary'!$H:$H,'Awards Summary'!$B:$B,$C26,'Awards Summary'!$J:$J,"DEC")</f>
        <v>0</v>
      </c>
      <c r="AS26" s="55">
        <f>SUMIFS('Disbursements Summary'!$E:$E,'Disbursements Summary'!$C:$C,$C26,'Disbursements Summary'!$A:$A,"DEC")</f>
        <v>0</v>
      </c>
      <c r="AT26" s="55">
        <f>SUMIFS('Awards Summary'!$H:$H,'Awards Summary'!$B:$B,$C26,'Awards Summary'!$J:$J,"DFS")</f>
        <v>0</v>
      </c>
      <c r="AU26" s="55">
        <f>SUMIFS('Disbursements Summary'!$E:$E,'Disbursements Summary'!$C:$C,$C26,'Disbursements Summary'!$A:$A,"DFS")</f>
        <v>0</v>
      </c>
      <c r="AV26" s="55">
        <f>SUMIFS('Awards Summary'!$H:$H,'Awards Summary'!$B:$B,$C26,'Awards Summary'!$J:$J,"DOH")</f>
        <v>0</v>
      </c>
      <c r="AW26" s="55">
        <f>SUMIFS('Disbursements Summary'!$E:$E,'Disbursements Summary'!$C:$C,$C26,'Disbursements Summary'!$A:$A,"DOH")</f>
        <v>0</v>
      </c>
      <c r="AX26" s="55">
        <f>SUMIFS('Awards Summary'!$H:$H,'Awards Summary'!$B:$B,$C26,'Awards Summary'!$J:$J,"DOL")</f>
        <v>0</v>
      </c>
      <c r="AY26" s="55">
        <f>SUMIFS('Disbursements Summary'!$E:$E,'Disbursements Summary'!$C:$C,$C26,'Disbursements Summary'!$A:$A,"DOL")</f>
        <v>0</v>
      </c>
      <c r="AZ26" s="55">
        <f>SUMIFS('Awards Summary'!$H:$H,'Awards Summary'!$B:$B,$C26,'Awards Summary'!$J:$J,"DMV")</f>
        <v>0</v>
      </c>
      <c r="BA26" s="55">
        <f>SUMIFS('Disbursements Summary'!$E:$E,'Disbursements Summary'!$C:$C,$C26,'Disbursements Summary'!$A:$A,"DMV")</f>
        <v>0</v>
      </c>
      <c r="BB26" s="55">
        <f>SUMIFS('Awards Summary'!$H:$H,'Awards Summary'!$B:$B,$C26,'Awards Summary'!$J:$J,"DPS")</f>
        <v>0</v>
      </c>
      <c r="BC26" s="55">
        <f>SUMIFS('Disbursements Summary'!$E:$E,'Disbursements Summary'!$C:$C,$C26,'Disbursements Summary'!$A:$A,"DPS")</f>
        <v>0</v>
      </c>
      <c r="BD26" s="55">
        <f>SUMIFS('Awards Summary'!$H:$H,'Awards Summary'!$B:$B,$C26,'Awards Summary'!$J:$J,"DOS")</f>
        <v>0</v>
      </c>
      <c r="BE26" s="55">
        <f>SUMIFS('Disbursements Summary'!$E:$E,'Disbursements Summary'!$C:$C,$C26,'Disbursements Summary'!$A:$A,"DOS")</f>
        <v>0</v>
      </c>
      <c r="BF26" s="55">
        <f>SUMIFS('Awards Summary'!$H:$H,'Awards Summary'!$B:$B,$C26,'Awards Summary'!$J:$J,"TAX")</f>
        <v>0</v>
      </c>
      <c r="BG26" s="55">
        <f>SUMIFS('Disbursements Summary'!$E:$E,'Disbursements Summary'!$C:$C,$C26,'Disbursements Summary'!$A:$A,"TAX")</f>
        <v>0</v>
      </c>
      <c r="BH26" s="55">
        <f>SUMIFS('Awards Summary'!$H:$H,'Awards Summary'!$B:$B,$C26,'Awards Summary'!$J:$J,"DOT")</f>
        <v>0</v>
      </c>
      <c r="BI26" s="55">
        <f>SUMIFS('Disbursements Summary'!$E:$E,'Disbursements Summary'!$C:$C,$C26,'Disbursements Summary'!$A:$A,"DOT")</f>
        <v>0</v>
      </c>
      <c r="BJ26" s="55">
        <f>SUMIFS('Awards Summary'!$H:$H,'Awards Summary'!$B:$B,$C26,'Awards Summary'!$J:$J,"DANC")</f>
        <v>0</v>
      </c>
      <c r="BK26" s="55">
        <f>SUMIFS('Disbursements Summary'!$E:$E,'Disbursements Summary'!$C:$C,$C26,'Disbursements Summary'!$A:$A,"DANC")</f>
        <v>0</v>
      </c>
      <c r="BL26" s="55">
        <f>SUMIFS('Awards Summary'!$H:$H,'Awards Summary'!$B:$B,$C26,'Awards Summary'!$J:$J,"DOB")</f>
        <v>0</v>
      </c>
      <c r="BM26" s="55">
        <f>SUMIFS('Disbursements Summary'!$E:$E,'Disbursements Summary'!$C:$C,$C26,'Disbursements Summary'!$A:$A,"DOB")</f>
        <v>0</v>
      </c>
      <c r="BN26" s="55">
        <f>SUMIFS('Awards Summary'!$H:$H,'Awards Summary'!$B:$B,$C26,'Awards Summary'!$J:$J,"DCJS")</f>
        <v>0</v>
      </c>
      <c r="BO26" s="55">
        <f>SUMIFS('Disbursements Summary'!$E:$E,'Disbursements Summary'!$C:$C,$C26,'Disbursements Summary'!$A:$A,"DCJS")</f>
        <v>0</v>
      </c>
      <c r="BP26" s="55">
        <f>SUMIFS('Awards Summary'!$H:$H,'Awards Summary'!$B:$B,$C26,'Awards Summary'!$J:$J,"DHSES")</f>
        <v>0</v>
      </c>
      <c r="BQ26" s="55">
        <f>SUMIFS('Disbursements Summary'!$E:$E,'Disbursements Summary'!$C:$C,$C26,'Disbursements Summary'!$A:$A,"DHSES")</f>
        <v>0</v>
      </c>
      <c r="BR26" s="55">
        <f>SUMIFS('Awards Summary'!$H:$H,'Awards Summary'!$B:$B,$C26,'Awards Summary'!$J:$J,"DHR")</f>
        <v>0</v>
      </c>
      <c r="BS26" s="55">
        <f>SUMIFS('Disbursements Summary'!$E:$E,'Disbursements Summary'!$C:$C,$C26,'Disbursements Summary'!$A:$A,"DHR")</f>
        <v>0</v>
      </c>
      <c r="BT26" s="55">
        <f>SUMIFS('Awards Summary'!$H:$H,'Awards Summary'!$B:$B,$C26,'Awards Summary'!$J:$J,"DMNA")</f>
        <v>0</v>
      </c>
      <c r="BU26" s="55">
        <f>SUMIFS('Disbursements Summary'!$E:$E,'Disbursements Summary'!$C:$C,$C26,'Disbursements Summary'!$A:$A,"DMNA")</f>
        <v>0</v>
      </c>
      <c r="BV26" s="55">
        <f>SUMIFS('Awards Summary'!$H:$H,'Awards Summary'!$B:$B,$C26,'Awards Summary'!$J:$J,"TROOPERS")</f>
        <v>0</v>
      </c>
      <c r="BW26" s="55">
        <f>SUMIFS('Disbursements Summary'!$E:$E,'Disbursements Summary'!$C:$C,$C26,'Disbursements Summary'!$A:$A,"TROOPERS")</f>
        <v>0</v>
      </c>
      <c r="BX26" s="55">
        <f>SUMIFS('Awards Summary'!$H:$H,'Awards Summary'!$B:$B,$C26,'Awards Summary'!$J:$J,"DVA")</f>
        <v>0</v>
      </c>
      <c r="BY26" s="55">
        <f>SUMIFS('Disbursements Summary'!$E:$E,'Disbursements Summary'!$C:$C,$C26,'Disbursements Summary'!$A:$A,"DVA")</f>
        <v>0</v>
      </c>
      <c r="BZ26" s="55">
        <f>SUMIFS('Awards Summary'!$H:$H,'Awards Summary'!$B:$B,$C26,'Awards Summary'!$J:$J,"DASNY")</f>
        <v>0</v>
      </c>
      <c r="CA26" s="55">
        <f>SUMIFS('Disbursements Summary'!$E:$E,'Disbursements Summary'!$C:$C,$C26,'Disbursements Summary'!$A:$A,"DASNY")</f>
        <v>0</v>
      </c>
      <c r="CB26" s="55">
        <f>SUMIFS('Awards Summary'!$H:$H,'Awards Summary'!$B:$B,$C26,'Awards Summary'!$J:$J,"EGG")</f>
        <v>0</v>
      </c>
      <c r="CC26" s="55">
        <f>SUMIFS('Disbursements Summary'!$E:$E,'Disbursements Summary'!$C:$C,$C26,'Disbursements Summary'!$A:$A,"EGG")</f>
        <v>0</v>
      </c>
      <c r="CD26" s="55">
        <f>SUMIFS('Awards Summary'!$H:$H,'Awards Summary'!$B:$B,$C26,'Awards Summary'!$J:$J,"ESD")</f>
        <v>0</v>
      </c>
      <c r="CE26" s="55">
        <f>SUMIFS('Disbursements Summary'!$E:$E,'Disbursements Summary'!$C:$C,$C26,'Disbursements Summary'!$A:$A,"ESD")</f>
        <v>0</v>
      </c>
      <c r="CF26" s="55">
        <f>SUMIFS('Awards Summary'!$H:$H,'Awards Summary'!$B:$B,$C26,'Awards Summary'!$J:$J,"EFC")</f>
        <v>0</v>
      </c>
      <c r="CG26" s="55">
        <f>SUMIFS('Disbursements Summary'!$E:$E,'Disbursements Summary'!$C:$C,$C26,'Disbursements Summary'!$A:$A,"EFC")</f>
        <v>0</v>
      </c>
      <c r="CH26" s="55">
        <f>SUMIFS('Awards Summary'!$H:$H,'Awards Summary'!$B:$B,$C26,'Awards Summary'!$J:$J,"ECFSA")</f>
        <v>0</v>
      </c>
      <c r="CI26" s="55">
        <f>SUMIFS('Disbursements Summary'!$E:$E,'Disbursements Summary'!$C:$C,$C26,'Disbursements Summary'!$A:$A,"ECFSA")</f>
        <v>0</v>
      </c>
      <c r="CJ26" s="55">
        <f>SUMIFS('Awards Summary'!$H:$H,'Awards Summary'!$B:$B,$C26,'Awards Summary'!$J:$J,"ECMC")</f>
        <v>0</v>
      </c>
      <c r="CK26" s="55">
        <f>SUMIFS('Disbursements Summary'!$E:$E,'Disbursements Summary'!$C:$C,$C26,'Disbursements Summary'!$A:$A,"ECMC")</f>
        <v>0</v>
      </c>
      <c r="CL26" s="55">
        <f>SUMIFS('Awards Summary'!$H:$H,'Awards Summary'!$B:$B,$C26,'Awards Summary'!$J:$J,"CHAMBER")</f>
        <v>0</v>
      </c>
      <c r="CM26" s="55">
        <f>SUMIFS('Disbursements Summary'!$E:$E,'Disbursements Summary'!$C:$C,$C26,'Disbursements Summary'!$A:$A,"CHAMBER")</f>
        <v>0</v>
      </c>
      <c r="CN26" s="55">
        <f>SUMIFS('Awards Summary'!$H:$H,'Awards Summary'!$B:$B,$C26,'Awards Summary'!$J:$J,"GAMING")</f>
        <v>0</v>
      </c>
      <c r="CO26" s="55">
        <f>SUMIFS('Disbursements Summary'!$E:$E,'Disbursements Summary'!$C:$C,$C26,'Disbursements Summary'!$A:$A,"GAMING")</f>
        <v>0</v>
      </c>
      <c r="CP26" s="55">
        <f>SUMIFS('Awards Summary'!$H:$H,'Awards Summary'!$B:$B,$C26,'Awards Summary'!$J:$J,"GOER")</f>
        <v>0</v>
      </c>
      <c r="CQ26" s="55">
        <f>SUMIFS('Disbursements Summary'!$E:$E,'Disbursements Summary'!$C:$C,$C26,'Disbursements Summary'!$A:$A,"GOER")</f>
        <v>0</v>
      </c>
      <c r="CR26" s="55">
        <f>SUMIFS('Awards Summary'!$H:$H,'Awards Summary'!$B:$B,$C26,'Awards Summary'!$J:$J,"HESC")</f>
        <v>0</v>
      </c>
      <c r="CS26" s="55">
        <f>SUMIFS('Disbursements Summary'!$E:$E,'Disbursements Summary'!$C:$C,$C26,'Disbursements Summary'!$A:$A,"HESC")</f>
        <v>0</v>
      </c>
      <c r="CT26" s="55">
        <f>SUMIFS('Awards Summary'!$H:$H,'Awards Summary'!$B:$B,$C26,'Awards Summary'!$J:$J,"GOSR")</f>
        <v>0</v>
      </c>
      <c r="CU26" s="55">
        <f>SUMIFS('Disbursements Summary'!$E:$E,'Disbursements Summary'!$C:$C,$C26,'Disbursements Summary'!$A:$A,"GOSR")</f>
        <v>0</v>
      </c>
      <c r="CV26" s="55">
        <f>SUMIFS('Awards Summary'!$H:$H,'Awards Summary'!$B:$B,$C26,'Awards Summary'!$J:$J,"HRPT")</f>
        <v>0</v>
      </c>
      <c r="CW26" s="55">
        <f>SUMIFS('Disbursements Summary'!$E:$E,'Disbursements Summary'!$C:$C,$C26,'Disbursements Summary'!$A:$A,"HRPT")</f>
        <v>0</v>
      </c>
      <c r="CX26" s="55">
        <f>SUMIFS('Awards Summary'!$H:$H,'Awards Summary'!$B:$B,$C26,'Awards Summary'!$J:$J,"HRBRRD")</f>
        <v>0</v>
      </c>
      <c r="CY26" s="55">
        <f>SUMIFS('Disbursements Summary'!$E:$E,'Disbursements Summary'!$C:$C,$C26,'Disbursements Summary'!$A:$A,"HRBRRD")</f>
        <v>0</v>
      </c>
      <c r="CZ26" s="55">
        <f>SUMIFS('Awards Summary'!$H:$H,'Awards Summary'!$B:$B,$C26,'Awards Summary'!$J:$J,"ITS")</f>
        <v>0</v>
      </c>
      <c r="DA26" s="55">
        <f>SUMIFS('Disbursements Summary'!$E:$E,'Disbursements Summary'!$C:$C,$C26,'Disbursements Summary'!$A:$A,"ITS")</f>
        <v>0</v>
      </c>
      <c r="DB26" s="55">
        <f>SUMIFS('Awards Summary'!$H:$H,'Awards Summary'!$B:$B,$C26,'Awards Summary'!$J:$J,"JAVITS")</f>
        <v>0</v>
      </c>
      <c r="DC26" s="55">
        <f>SUMIFS('Disbursements Summary'!$E:$E,'Disbursements Summary'!$C:$C,$C26,'Disbursements Summary'!$A:$A,"JAVITS")</f>
        <v>0</v>
      </c>
      <c r="DD26" s="55">
        <f>SUMIFS('Awards Summary'!$H:$H,'Awards Summary'!$B:$B,$C26,'Awards Summary'!$J:$J,"JCOPE")</f>
        <v>0</v>
      </c>
      <c r="DE26" s="55">
        <f>SUMIFS('Disbursements Summary'!$E:$E,'Disbursements Summary'!$C:$C,$C26,'Disbursements Summary'!$A:$A,"JCOPE")</f>
        <v>0</v>
      </c>
      <c r="DF26" s="55">
        <f>SUMIFS('Awards Summary'!$H:$H,'Awards Summary'!$B:$B,$C26,'Awards Summary'!$J:$J,"JUSTICE")</f>
        <v>0</v>
      </c>
      <c r="DG26" s="55">
        <f>SUMIFS('Disbursements Summary'!$E:$E,'Disbursements Summary'!$C:$C,$C26,'Disbursements Summary'!$A:$A,"JUSTICE")</f>
        <v>0</v>
      </c>
      <c r="DH26" s="55">
        <f>SUMIFS('Awards Summary'!$H:$H,'Awards Summary'!$B:$B,$C26,'Awards Summary'!$J:$J,"LCWSA")</f>
        <v>0</v>
      </c>
      <c r="DI26" s="55">
        <f>SUMIFS('Disbursements Summary'!$E:$E,'Disbursements Summary'!$C:$C,$C26,'Disbursements Summary'!$A:$A,"LCWSA")</f>
        <v>0</v>
      </c>
      <c r="DJ26" s="55">
        <f>SUMIFS('Awards Summary'!$H:$H,'Awards Summary'!$B:$B,$C26,'Awards Summary'!$J:$J,"LIPA")</f>
        <v>0</v>
      </c>
      <c r="DK26" s="55">
        <f>SUMIFS('Disbursements Summary'!$E:$E,'Disbursements Summary'!$C:$C,$C26,'Disbursements Summary'!$A:$A,"LIPA")</f>
        <v>0</v>
      </c>
      <c r="DL26" s="55">
        <f>SUMIFS('Awards Summary'!$H:$H,'Awards Summary'!$B:$B,$C26,'Awards Summary'!$J:$J,"MTA")</f>
        <v>0</v>
      </c>
      <c r="DM26" s="55">
        <f>SUMIFS('Disbursements Summary'!$E:$E,'Disbursements Summary'!$C:$C,$C26,'Disbursements Summary'!$A:$A,"MTA")</f>
        <v>0</v>
      </c>
      <c r="DN26" s="55">
        <f>SUMIFS('Awards Summary'!$H:$H,'Awards Summary'!$B:$B,$C26,'Awards Summary'!$J:$J,"NIFA")</f>
        <v>0</v>
      </c>
      <c r="DO26" s="55">
        <f>SUMIFS('Disbursements Summary'!$E:$E,'Disbursements Summary'!$C:$C,$C26,'Disbursements Summary'!$A:$A,"NIFA")</f>
        <v>0</v>
      </c>
      <c r="DP26" s="55">
        <f>SUMIFS('Awards Summary'!$H:$H,'Awards Summary'!$B:$B,$C26,'Awards Summary'!$J:$J,"NHCC")</f>
        <v>0</v>
      </c>
      <c r="DQ26" s="55">
        <f>SUMIFS('Disbursements Summary'!$E:$E,'Disbursements Summary'!$C:$C,$C26,'Disbursements Summary'!$A:$A,"NHCC")</f>
        <v>0</v>
      </c>
      <c r="DR26" s="55">
        <f>SUMIFS('Awards Summary'!$H:$H,'Awards Summary'!$B:$B,$C26,'Awards Summary'!$J:$J,"NHT")</f>
        <v>0</v>
      </c>
      <c r="DS26" s="55">
        <f>SUMIFS('Disbursements Summary'!$E:$E,'Disbursements Summary'!$C:$C,$C26,'Disbursements Summary'!$A:$A,"NHT")</f>
        <v>0</v>
      </c>
      <c r="DT26" s="55">
        <f>SUMIFS('Awards Summary'!$H:$H,'Awards Summary'!$B:$B,$C26,'Awards Summary'!$J:$J,"NYPA")</f>
        <v>0</v>
      </c>
      <c r="DU26" s="55">
        <f>SUMIFS('Disbursements Summary'!$E:$E,'Disbursements Summary'!$C:$C,$C26,'Disbursements Summary'!$A:$A,"NYPA")</f>
        <v>0</v>
      </c>
      <c r="DV26" s="55">
        <f>SUMIFS('Awards Summary'!$H:$H,'Awards Summary'!$B:$B,$C26,'Awards Summary'!$J:$J,"NYSBA")</f>
        <v>0</v>
      </c>
      <c r="DW26" s="55">
        <f>SUMIFS('Disbursements Summary'!$E:$E,'Disbursements Summary'!$C:$C,$C26,'Disbursements Summary'!$A:$A,"NYSBA")</f>
        <v>0</v>
      </c>
      <c r="DX26" s="55">
        <f>SUMIFS('Awards Summary'!$H:$H,'Awards Summary'!$B:$B,$C26,'Awards Summary'!$J:$J,"NYSERDA")</f>
        <v>0</v>
      </c>
      <c r="DY26" s="55">
        <f>SUMIFS('Disbursements Summary'!$E:$E,'Disbursements Summary'!$C:$C,$C26,'Disbursements Summary'!$A:$A,"NYSERDA")</f>
        <v>0</v>
      </c>
      <c r="DZ26" s="55">
        <f>SUMIFS('Awards Summary'!$H:$H,'Awards Summary'!$B:$B,$C26,'Awards Summary'!$J:$J,"DHCR")</f>
        <v>0</v>
      </c>
      <c r="EA26" s="55">
        <f>SUMIFS('Disbursements Summary'!$E:$E,'Disbursements Summary'!$C:$C,$C26,'Disbursements Summary'!$A:$A,"DHCR")</f>
        <v>0</v>
      </c>
      <c r="EB26" s="55">
        <f>SUMIFS('Awards Summary'!$H:$H,'Awards Summary'!$B:$B,$C26,'Awards Summary'!$J:$J,"HFA")</f>
        <v>0</v>
      </c>
      <c r="EC26" s="55">
        <f>SUMIFS('Disbursements Summary'!$E:$E,'Disbursements Summary'!$C:$C,$C26,'Disbursements Summary'!$A:$A,"HFA")</f>
        <v>0</v>
      </c>
      <c r="ED26" s="55">
        <f>SUMIFS('Awards Summary'!$H:$H,'Awards Summary'!$B:$B,$C26,'Awards Summary'!$J:$J,"NYSIF")</f>
        <v>0</v>
      </c>
      <c r="EE26" s="55">
        <f>SUMIFS('Disbursements Summary'!$E:$E,'Disbursements Summary'!$C:$C,$C26,'Disbursements Summary'!$A:$A,"NYSIF")</f>
        <v>0</v>
      </c>
      <c r="EF26" s="55">
        <f>SUMIFS('Awards Summary'!$H:$H,'Awards Summary'!$B:$B,$C26,'Awards Summary'!$J:$J,"NYBREDS")</f>
        <v>0</v>
      </c>
      <c r="EG26" s="55">
        <f>SUMIFS('Disbursements Summary'!$E:$E,'Disbursements Summary'!$C:$C,$C26,'Disbursements Summary'!$A:$A,"NYBREDS")</f>
        <v>0</v>
      </c>
      <c r="EH26" s="55">
        <f>SUMIFS('Awards Summary'!$H:$H,'Awards Summary'!$B:$B,$C26,'Awards Summary'!$J:$J,"NYSTA")</f>
        <v>0</v>
      </c>
      <c r="EI26" s="55">
        <f>SUMIFS('Disbursements Summary'!$E:$E,'Disbursements Summary'!$C:$C,$C26,'Disbursements Summary'!$A:$A,"NYSTA")</f>
        <v>0</v>
      </c>
      <c r="EJ26" s="55">
        <f>SUMIFS('Awards Summary'!$H:$H,'Awards Summary'!$B:$B,$C26,'Awards Summary'!$J:$J,"NFWB")</f>
        <v>0</v>
      </c>
      <c r="EK26" s="55">
        <f>SUMIFS('Disbursements Summary'!$E:$E,'Disbursements Summary'!$C:$C,$C26,'Disbursements Summary'!$A:$A,"NFWB")</f>
        <v>0</v>
      </c>
      <c r="EL26" s="55">
        <f>SUMIFS('Awards Summary'!$H:$H,'Awards Summary'!$B:$B,$C26,'Awards Summary'!$J:$J,"NFTA")</f>
        <v>0</v>
      </c>
      <c r="EM26" s="55">
        <f>SUMIFS('Disbursements Summary'!$E:$E,'Disbursements Summary'!$C:$C,$C26,'Disbursements Summary'!$A:$A,"NFTA")</f>
        <v>0</v>
      </c>
      <c r="EN26" s="55">
        <f>SUMIFS('Awards Summary'!$H:$H,'Awards Summary'!$B:$B,$C26,'Awards Summary'!$J:$J,"OPWDD")</f>
        <v>0</v>
      </c>
      <c r="EO26" s="55">
        <f>SUMIFS('Disbursements Summary'!$E:$E,'Disbursements Summary'!$C:$C,$C26,'Disbursements Summary'!$A:$A,"OPWDD")</f>
        <v>0</v>
      </c>
      <c r="EP26" s="55">
        <f>SUMIFS('Awards Summary'!$H:$H,'Awards Summary'!$B:$B,$C26,'Awards Summary'!$J:$J,"AGING")</f>
        <v>0</v>
      </c>
      <c r="EQ26" s="55">
        <f>SUMIFS('Disbursements Summary'!$E:$E,'Disbursements Summary'!$C:$C,$C26,'Disbursements Summary'!$A:$A,"AGING")</f>
        <v>0</v>
      </c>
      <c r="ER26" s="55">
        <f>SUMIFS('Awards Summary'!$H:$H,'Awards Summary'!$B:$B,$C26,'Awards Summary'!$J:$J,"OPDV")</f>
        <v>0</v>
      </c>
      <c r="ES26" s="55">
        <f>SUMIFS('Disbursements Summary'!$E:$E,'Disbursements Summary'!$C:$C,$C26,'Disbursements Summary'!$A:$A,"OPDV")</f>
        <v>0</v>
      </c>
      <c r="ET26" s="55">
        <f>SUMIFS('Awards Summary'!$H:$H,'Awards Summary'!$B:$B,$C26,'Awards Summary'!$J:$J,"OVS")</f>
        <v>0</v>
      </c>
      <c r="EU26" s="55">
        <f>SUMIFS('Disbursements Summary'!$E:$E,'Disbursements Summary'!$C:$C,$C26,'Disbursements Summary'!$A:$A,"OVS")</f>
        <v>0</v>
      </c>
      <c r="EV26" s="55">
        <f>SUMIFS('Awards Summary'!$H:$H,'Awards Summary'!$B:$B,$C26,'Awards Summary'!$J:$J,"OASAS")</f>
        <v>0</v>
      </c>
      <c r="EW26" s="55">
        <f>SUMIFS('Disbursements Summary'!$E:$E,'Disbursements Summary'!$C:$C,$C26,'Disbursements Summary'!$A:$A,"OASAS")</f>
        <v>0</v>
      </c>
      <c r="EX26" s="55">
        <f>SUMIFS('Awards Summary'!$H:$H,'Awards Summary'!$B:$B,$C26,'Awards Summary'!$J:$J,"OCFS")</f>
        <v>0</v>
      </c>
      <c r="EY26" s="55">
        <f>SUMIFS('Disbursements Summary'!$E:$E,'Disbursements Summary'!$C:$C,$C26,'Disbursements Summary'!$A:$A,"OCFS")</f>
        <v>0</v>
      </c>
      <c r="EZ26" s="55">
        <f>SUMIFS('Awards Summary'!$H:$H,'Awards Summary'!$B:$B,$C26,'Awards Summary'!$J:$J,"OGS")</f>
        <v>0</v>
      </c>
      <c r="FA26" s="55">
        <f>SUMIFS('Disbursements Summary'!$E:$E,'Disbursements Summary'!$C:$C,$C26,'Disbursements Summary'!$A:$A,"OGS")</f>
        <v>0</v>
      </c>
      <c r="FB26" s="55">
        <f>SUMIFS('Awards Summary'!$H:$H,'Awards Summary'!$B:$B,$C26,'Awards Summary'!$J:$J,"OMH")</f>
        <v>0</v>
      </c>
      <c r="FC26" s="55">
        <f>SUMIFS('Disbursements Summary'!$E:$E,'Disbursements Summary'!$C:$C,$C26,'Disbursements Summary'!$A:$A,"OMH")</f>
        <v>0</v>
      </c>
      <c r="FD26" s="55">
        <f>SUMIFS('Awards Summary'!$H:$H,'Awards Summary'!$B:$B,$C26,'Awards Summary'!$J:$J,"PARKS")</f>
        <v>0</v>
      </c>
      <c r="FE26" s="55">
        <f>SUMIFS('Disbursements Summary'!$E:$E,'Disbursements Summary'!$C:$C,$C26,'Disbursements Summary'!$A:$A,"PARKS")</f>
        <v>0</v>
      </c>
      <c r="FF26" s="55">
        <f>SUMIFS('Awards Summary'!$H:$H,'Awards Summary'!$B:$B,$C26,'Awards Summary'!$J:$J,"OTDA")</f>
        <v>0</v>
      </c>
      <c r="FG26" s="55">
        <f>SUMIFS('Disbursements Summary'!$E:$E,'Disbursements Summary'!$C:$C,$C26,'Disbursements Summary'!$A:$A,"OTDA")</f>
        <v>0</v>
      </c>
      <c r="FH26" s="55">
        <f>SUMIFS('Awards Summary'!$H:$H,'Awards Summary'!$B:$B,$C26,'Awards Summary'!$J:$J,"OIG")</f>
        <v>0</v>
      </c>
      <c r="FI26" s="55">
        <f>SUMIFS('Disbursements Summary'!$E:$E,'Disbursements Summary'!$C:$C,$C26,'Disbursements Summary'!$A:$A,"OIG")</f>
        <v>0</v>
      </c>
      <c r="FJ26" s="55">
        <f>SUMIFS('Awards Summary'!$H:$H,'Awards Summary'!$B:$B,$C26,'Awards Summary'!$J:$J,"OMIG")</f>
        <v>0</v>
      </c>
      <c r="FK26" s="55">
        <f>SUMIFS('Disbursements Summary'!$E:$E,'Disbursements Summary'!$C:$C,$C26,'Disbursements Summary'!$A:$A,"OMIG")</f>
        <v>0</v>
      </c>
      <c r="FL26" s="55">
        <f>SUMIFS('Awards Summary'!$H:$H,'Awards Summary'!$B:$B,$C26,'Awards Summary'!$J:$J,"OSC")</f>
        <v>0</v>
      </c>
      <c r="FM26" s="55">
        <f>SUMIFS('Disbursements Summary'!$E:$E,'Disbursements Summary'!$C:$C,$C26,'Disbursements Summary'!$A:$A,"OSC")</f>
        <v>0</v>
      </c>
      <c r="FN26" s="55">
        <f>SUMIFS('Awards Summary'!$H:$H,'Awards Summary'!$B:$B,$C26,'Awards Summary'!$J:$J,"OWIG")</f>
        <v>0</v>
      </c>
      <c r="FO26" s="55">
        <f>SUMIFS('Disbursements Summary'!$E:$E,'Disbursements Summary'!$C:$C,$C26,'Disbursements Summary'!$A:$A,"OWIG")</f>
        <v>0</v>
      </c>
      <c r="FP26" s="55">
        <f>SUMIFS('Awards Summary'!$H:$H,'Awards Summary'!$B:$B,$C26,'Awards Summary'!$J:$J,"OGDEN")</f>
        <v>0</v>
      </c>
      <c r="FQ26" s="55">
        <f>SUMIFS('Disbursements Summary'!$E:$E,'Disbursements Summary'!$C:$C,$C26,'Disbursements Summary'!$A:$A,"OGDEN")</f>
        <v>0</v>
      </c>
      <c r="FR26" s="55">
        <f>SUMIFS('Awards Summary'!$H:$H,'Awards Summary'!$B:$B,$C26,'Awards Summary'!$J:$J,"ORDA")</f>
        <v>0</v>
      </c>
      <c r="FS26" s="55">
        <f>SUMIFS('Disbursements Summary'!$E:$E,'Disbursements Summary'!$C:$C,$C26,'Disbursements Summary'!$A:$A,"ORDA")</f>
        <v>0</v>
      </c>
      <c r="FT26" s="55">
        <f>SUMIFS('Awards Summary'!$H:$H,'Awards Summary'!$B:$B,$C26,'Awards Summary'!$J:$J,"OSWEGO")</f>
        <v>0</v>
      </c>
      <c r="FU26" s="55">
        <f>SUMIFS('Disbursements Summary'!$E:$E,'Disbursements Summary'!$C:$C,$C26,'Disbursements Summary'!$A:$A,"OSWEGO")</f>
        <v>0</v>
      </c>
      <c r="FV26" s="55">
        <f>SUMIFS('Awards Summary'!$H:$H,'Awards Summary'!$B:$B,$C26,'Awards Summary'!$J:$J,"PERB")</f>
        <v>0</v>
      </c>
      <c r="FW26" s="55">
        <f>SUMIFS('Disbursements Summary'!$E:$E,'Disbursements Summary'!$C:$C,$C26,'Disbursements Summary'!$A:$A,"PERB")</f>
        <v>0</v>
      </c>
      <c r="FX26" s="55">
        <f>SUMIFS('Awards Summary'!$H:$H,'Awards Summary'!$B:$B,$C26,'Awards Summary'!$J:$J,"RGRTA")</f>
        <v>0</v>
      </c>
      <c r="FY26" s="55">
        <f>SUMIFS('Disbursements Summary'!$E:$E,'Disbursements Summary'!$C:$C,$C26,'Disbursements Summary'!$A:$A,"RGRTA")</f>
        <v>0</v>
      </c>
      <c r="FZ26" s="55">
        <f>SUMIFS('Awards Summary'!$H:$H,'Awards Summary'!$B:$B,$C26,'Awards Summary'!$J:$J,"RIOC")</f>
        <v>0</v>
      </c>
      <c r="GA26" s="55">
        <f>SUMIFS('Disbursements Summary'!$E:$E,'Disbursements Summary'!$C:$C,$C26,'Disbursements Summary'!$A:$A,"RIOC")</f>
        <v>0</v>
      </c>
      <c r="GB26" s="55">
        <f>SUMIFS('Awards Summary'!$H:$H,'Awards Summary'!$B:$B,$C26,'Awards Summary'!$J:$J,"RPCI")</f>
        <v>0</v>
      </c>
      <c r="GC26" s="55">
        <f>SUMIFS('Disbursements Summary'!$E:$E,'Disbursements Summary'!$C:$C,$C26,'Disbursements Summary'!$A:$A,"RPCI")</f>
        <v>0</v>
      </c>
      <c r="GD26" s="55">
        <f>SUMIFS('Awards Summary'!$H:$H,'Awards Summary'!$B:$B,$C26,'Awards Summary'!$J:$J,"SMDA")</f>
        <v>0</v>
      </c>
      <c r="GE26" s="55">
        <f>SUMIFS('Disbursements Summary'!$E:$E,'Disbursements Summary'!$C:$C,$C26,'Disbursements Summary'!$A:$A,"SMDA")</f>
        <v>0</v>
      </c>
      <c r="GF26" s="55">
        <f>SUMIFS('Awards Summary'!$H:$H,'Awards Summary'!$B:$B,$C26,'Awards Summary'!$J:$J,"SCOC")</f>
        <v>0</v>
      </c>
      <c r="GG26" s="55">
        <f>SUMIFS('Disbursements Summary'!$E:$E,'Disbursements Summary'!$C:$C,$C26,'Disbursements Summary'!$A:$A,"SCOC")</f>
        <v>0</v>
      </c>
      <c r="GH26" s="55">
        <f>SUMIFS('Awards Summary'!$H:$H,'Awards Summary'!$B:$B,$C26,'Awards Summary'!$J:$J,"SUCF")</f>
        <v>0</v>
      </c>
      <c r="GI26" s="55">
        <f>SUMIFS('Disbursements Summary'!$E:$E,'Disbursements Summary'!$C:$C,$C26,'Disbursements Summary'!$A:$A,"SUCF")</f>
        <v>0</v>
      </c>
      <c r="GJ26" s="55">
        <f>SUMIFS('Awards Summary'!$H:$H,'Awards Summary'!$B:$B,$C26,'Awards Summary'!$J:$J,"SUNY")</f>
        <v>0</v>
      </c>
      <c r="GK26" s="55">
        <f>SUMIFS('Disbursements Summary'!$E:$E,'Disbursements Summary'!$C:$C,$C26,'Disbursements Summary'!$A:$A,"SUNY")</f>
        <v>0</v>
      </c>
      <c r="GL26" s="55">
        <f>SUMIFS('Awards Summary'!$H:$H,'Awards Summary'!$B:$B,$C26,'Awards Summary'!$J:$J,"SRAA")</f>
        <v>0</v>
      </c>
      <c r="GM26" s="55">
        <f>SUMIFS('Disbursements Summary'!$E:$E,'Disbursements Summary'!$C:$C,$C26,'Disbursements Summary'!$A:$A,"SRAA")</f>
        <v>0</v>
      </c>
      <c r="GN26" s="55">
        <f>SUMIFS('Awards Summary'!$H:$H,'Awards Summary'!$B:$B,$C26,'Awards Summary'!$J:$J,"UNDC")</f>
        <v>0</v>
      </c>
      <c r="GO26" s="55">
        <f>SUMIFS('Disbursements Summary'!$E:$E,'Disbursements Summary'!$C:$C,$C26,'Disbursements Summary'!$A:$A,"UNDC")</f>
        <v>0</v>
      </c>
      <c r="GP26" s="55">
        <f>SUMIFS('Awards Summary'!$H:$H,'Awards Summary'!$B:$B,$C26,'Awards Summary'!$J:$J,"MVWA")</f>
        <v>0</v>
      </c>
      <c r="GQ26" s="55">
        <f>SUMIFS('Disbursements Summary'!$E:$E,'Disbursements Summary'!$C:$C,$C26,'Disbursements Summary'!$A:$A,"MVWA")</f>
        <v>0</v>
      </c>
      <c r="GR26" s="55">
        <f>SUMIFS('Awards Summary'!$H:$H,'Awards Summary'!$B:$B,$C26,'Awards Summary'!$J:$J,"WMC")</f>
        <v>0</v>
      </c>
      <c r="GS26" s="55">
        <f>SUMIFS('Disbursements Summary'!$E:$E,'Disbursements Summary'!$C:$C,$C26,'Disbursements Summary'!$A:$A,"WMC")</f>
        <v>0</v>
      </c>
      <c r="GT26" s="55">
        <f>SUMIFS('Awards Summary'!$H:$H,'Awards Summary'!$B:$B,$C26,'Awards Summary'!$J:$J,"WCB")</f>
        <v>0</v>
      </c>
      <c r="GU26" s="55">
        <f>SUMIFS('Disbursements Summary'!$E:$E,'Disbursements Summary'!$C:$C,$C26,'Disbursements Summary'!$A:$A,"WCB")</f>
        <v>0</v>
      </c>
      <c r="GV26" s="32">
        <f t="shared" si="5"/>
        <v>0</v>
      </c>
      <c r="GW26" s="32">
        <f t="shared" si="6"/>
        <v>0</v>
      </c>
      <c r="GX26" s="30" t="b">
        <f t="shared" si="7"/>
        <v>1</v>
      </c>
      <c r="GY26" s="30" t="b">
        <f t="shared" si="8"/>
        <v>1</v>
      </c>
    </row>
    <row r="27" spans="1:207" s="30" customFormat="1">
      <c r="A27" s="22" t="str">
        <f t="shared" si="0"/>
        <v/>
      </c>
      <c r="B27" s="40" t="s">
        <v>78</v>
      </c>
      <c r="C27" s="16">
        <v>141045</v>
      </c>
      <c r="D27" s="26">
        <f>COUNTIF('Awards Summary'!B:B,"141045")</f>
        <v>0</v>
      </c>
      <c r="E27" s="45">
        <f>SUMIFS('Awards Summary'!H:H,'Awards Summary'!B:B,"141045")</f>
        <v>0</v>
      </c>
      <c r="F27" s="46">
        <f>SUMIFS('Disbursements Summary'!E:E,'Disbursements Summary'!C:C, "141045")</f>
        <v>0</v>
      </c>
      <c r="H27" s="55">
        <f>SUMIFS('Awards Summary'!$H:$H,'Awards Summary'!$B:$B,$C27,'Awards Summary'!$J:$J,"APA")</f>
        <v>0</v>
      </c>
      <c r="I27" s="55">
        <f>SUMIFS('Disbursements Summary'!$E:$E,'Disbursements Summary'!$C:$C,$C27,'Disbursements Summary'!$A:$A,"APA")</f>
        <v>0</v>
      </c>
      <c r="J27" s="55">
        <f>SUMIFS('Awards Summary'!$H:$H,'Awards Summary'!$B:$B,$C27,'Awards Summary'!$J:$J,"Ag&amp;Horse")</f>
        <v>0</v>
      </c>
      <c r="K27" s="55">
        <f>SUMIFS('Disbursements Summary'!$E:$E,'Disbursements Summary'!$C:$C,$C27,'Disbursements Summary'!$A:$A,"Ag&amp;Horse")</f>
        <v>0</v>
      </c>
      <c r="L27" s="55">
        <f>SUMIFS('Awards Summary'!$H:$H,'Awards Summary'!$B:$B,$C27,'Awards Summary'!$J:$J,"ACAA")</f>
        <v>0</v>
      </c>
      <c r="M27" s="55">
        <f>SUMIFS('Disbursements Summary'!$E:$E,'Disbursements Summary'!$C:$C,$C27,'Disbursements Summary'!$A:$A,"ACAA")</f>
        <v>0</v>
      </c>
      <c r="N27" s="55">
        <f>SUMIFS('Awards Summary'!$H:$H,'Awards Summary'!$B:$B,$C27,'Awards Summary'!$J:$J,"PortAlbany")</f>
        <v>0</v>
      </c>
      <c r="O27" s="55">
        <f>SUMIFS('Disbursements Summary'!$E:$E,'Disbursements Summary'!$C:$C,$C27,'Disbursements Summary'!$A:$A,"PortAlbany")</f>
        <v>0</v>
      </c>
      <c r="P27" s="55">
        <f>SUMIFS('Awards Summary'!$H:$H,'Awards Summary'!$B:$B,$C27,'Awards Summary'!$J:$J,"SLA")</f>
        <v>0</v>
      </c>
      <c r="Q27" s="55">
        <f>SUMIFS('Disbursements Summary'!$E:$E,'Disbursements Summary'!$C:$C,$C27,'Disbursements Summary'!$A:$A,"SLA")</f>
        <v>0</v>
      </c>
      <c r="R27" s="55">
        <f>SUMIFS('Awards Summary'!$H:$H,'Awards Summary'!$B:$B,$C27,'Awards Summary'!$J:$J,"BPCA")</f>
        <v>0</v>
      </c>
      <c r="S27" s="55">
        <f>SUMIFS('Disbursements Summary'!$E:$E,'Disbursements Summary'!$C:$C,$C27,'Disbursements Summary'!$A:$A,"BPCA")</f>
        <v>0</v>
      </c>
      <c r="T27" s="55">
        <f>SUMIFS('Awards Summary'!$H:$H,'Awards Summary'!$B:$B,$C27,'Awards Summary'!$J:$J,"ELECTIONS")</f>
        <v>0</v>
      </c>
      <c r="U27" s="55">
        <f>SUMIFS('Disbursements Summary'!$E:$E,'Disbursements Summary'!$C:$C,$C27,'Disbursements Summary'!$A:$A,"ELECTIONS")</f>
        <v>0</v>
      </c>
      <c r="V27" s="55">
        <f>SUMIFS('Awards Summary'!$H:$H,'Awards Summary'!$B:$B,$C27,'Awards Summary'!$J:$J,"BFSA")</f>
        <v>0</v>
      </c>
      <c r="W27" s="55">
        <f>SUMIFS('Disbursements Summary'!$E:$E,'Disbursements Summary'!$C:$C,$C27,'Disbursements Summary'!$A:$A,"BFSA")</f>
        <v>0</v>
      </c>
      <c r="X27" s="55">
        <f>SUMIFS('Awards Summary'!$H:$H,'Awards Summary'!$B:$B,$C27,'Awards Summary'!$J:$J,"CDTA")</f>
        <v>0</v>
      </c>
      <c r="Y27" s="55">
        <f>SUMIFS('Disbursements Summary'!$E:$E,'Disbursements Summary'!$C:$C,$C27,'Disbursements Summary'!$A:$A,"CDTA")</f>
        <v>0</v>
      </c>
      <c r="Z27" s="55">
        <f>SUMIFS('Awards Summary'!$H:$H,'Awards Summary'!$B:$B,$C27,'Awards Summary'!$J:$J,"CCWSA")</f>
        <v>0</v>
      </c>
      <c r="AA27" s="55">
        <f>SUMIFS('Disbursements Summary'!$E:$E,'Disbursements Summary'!$C:$C,$C27,'Disbursements Summary'!$A:$A,"CCWSA")</f>
        <v>0</v>
      </c>
      <c r="AB27" s="55">
        <f>SUMIFS('Awards Summary'!$H:$H,'Awards Summary'!$B:$B,$C27,'Awards Summary'!$J:$J,"CNYRTA")</f>
        <v>0</v>
      </c>
      <c r="AC27" s="55">
        <f>SUMIFS('Disbursements Summary'!$E:$E,'Disbursements Summary'!$C:$C,$C27,'Disbursements Summary'!$A:$A,"CNYRTA")</f>
        <v>0</v>
      </c>
      <c r="AD27" s="55">
        <f>SUMIFS('Awards Summary'!$H:$H,'Awards Summary'!$B:$B,$C27,'Awards Summary'!$J:$J,"CUCF")</f>
        <v>0</v>
      </c>
      <c r="AE27" s="55">
        <f>SUMIFS('Disbursements Summary'!$E:$E,'Disbursements Summary'!$C:$C,$C27,'Disbursements Summary'!$A:$A,"CUCF")</f>
        <v>0</v>
      </c>
      <c r="AF27" s="55">
        <f>SUMIFS('Awards Summary'!$H:$H,'Awards Summary'!$B:$B,$C27,'Awards Summary'!$J:$J,"CUNY")</f>
        <v>0</v>
      </c>
      <c r="AG27" s="55">
        <f>SUMIFS('Disbursements Summary'!$E:$E,'Disbursements Summary'!$C:$C,$C27,'Disbursements Summary'!$A:$A,"CUNY")</f>
        <v>0</v>
      </c>
      <c r="AH27" s="55">
        <f>SUMIFS('Awards Summary'!$H:$H,'Awards Summary'!$B:$B,$C27,'Awards Summary'!$J:$J,"ARTS")</f>
        <v>0</v>
      </c>
      <c r="AI27" s="55">
        <f>SUMIFS('Disbursements Summary'!$E:$E,'Disbursements Summary'!$C:$C,$C27,'Disbursements Summary'!$A:$A,"ARTS")</f>
        <v>0</v>
      </c>
      <c r="AJ27" s="55">
        <f>SUMIFS('Awards Summary'!$H:$H,'Awards Summary'!$B:$B,$C27,'Awards Summary'!$J:$J,"AG&amp;MKTS")</f>
        <v>0</v>
      </c>
      <c r="AK27" s="55">
        <f>SUMIFS('Disbursements Summary'!$E:$E,'Disbursements Summary'!$C:$C,$C27,'Disbursements Summary'!$A:$A,"AG&amp;MKTS")</f>
        <v>0</v>
      </c>
      <c r="AL27" s="55">
        <f>SUMIFS('Awards Summary'!$H:$H,'Awards Summary'!$B:$B,$C27,'Awards Summary'!$J:$J,"CS")</f>
        <v>0</v>
      </c>
      <c r="AM27" s="55">
        <f>SUMIFS('Disbursements Summary'!$E:$E,'Disbursements Summary'!$C:$C,$C27,'Disbursements Summary'!$A:$A,"CS")</f>
        <v>0</v>
      </c>
      <c r="AN27" s="55">
        <f>SUMIFS('Awards Summary'!$H:$H,'Awards Summary'!$B:$B,$C27,'Awards Summary'!$J:$J,"DOCCS")</f>
        <v>0</v>
      </c>
      <c r="AO27" s="55">
        <f>SUMIFS('Disbursements Summary'!$E:$E,'Disbursements Summary'!$C:$C,$C27,'Disbursements Summary'!$A:$A,"DOCCS")</f>
        <v>0</v>
      </c>
      <c r="AP27" s="55">
        <f>SUMIFS('Awards Summary'!$H:$H,'Awards Summary'!$B:$B,$C27,'Awards Summary'!$J:$J,"DED")</f>
        <v>0</v>
      </c>
      <c r="AQ27" s="55">
        <f>SUMIFS('Disbursements Summary'!$E:$E,'Disbursements Summary'!$C:$C,$C27,'Disbursements Summary'!$A:$A,"DED")</f>
        <v>0</v>
      </c>
      <c r="AR27" s="55">
        <f>SUMIFS('Awards Summary'!$H:$H,'Awards Summary'!$B:$B,$C27,'Awards Summary'!$J:$J,"DEC")</f>
        <v>0</v>
      </c>
      <c r="AS27" s="55">
        <f>SUMIFS('Disbursements Summary'!$E:$E,'Disbursements Summary'!$C:$C,$C27,'Disbursements Summary'!$A:$A,"DEC")</f>
        <v>0</v>
      </c>
      <c r="AT27" s="55">
        <f>SUMIFS('Awards Summary'!$H:$H,'Awards Summary'!$B:$B,$C27,'Awards Summary'!$J:$J,"DFS")</f>
        <v>0</v>
      </c>
      <c r="AU27" s="55">
        <f>SUMIFS('Disbursements Summary'!$E:$E,'Disbursements Summary'!$C:$C,$C27,'Disbursements Summary'!$A:$A,"DFS")</f>
        <v>0</v>
      </c>
      <c r="AV27" s="55">
        <f>SUMIFS('Awards Summary'!$H:$H,'Awards Summary'!$B:$B,$C27,'Awards Summary'!$J:$J,"DOH")</f>
        <v>0</v>
      </c>
      <c r="AW27" s="55">
        <f>SUMIFS('Disbursements Summary'!$E:$E,'Disbursements Summary'!$C:$C,$C27,'Disbursements Summary'!$A:$A,"DOH")</f>
        <v>0</v>
      </c>
      <c r="AX27" s="55">
        <f>SUMIFS('Awards Summary'!$H:$H,'Awards Summary'!$B:$B,$C27,'Awards Summary'!$J:$J,"DOL")</f>
        <v>0</v>
      </c>
      <c r="AY27" s="55">
        <f>SUMIFS('Disbursements Summary'!$E:$E,'Disbursements Summary'!$C:$C,$C27,'Disbursements Summary'!$A:$A,"DOL")</f>
        <v>0</v>
      </c>
      <c r="AZ27" s="55">
        <f>SUMIFS('Awards Summary'!$H:$H,'Awards Summary'!$B:$B,$C27,'Awards Summary'!$J:$J,"DMV")</f>
        <v>0</v>
      </c>
      <c r="BA27" s="55">
        <f>SUMIFS('Disbursements Summary'!$E:$E,'Disbursements Summary'!$C:$C,$C27,'Disbursements Summary'!$A:$A,"DMV")</f>
        <v>0</v>
      </c>
      <c r="BB27" s="55">
        <f>SUMIFS('Awards Summary'!$H:$H,'Awards Summary'!$B:$B,$C27,'Awards Summary'!$J:$J,"DPS")</f>
        <v>0</v>
      </c>
      <c r="BC27" s="55">
        <f>SUMIFS('Disbursements Summary'!$E:$E,'Disbursements Summary'!$C:$C,$C27,'Disbursements Summary'!$A:$A,"DPS")</f>
        <v>0</v>
      </c>
      <c r="BD27" s="55">
        <f>SUMIFS('Awards Summary'!$H:$H,'Awards Summary'!$B:$B,$C27,'Awards Summary'!$J:$J,"DOS")</f>
        <v>0</v>
      </c>
      <c r="BE27" s="55">
        <f>SUMIFS('Disbursements Summary'!$E:$E,'Disbursements Summary'!$C:$C,$C27,'Disbursements Summary'!$A:$A,"DOS")</f>
        <v>0</v>
      </c>
      <c r="BF27" s="55">
        <f>SUMIFS('Awards Summary'!$H:$H,'Awards Summary'!$B:$B,$C27,'Awards Summary'!$J:$J,"TAX")</f>
        <v>0</v>
      </c>
      <c r="BG27" s="55">
        <f>SUMIFS('Disbursements Summary'!$E:$E,'Disbursements Summary'!$C:$C,$C27,'Disbursements Summary'!$A:$A,"TAX")</f>
        <v>0</v>
      </c>
      <c r="BH27" s="55">
        <f>SUMIFS('Awards Summary'!$H:$H,'Awards Summary'!$B:$B,$C27,'Awards Summary'!$J:$J,"DOT")</f>
        <v>0</v>
      </c>
      <c r="BI27" s="55">
        <f>SUMIFS('Disbursements Summary'!$E:$E,'Disbursements Summary'!$C:$C,$C27,'Disbursements Summary'!$A:$A,"DOT")</f>
        <v>0</v>
      </c>
      <c r="BJ27" s="55">
        <f>SUMIFS('Awards Summary'!$H:$H,'Awards Summary'!$B:$B,$C27,'Awards Summary'!$J:$J,"DANC")</f>
        <v>0</v>
      </c>
      <c r="BK27" s="55">
        <f>SUMIFS('Disbursements Summary'!$E:$E,'Disbursements Summary'!$C:$C,$C27,'Disbursements Summary'!$A:$A,"DANC")</f>
        <v>0</v>
      </c>
      <c r="BL27" s="55">
        <f>SUMIFS('Awards Summary'!$H:$H,'Awards Summary'!$B:$B,$C27,'Awards Summary'!$J:$J,"DOB")</f>
        <v>0</v>
      </c>
      <c r="BM27" s="55">
        <f>SUMIFS('Disbursements Summary'!$E:$E,'Disbursements Summary'!$C:$C,$C27,'Disbursements Summary'!$A:$A,"DOB")</f>
        <v>0</v>
      </c>
      <c r="BN27" s="55">
        <f>SUMIFS('Awards Summary'!$H:$H,'Awards Summary'!$B:$B,$C27,'Awards Summary'!$J:$J,"DCJS")</f>
        <v>0</v>
      </c>
      <c r="BO27" s="55">
        <f>SUMIFS('Disbursements Summary'!$E:$E,'Disbursements Summary'!$C:$C,$C27,'Disbursements Summary'!$A:$A,"DCJS")</f>
        <v>0</v>
      </c>
      <c r="BP27" s="55">
        <f>SUMIFS('Awards Summary'!$H:$H,'Awards Summary'!$B:$B,$C27,'Awards Summary'!$J:$J,"DHSES")</f>
        <v>0</v>
      </c>
      <c r="BQ27" s="55">
        <f>SUMIFS('Disbursements Summary'!$E:$E,'Disbursements Summary'!$C:$C,$C27,'Disbursements Summary'!$A:$A,"DHSES")</f>
        <v>0</v>
      </c>
      <c r="BR27" s="55">
        <f>SUMIFS('Awards Summary'!$H:$H,'Awards Summary'!$B:$B,$C27,'Awards Summary'!$J:$J,"DHR")</f>
        <v>0</v>
      </c>
      <c r="BS27" s="55">
        <f>SUMIFS('Disbursements Summary'!$E:$E,'Disbursements Summary'!$C:$C,$C27,'Disbursements Summary'!$A:$A,"DHR")</f>
        <v>0</v>
      </c>
      <c r="BT27" s="55">
        <f>SUMIFS('Awards Summary'!$H:$H,'Awards Summary'!$B:$B,$C27,'Awards Summary'!$J:$J,"DMNA")</f>
        <v>0</v>
      </c>
      <c r="BU27" s="55">
        <f>SUMIFS('Disbursements Summary'!$E:$E,'Disbursements Summary'!$C:$C,$C27,'Disbursements Summary'!$A:$A,"DMNA")</f>
        <v>0</v>
      </c>
      <c r="BV27" s="55">
        <f>SUMIFS('Awards Summary'!$H:$H,'Awards Summary'!$B:$B,$C27,'Awards Summary'!$J:$J,"TROOPERS")</f>
        <v>0</v>
      </c>
      <c r="BW27" s="55">
        <f>SUMIFS('Disbursements Summary'!$E:$E,'Disbursements Summary'!$C:$C,$C27,'Disbursements Summary'!$A:$A,"TROOPERS")</f>
        <v>0</v>
      </c>
      <c r="BX27" s="55">
        <f>SUMIFS('Awards Summary'!$H:$H,'Awards Summary'!$B:$B,$C27,'Awards Summary'!$J:$J,"DVA")</f>
        <v>0</v>
      </c>
      <c r="BY27" s="55">
        <f>SUMIFS('Disbursements Summary'!$E:$E,'Disbursements Summary'!$C:$C,$C27,'Disbursements Summary'!$A:$A,"DVA")</f>
        <v>0</v>
      </c>
      <c r="BZ27" s="55">
        <f>SUMIFS('Awards Summary'!$H:$H,'Awards Summary'!$B:$B,$C27,'Awards Summary'!$J:$J,"DASNY")</f>
        <v>0</v>
      </c>
      <c r="CA27" s="55">
        <f>SUMIFS('Disbursements Summary'!$E:$E,'Disbursements Summary'!$C:$C,$C27,'Disbursements Summary'!$A:$A,"DASNY")</f>
        <v>0</v>
      </c>
      <c r="CB27" s="55">
        <f>SUMIFS('Awards Summary'!$H:$H,'Awards Summary'!$B:$B,$C27,'Awards Summary'!$J:$J,"EGG")</f>
        <v>0</v>
      </c>
      <c r="CC27" s="55">
        <f>SUMIFS('Disbursements Summary'!$E:$E,'Disbursements Summary'!$C:$C,$C27,'Disbursements Summary'!$A:$A,"EGG")</f>
        <v>0</v>
      </c>
      <c r="CD27" s="55">
        <f>SUMIFS('Awards Summary'!$H:$H,'Awards Summary'!$B:$B,$C27,'Awards Summary'!$J:$J,"ESD")</f>
        <v>0</v>
      </c>
      <c r="CE27" s="55">
        <f>SUMIFS('Disbursements Summary'!$E:$E,'Disbursements Summary'!$C:$C,$C27,'Disbursements Summary'!$A:$A,"ESD")</f>
        <v>0</v>
      </c>
      <c r="CF27" s="55">
        <f>SUMIFS('Awards Summary'!$H:$H,'Awards Summary'!$B:$B,$C27,'Awards Summary'!$J:$J,"EFC")</f>
        <v>0</v>
      </c>
      <c r="CG27" s="55">
        <f>SUMIFS('Disbursements Summary'!$E:$E,'Disbursements Summary'!$C:$C,$C27,'Disbursements Summary'!$A:$A,"EFC")</f>
        <v>0</v>
      </c>
      <c r="CH27" s="55">
        <f>SUMIFS('Awards Summary'!$H:$H,'Awards Summary'!$B:$B,$C27,'Awards Summary'!$J:$J,"ECFSA")</f>
        <v>0</v>
      </c>
      <c r="CI27" s="55">
        <f>SUMIFS('Disbursements Summary'!$E:$E,'Disbursements Summary'!$C:$C,$C27,'Disbursements Summary'!$A:$A,"ECFSA")</f>
        <v>0</v>
      </c>
      <c r="CJ27" s="55">
        <f>SUMIFS('Awards Summary'!$H:$H,'Awards Summary'!$B:$B,$C27,'Awards Summary'!$J:$J,"ECMC")</f>
        <v>0</v>
      </c>
      <c r="CK27" s="55">
        <f>SUMIFS('Disbursements Summary'!$E:$E,'Disbursements Summary'!$C:$C,$C27,'Disbursements Summary'!$A:$A,"ECMC")</f>
        <v>0</v>
      </c>
      <c r="CL27" s="55">
        <f>SUMIFS('Awards Summary'!$H:$H,'Awards Summary'!$B:$B,$C27,'Awards Summary'!$J:$J,"CHAMBER")</f>
        <v>0</v>
      </c>
      <c r="CM27" s="55">
        <f>SUMIFS('Disbursements Summary'!$E:$E,'Disbursements Summary'!$C:$C,$C27,'Disbursements Summary'!$A:$A,"CHAMBER")</f>
        <v>0</v>
      </c>
      <c r="CN27" s="55">
        <f>SUMIFS('Awards Summary'!$H:$H,'Awards Summary'!$B:$B,$C27,'Awards Summary'!$J:$J,"GAMING")</f>
        <v>0</v>
      </c>
      <c r="CO27" s="55">
        <f>SUMIFS('Disbursements Summary'!$E:$E,'Disbursements Summary'!$C:$C,$C27,'Disbursements Summary'!$A:$A,"GAMING")</f>
        <v>0</v>
      </c>
      <c r="CP27" s="55">
        <f>SUMIFS('Awards Summary'!$H:$H,'Awards Summary'!$B:$B,$C27,'Awards Summary'!$J:$J,"GOER")</f>
        <v>0</v>
      </c>
      <c r="CQ27" s="55">
        <f>SUMIFS('Disbursements Summary'!$E:$E,'Disbursements Summary'!$C:$C,$C27,'Disbursements Summary'!$A:$A,"GOER")</f>
        <v>0</v>
      </c>
      <c r="CR27" s="55">
        <f>SUMIFS('Awards Summary'!$H:$H,'Awards Summary'!$B:$B,$C27,'Awards Summary'!$J:$J,"HESC")</f>
        <v>0</v>
      </c>
      <c r="CS27" s="55">
        <f>SUMIFS('Disbursements Summary'!$E:$E,'Disbursements Summary'!$C:$C,$C27,'Disbursements Summary'!$A:$A,"HESC")</f>
        <v>0</v>
      </c>
      <c r="CT27" s="55">
        <f>SUMIFS('Awards Summary'!$H:$H,'Awards Summary'!$B:$B,$C27,'Awards Summary'!$J:$J,"GOSR")</f>
        <v>0</v>
      </c>
      <c r="CU27" s="55">
        <f>SUMIFS('Disbursements Summary'!$E:$E,'Disbursements Summary'!$C:$C,$C27,'Disbursements Summary'!$A:$A,"GOSR")</f>
        <v>0</v>
      </c>
      <c r="CV27" s="55">
        <f>SUMIFS('Awards Summary'!$H:$H,'Awards Summary'!$B:$B,$C27,'Awards Summary'!$J:$J,"HRPT")</f>
        <v>0</v>
      </c>
      <c r="CW27" s="55">
        <f>SUMIFS('Disbursements Summary'!$E:$E,'Disbursements Summary'!$C:$C,$C27,'Disbursements Summary'!$A:$A,"HRPT")</f>
        <v>0</v>
      </c>
      <c r="CX27" s="55">
        <f>SUMIFS('Awards Summary'!$H:$H,'Awards Summary'!$B:$B,$C27,'Awards Summary'!$J:$J,"HRBRRD")</f>
        <v>0</v>
      </c>
      <c r="CY27" s="55">
        <f>SUMIFS('Disbursements Summary'!$E:$E,'Disbursements Summary'!$C:$C,$C27,'Disbursements Summary'!$A:$A,"HRBRRD")</f>
        <v>0</v>
      </c>
      <c r="CZ27" s="55">
        <f>SUMIFS('Awards Summary'!$H:$H,'Awards Summary'!$B:$B,$C27,'Awards Summary'!$J:$J,"ITS")</f>
        <v>0</v>
      </c>
      <c r="DA27" s="55">
        <f>SUMIFS('Disbursements Summary'!$E:$E,'Disbursements Summary'!$C:$C,$C27,'Disbursements Summary'!$A:$A,"ITS")</f>
        <v>0</v>
      </c>
      <c r="DB27" s="55">
        <f>SUMIFS('Awards Summary'!$H:$H,'Awards Summary'!$B:$B,$C27,'Awards Summary'!$J:$J,"JAVITS")</f>
        <v>0</v>
      </c>
      <c r="DC27" s="55">
        <f>SUMIFS('Disbursements Summary'!$E:$E,'Disbursements Summary'!$C:$C,$C27,'Disbursements Summary'!$A:$A,"JAVITS")</f>
        <v>0</v>
      </c>
      <c r="DD27" s="55">
        <f>SUMIFS('Awards Summary'!$H:$H,'Awards Summary'!$B:$B,$C27,'Awards Summary'!$J:$J,"JCOPE")</f>
        <v>0</v>
      </c>
      <c r="DE27" s="55">
        <f>SUMIFS('Disbursements Summary'!$E:$E,'Disbursements Summary'!$C:$C,$C27,'Disbursements Summary'!$A:$A,"JCOPE")</f>
        <v>0</v>
      </c>
      <c r="DF27" s="55">
        <f>SUMIFS('Awards Summary'!$H:$H,'Awards Summary'!$B:$B,$C27,'Awards Summary'!$J:$J,"JUSTICE")</f>
        <v>0</v>
      </c>
      <c r="DG27" s="55">
        <f>SUMIFS('Disbursements Summary'!$E:$E,'Disbursements Summary'!$C:$C,$C27,'Disbursements Summary'!$A:$A,"JUSTICE")</f>
        <v>0</v>
      </c>
      <c r="DH27" s="55">
        <f>SUMIFS('Awards Summary'!$H:$H,'Awards Summary'!$B:$B,$C27,'Awards Summary'!$J:$J,"LCWSA")</f>
        <v>0</v>
      </c>
      <c r="DI27" s="55">
        <f>SUMIFS('Disbursements Summary'!$E:$E,'Disbursements Summary'!$C:$C,$C27,'Disbursements Summary'!$A:$A,"LCWSA")</f>
        <v>0</v>
      </c>
      <c r="DJ27" s="55">
        <f>SUMIFS('Awards Summary'!$H:$H,'Awards Summary'!$B:$B,$C27,'Awards Summary'!$J:$J,"LIPA")</f>
        <v>0</v>
      </c>
      <c r="DK27" s="55">
        <f>SUMIFS('Disbursements Summary'!$E:$E,'Disbursements Summary'!$C:$C,$C27,'Disbursements Summary'!$A:$A,"LIPA")</f>
        <v>0</v>
      </c>
      <c r="DL27" s="55">
        <f>SUMIFS('Awards Summary'!$H:$H,'Awards Summary'!$B:$B,$C27,'Awards Summary'!$J:$J,"MTA")</f>
        <v>0</v>
      </c>
      <c r="DM27" s="55">
        <f>SUMIFS('Disbursements Summary'!$E:$E,'Disbursements Summary'!$C:$C,$C27,'Disbursements Summary'!$A:$A,"MTA")</f>
        <v>0</v>
      </c>
      <c r="DN27" s="55">
        <f>SUMIFS('Awards Summary'!$H:$H,'Awards Summary'!$B:$B,$C27,'Awards Summary'!$J:$J,"NIFA")</f>
        <v>0</v>
      </c>
      <c r="DO27" s="55">
        <f>SUMIFS('Disbursements Summary'!$E:$E,'Disbursements Summary'!$C:$C,$C27,'Disbursements Summary'!$A:$A,"NIFA")</f>
        <v>0</v>
      </c>
      <c r="DP27" s="55">
        <f>SUMIFS('Awards Summary'!$H:$H,'Awards Summary'!$B:$B,$C27,'Awards Summary'!$J:$J,"NHCC")</f>
        <v>0</v>
      </c>
      <c r="DQ27" s="55">
        <f>SUMIFS('Disbursements Summary'!$E:$E,'Disbursements Summary'!$C:$C,$C27,'Disbursements Summary'!$A:$A,"NHCC")</f>
        <v>0</v>
      </c>
      <c r="DR27" s="55">
        <f>SUMIFS('Awards Summary'!$H:$H,'Awards Summary'!$B:$B,$C27,'Awards Summary'!$J:$J,"NHT")</f>
        <v>0</v>
      </c>
      <c r="DS27" s="55">
        <f>SUMIFS('Disbursements Summary'!$E:$E,'Disbursements Summary'!$C:$C,$C27,'Disbursements Summary'!$A:$A,"NHT")</f>
        <v>0</v>
      </c>
      <c r="DT27" s="55">
        <f>SUMIFS('Awards Summary'!$H:$H,'Awards Summary'!$B:$B,$C27,'Awards Summary'!$J:$J,"NYPA")</f>
        <v>0</v>
      </c>
      <c r="DU27" s="55">
        <f>SUMIFS('Disbursements Summary'!$E:$E,'Disbursements Summary'!$C:$C,$C27,'Disbursements Summary'!$A:$A,"NYPA")</f>
        <v>0</v>
      </c>
      <c r="DV27" s="55">
        <f>SUMIFS('Awards Summary'!$H:$H,'Awards Summary'!$B:$B,$C27,'Awards Summary'!$J:$J,"NYSBA")</f>
        <v>0</v>
      </c>
      <c r="DW27" s="55">
        <f>SUMIFS('Disbursements Summary'!$E:$E,'Disbursements Summary'!$C:$C,$C27,'Disbursements Summary'!$A:$A,"NYSBA")</f>
        <v>0</v>
      </c>
      <c r="DX27" s="55">
        <f>SUMIFS('Awards Summary'!$H:$H,'Awards Summary'!$B:$B,$C27,'Awards Summary'!$J:$J,"NYSERDA")</f>
        <v>0</v>
      </c>
      <c r="DY27" s="55">
        <f>SUMIFS('Disbursements Summary'!$E:$E,'Disbursements Summary'!$C:$C,$C27,'Disbursements Summary'!$A:$A,"NYSERDA")</f>
        <v>0</v>
      </c>
      <c r="DZ27" s="55">
        <f>SUMIFS('Awards Summary'!$H:$H,'Awards Summary'!$B:$B,$C27,'Awards Summary'!$J:$J,"DHCR")</f>
        <v>0</v>
      </c>
      <c r="EA27" s="55">
        <f>SUMIFS('Disbursements Summary'!$E:$E,'Disbursements Summary'!$C:$C,$C27,'Disbursements Summary'!$A:$A,"DHCR")</f>
        <v>0</v>
      </c>
      <c r="EB27" s="55">
        <f>SUMIFS('Awards Summary'!$H:$H,'Awards Summary'!$B:$B,$C27,'Awards Summary'!$J:$J,"HFA")</f>
        <v>0</v>
      </c>
      <c r="EC27" s="55">
        <f>SUMIFS('Disbursements Summary'!$E:$E,'Disbursements Summary'!$C:$C,$C27,'Disbursements Summary'!$A:$A,"HFA")</f>
        <v>0</v>
      </c>
      <c r="ED27" s="55">
        <f>SUMIFS('Awards Summary'!$H:$H,'Awards Summary'!$B:$B,$C27,'Awards Summary'!$J:$J,"NYSIF")</f>
        <v>0</v>
      </c>
      <c r="EE27" s="55">
        <f>SUMIFS('Disbursements Summary'!$E:$E,'Disbursements Summary'!$C:$C,$C27,'Disbursements Summary'!$A:$A,"NYSIF")</f>
        <v>0</v>
      </c>
      <c r="EF27" s="55">
        <f>SUMIFS('Awards Summary'!$H:$H,'Awards Summary'!$B:$B,$C27,'Awards Summary'!$J:$J,"NYBREDS")</f>
        <v>0</v>
      </c>
      <c r="EG27" s="55">
        <f>SUMIFS('Disbursements Summary'!$E:$E,'Disbursements Summary'!$C:$C,$C27,'Disbursements Summary'!$A:$A,"NYBREDS")</f>
        <v>0</v>
      </c>
      <c r="EH27" s="55">
        <f>SUMIFS('Awards Summary'!$H:$H,'Awards Summary'!$B:$B,$C27,'Awards Summary'!$J:$J,"NYSTA")</f>
        <v>0</v>
      </c>
      <c r="EI27" s="55">
        <f>SUMIFS('Disbursements Summary'!$E:$E,'Disbursements Summary'!$C:$C,$C27,'Disbursements Summary'!$A:$A,"NYSTA")</f>
        <v>0</v>
      </c>
      <c r="EJ27" s="55">
        <f>SUMIFS('Awards Summary'!$H:$H,'Awards Summary'!$B:$B,$C27,'Awards Summary'!$J:$J,"NFWB")</f>
        <v>0</v>
      </c>
      <c r="EK27" s="55">
        <f>SUMIFS('Disbursements Summary'!$E:$E,'Disbursements Summary'!$C:$C,$C27,'Disbursements Summary'!$A:$A,"NFWB")</f>
        <v>0</v>
      </c>
      <c r="EL27" s="55">
        <f>SUMIFS('Awards Summary'!$H:$H,'Awards Summary'!$B:$B,$C27,'Awards Summary'!$J:$J,"NFTA")</f>
        <v>0</v>
      </c>
      <c r="EM27" s="55">
        <f>SUMIFS('Disbursements Summary'!$E:$E,'Disbursements Summary'!$C:$C,$C27,'Disbursements Summary'!$A:$A,"NFTA")</f>
        <v>0</v>
      </c>
      <c r="EN27" s="55">
        <f>SUMIFS('Awards Summary'!$H:$H,'Awards Summary'!$B:$B,$C27,'Awards Summary'!$J:$J,"OPWDD")</f>
        <v>0</v>
      </c>
      <c r="EO27" s="55">
        <f>SUMIFS('Disbursements Summary'!$E:$E,'Disbursements Summary'!$C:$C,$C27,'Disbursements Summary'!$A:$A,"OPWDD")</f>
        <v>0</v>
      </c>
      <c r="EP27" s="55">
        <f>SUMIFS('Awards Summary'!$H:$H,'Awards Summary'!$B:$B,$C27,'Awards Summary'!$J:$J,"AGING")</f>
        <v>0</v>
      </c>
      <c r="EQ27" s="55">
        <f>SUMIFS('Disbursements Summary'!$E:$E,'Disbursements Summary'!$C:$C,$C27,'Disbursements Summary'!$A:$A,"AGING")</f>
        <v>0</v>
      </c>
      <c r="ER27" s="55">
        <f>SUMIFS('Awards Summary'!$H:$H,'Awards Summary'!$B:$B,$C27,'Awards Summary'!$J:$J,"OPDV")</f>
        <v>0</v>
      </c>
      <c r="ES27" s="55">
        <f>SUMIFS('Disbursements Summary'!$E:$E,'Disbursements Summary'!$C:$C,$C27,'Disbursements Summary'!$A:$A,"OPDV")</f>
        <v>0</v>
      </c>
      <c r="ET27" s="55">
        <f>SUMIFS('Awards Summary'!$H:$H,'Awards Summary'!$B:$B,$C27,'Awards Summary'!$J:$J,"OVS")</f>
        <v>0</v>
      </c>
      <c r="EU27" s="55">
        <f>SUMIFS('Disbursements Summary'!$E:$E,'Disbursements Summary'!$C:$C,$C27,'Disbursements Summary'!$A:$A,"OVS")</f>
        <v>0</v>
      </c>
      <c r="EV27" s="55">
        <f>SUMIFS('Awards Summary'!$H:$H,'Awards Summary'!$B:$B,$C27,'Awards Summary'!$J:$J,"OASAS")</f>
        <v>0</v>
      </c>
      <c r="EW27" s="55">
        <f>SUMIFS('Disbursements Summary'!$E:$E,'Disbursements Summary'!$C:$C,$C27,'Disbursements Summary'!$A:$A,"OASAS")</f>
        <v>0</v>
      </c>
      <c r="EX27" s="55">
        <f>SUMIFS('Awards Summary'!$H:$H,'Awards Summary'!$B:$B,$C27,'Awards Summary'!$J:$J,"OCFS")</f>
        <v>0</v>
      </c>
      <c r="EY27" s="55">
        <f>SUMIFS('Disbursements Summary'!$E:$E,'Disbursements Summary'!$C:$C,$C27,'Disbursements Summary'!$A:$A,"OCFS")</f>
        <v>0</v>
      </c>
      <c r="EZ27" s="55">
        <f>SUMIFS('Awards Summary'!$H:$H,'Awards Summary'!$B:$B,$C27,'Awards Summary'!$J:$J,"OGS")</f>
        <v>0</v>
      </c>
      <c r="FA27" s="55">
        <f>SUMIFS('Disbursements Summary'!$E:$E,'Disbursements Summary'!$C:$C,$C27,'Disbursements Summary'!$A:$A,"OGS")</f>
        <v>0</v>
      </c>
      <c r="FB27" s="55">
        <f>SUMIFS('Awards Summary'!$H:$H,'Awards Summary'!$B:$B,$C27,'Awards Summary'!$J:$J,"OMH")</f>
        <v>0</v>
      </c>
      <c r="FC27" s="55">
        <f>SUMIFS('Disbursements Summary'!$E:$E,'Disbursements Summary'!$C:$C,$C27,'Disbursements Summary'!$A:$A,"OMH")</f>
        <v>0</v>
      </c>
      <c r="FD27" s="55">
        <f>SUMIFS('Awards Summary'!$H:$H,'Awards Summary'!$B:$B,$C27,'Awards Summary'!$J:$J,"PARKS")</f>
        <v>0</v>
      </c>
      <c r="FE27" s="55">
        <f>SUMIFS('Disbursements Summary'!$E:$E,'Disbursements Summary'!$C:$C,$C27,'Disbursements Summary'!$A:$A,"PARKS")</f>
        <v>0</v>
      </c>
      <c r="FF27" s="55">
        <f>SUMIFS('Awards Summary'!$H:$H,'Awards Summary'!$B:$B,$C27,'Awards Summary'!$J:$J,"OTDA")</f>
        <v>0</v>
      </c>
      <c r="FG27" s="55">
        <f>SUMIFS('Disbursements Summary'!$E:$E,'Disbursements Summary'!$C:$C,$C27,'Disbursements Summary'!$A:$A,"OTDA")</f>
        <v>0</v>
      </c>
      <c r="FH27" s="55">
        <f>SUMIFS('Awards Summary'!$H:$H,'Awards Summary'!$B:$B,$C27,'Awards Summary'!$J:$J,"OIG")</f>
        <v>0</v>
      </c>
      <c r="FI27" s="55">
        <f>SUMIFS('Disbursements Summary'!$E:$E,'Disbursements Summary'!$C:$C,$C27,'Disbursements Summary'!$A:$A,"OIG")</f>
        <v>0</v>
      </c>
      <c r="FJ27" s="55">
        <f>SUMIFS('Awards Summary'!$H:$H,'Awards Summary'!$B:$B,$C27,'Awards Summary'!$J:$J,"OMIG")</f>
        <v>0</v>
      </c>
      <c r="FK27" s="55">
        <f>SUMIFS('Disbursements Summary'!$E:$E,'Disbursements Summary'!$C:$C,$C27,'Disbursements Summary'!$A:$A,"OMIG")</f>
        <v>0</v>
      </c>
      <c r="FL27" s="55">
        <f>SUMIFS('Awards Summary'!$H:$H,'Awards Summary'!$B:$B,$C27,'Awards Summary'!$J:$J,"OSC")</f>
        <v>0</v>
      </c>
      <c r="FM27" s="55">
        <f>SUMIFS('Disbursements Summary'!$E:$E,'Disbursements Summary'!$C:$C,$C27,'Disbursements Summary'!$A:$A,"OSC")</f>
        <v>0</v>
      </c>
      <c r="FN27" s="55">
        <f>SUMIFS('Awards Summary'!$H:$H,'Awards Summary'!$B:$B,$C27,'Awards Summary'!$J:$J,"OWIG")</f>
        <v>0</v>
      </c>
      <c r="FO27" s="55">
        <f>SUMIFS('Disbursements Summary'!$E:$E,'Disbursements Summary'!$C:$C,$C27,'Disbursements Summary'!$A:$A,"OWIG")</f>
        <v>0</v>
      </c>
      <c r="FP27" s="55">
        <f>SUMIFS('Awards Summary'!$H:$H,'Awards Summary'!$B:$B,$C27,'Awards Summary'!$J:$J,"OGDEN")</f>
        <v>0</v>
      </c>
      <c r="FQ27" s="55">
        <f>SUMIFS('Disbursements Summary'!$E:$E,'Disbursements Summary'!$C:$C,$C27,'Disbursements Summary'!$A:$A,"OGDEN")</f>
        <v>0</v>
      </c>
      <c r="FR27" s="55">
        <f>SUMIFS('Awards Summary'!$H:$H,'Awards Summary'!$B:$B,$C27,'Awards Summary'!$J:$J,"ORDA")</f>
        <v>0</v>
      </c>
      <c r="FS27" s="55">
        <f>SUMIFS('Disbursements Summary'!$E:$E,'Disbursements Summary'!$C:$C,$C27,'Disbursements Summary'!$A:$A,"ORDA")</f>
        <v>0</v>
      </c>
      <c r="FT27" s="55">
        <f>SUMIFS('Awards Summary'!$H:$H,'Awards Summary'!$B:$B,$C27,'Awards Summary'!$J:$J,"OSWEGO")</f>
        <v>0</v>
      </c>
      <c r="FU27" s="55">
        <f>SUMIFS('Disbursements Summary'!$E:$E,'Disbursements Summary'!$C:$C,$C27,'Disbursements Summary'!$A:$A,"OSWEGO")</f>
        <v>0</v>
      </c>
      <c r="FV27" s="55">
        <f>SUMIFS('Awards Summary'!$H:$H,'Awards Summary'!$B:$B,$C27,'Awards Summary'!$J:$J,"PERB")</f>
        <v>0</v>
      </c>
      <c r="FW27" s="55">
        <f>SUMIFS('Disbursements Summary'!$E:$E,'Disbursements Summary'!$C:$C,$C27,'Disbursements Summary'!$A:$A,"PERB")</f>
        <v>0</v>
      </c>
      <c r="FX27" s="55">
        <f>SUMIFS('Awards Summary'!$H:$H,'Awards Summary'!$B:$B,$C27,'Awards Summary'!$J:$J,"RGRTA")</f>
        <v>0</v>
      </c>
      <c r="FY27" s="55">
        <f>SUMIFS('Disbursements Summary'!$E:$E,'Disbursements Summary'!$C:$C,$C27,'Disbursements Summary'!$A:$A,"RGRTA")</f>
        <v>0</v>
      </c>
      <c r="FZ27" s="55">
        <f>SUMIFS('Awards Summary'!$H:$H,'Awards Summary'!$B:$B,$C27,'Awards Summary'!$J:$J,"RIOC")</f>
        <v>0</v>
      </c>
      <c r="GA27" s="55">
        <f>SUMIFS('Disbursements Summary'!$E:$E,'Disbursements Summary'!$C:$C,$C27,'Disbursements Summary'!$A:$A,"RIOC")</f>
        <v>0</v>
      </c>
      <c r="GB27" s="55">
        <f>SUMIFS('Awards Summary'!$H:$H,'Awards Summary'!$B:$B,$C27,'Awards Summary'!$J:$J,"RPCI")</f>
        <v>0</v>
      </c>
      <c r="GC27" s="55">
        <f>SUMIFS('Disbursements Summary'!$E:$E,'Disbursements Summary'!$C:$C,$C27,'Disbursements Summary'!$A:$A,"RPCI")</f>
        <v>0</v>
      </c>
      <c r="GD27" s="55">
        <f>SUMIFS('Awards Summary'!$H:$H,'Awards Summary'!$B:$B,$C27,'Awards Summary'!$J:$J,"SMDA")</f>
        <v>0</v>
      </c>
      <c r="GE27" s="55">
        <f>SUMIFS('Disbursements Summary'!$E:$E,'Disbursements Summary'!$C:$C,$C27,'Disbursements Summary'!$A:$A,"SMDA")</f>
        <v>0</v>
      </c>
      <c r="GF27" s="55">
        <f>SUMIFS('Awards Summary'!$H:$H,'Awards Summary'!$B:$B,$C27,'Awards Summary'!$J:$J,"SCOC")</f>
        <v>0</v>
      </c>
      <c r="GG27" s="55">
        <f>SUMIFS('Disbursements Summary'!$E:$E,'Disbursements Summary'!$C:$C,$C27,'Disbursements Summary'!$A:$A,"SCOC")</f>
        <v>0</v>
      </c>
      <c r="GH27" s="55">
        <f>SUMIFS('Awards Summary'!$H:$H,'Awards Summary'!$B:$B,$C27,'Awards Summary'!$J:$J,"SUCF")</f>
        <v>0</v>
      </c>
      <c r="GI27" s="55">
        <f>SUMIFS('Disbursements Summary'!$E:$E,'Disbursements Summary'!$C:$C,$C27,'Disbursements Summary'!$A:$A,"SUCF")</f>
        <v>0</v>
      </c>
      <c r="GJ27" s="55">
        <f>SUMIFS('Awards Summary'!$H:$H,'Awards Summary'!$B:$B,$C27,'Awards Summary'!$J:$J,"SUNY")</f>
        <v>0</v>
      </c>
      <c r="GK27" s="55">
        <f>SUMIFS('Disbursements Summary'!$E:$E,'Disbursements Summary'!$C:$C,$C27,'Disbursements Summary'!$A:$A,"SUNY")</f>
        <v>0</v>
      </c>
      <c r="GL27" s="55">
        <f>SUMIFS('Awards Summary'!$H:$H,'Awards Summary'!$B:$B,$C27,'Awards Summary'!$J:$J,"SRAA")</f>
        <v>0</v>
      </c>
      <c r="GM27" s="55">
        <f>SUMIFS('Disbursements Summary'!$E:$E,'Disbursements Summary'!$C:$C,$C27,'Disbursements Summary'!$A:$A,"SRAA")</f>
        <v>0</v>
      </c>
      <c r="GN27" s="55">
        <f>SUMIFS('Awards Summary'!$H:$H,'Awards Summary'!$B:$B,$C27,'Awards Summary'!$J:$J,"UNDC")</f>
        <v>0</v>
      </c>
      <c r="GO27" s="55">
        <f>SUMIFS('Disbursements Summary'!$E:$E,'Disbursements Summary'!$C:$C,$C27,'Disbursements Summary'!$A:$A,"UNDC")</f>
        <v>0</v>
      </c>
      <c r="GP27" s="55">
        <f>SUMIFS('Awards Summary'!$H:$H,'Awards Summary'!$B:$B,$C27,'Awards Summary'!$J:$J,"MVWA")</f>
        <v>0</v>
      </c>
      <c r="GQ27" s="55">
        <f>SUMIFS('Disbursements Summary'!$E:$E,'Disbursements Summary'!$C:$C,$C27,'Disbursements Summary'!$A:$A,"MVWA")</f>
        <v>0</v>
      </c>
      <c r="GR27" s="55">
        <f>SUMIFS('Awards Summary'!$H:$H,'Awards Summary'!$B:$B,$C27,'Awards Summary'!$J:$J,"WMC")</f>
        <v>0</v>
      </c>
      <c r="GS27" s="55">
        <f>SUMIFS('Disbursements Summary'!$E:$E,'Disbursements Summary'!$C:$C,$C27,'Disbursements Summary'!$A:$A,"WMC")</f>
        <v>0</v>
      </c>
      <c r="GT27" s="55">
        <f>SUMIFS('Awards Summary'!$H:$H,'Awards Summary'!$B:$B,$C27,'Awards Summary'!$J:$J,"WCB")</f>
        <v>0</v>
      </c>
      <c r="GU27" s="55">
        <f>SUMIFS('Disbursements Summary'!$E:$E,'Disbursements Summary'!$C:$C,$C27,'Disbursements Summary'!$A:$A,"WCB")</f>
        <v>0</v>
      </c>
      <c r="GV27" s="32">
        <f t="shared" si="5"/>
        <v>0</v>
      </c>
      <c r="GW27" s="32">
        <f t="shared" si="6"/>
        <v>0</v>
      </c>
      <c r="GX27" s="30" t="b">
        <f t="shared" si="7"/>
        <v>1</v>
      </c>
      <c r="GY27" s="30" t="b">
        <f t="shared" si="8"/>
        <v>1</v>
      </c>
    </row>
    <row r="28" spans="1:207" s="30" customFormat="1" ht="15" customHeight="1">
      <c r="A28" s="22" t="str">
        <f t="shared" si="0"/>
        <v/>
      </c>
      <c r="B28" s="40" t="s">
        <v>114</v>
      </c>
      <c r="C28" s="16">
        <v>141046</v>
      </c>
      <c r="D28" s="26">
        <f>COUNTIF('Awards Summary'!B:B,"141046")</f>
        <v>0</v>
      </c>
      <c r="E28" s="45">
        <f>SUMIFS('Awards Summary'!H:H,'Awards Summary'!B:B,"141046")</f>
        <v>0</v>
      </c>
      <c r="F28" s="46">
        <f>SUMIFS('Disbursements Summary'!E:E,'Disbursements Summary'!C:C, "141046")</f>
        <v>0</v>
      </c>
      <c r="H28" s="55">
        <f>SUMIFS('Awards Summary'!$H:$H,'Awards Summary'!$B:$B,$C28,'Awards Summary'!$J:$J,"APA")</f>
        <v>0</v>
      </c>
      <c r="I28" s="55">
        <f>SUMIFS('Disbursements Summary'!$E:$E,'Disbursements Summary'!$C:$C,$C28,'Disbursements Summary'!$A:$A,"APA")</f>
        <v>0</v>
      </c>
      <c r="J28" s="55">
        <f>SUMIFS('Awards Summary'!$H:$H,'Awards Summary'!$B:$B,$C28,'Awards Summary'!$J:$J,"Ag&amp;Horse")</f>
        <v>0</v>
      </c>
      <c r="K28" s="55">
        <f>SUMIFS('Disbursements Summary'!$E:$E,'Disbursements Summary'!$C:$C,$C28,'Disbursements Summary'!$A:$A,"Ag&amp;Horse")</f>
        <v>0</v>
      </c>
      <c r="L28" s="55">
        <f>SUMIFS('Awards Summary'!$H:$H,'Awards Summary'!$B:$B,$C28,'Awards Summary'!$J:$J,"ACAA")</f>
        <v>0</v>
      </c>
      <c r="M28" s="55">
        <f>SUMIFS('Disbursements Summary'!$E:$E,'Disbursements Summary'!$C:$C,$C28,'Disbursements Summary'!$A:$A,"ACAA")</f>
        <v>0</v>
      </c>
      <c r="N28" s="55">
        <f>SUMIFS('Awards Summary'!$H:$H,'Awards Summary'!$B:$B,$C28,'Awards Summary'!$J:$J,"PortAlbany")</f>
        <v>0</v>
      </c>
      <c r="O28" s="55">
        <f>SUMIFS('Disbursements Summary'!$E:$E,'Disbursements Summary'!$C:$C,$C28,'Disbursements Summary'!$A:$A,"PortAlbany")</f>
        <v>0</v>
      </c>
      <c r="P28" s="55">
        <f>SUMIFS('Awards Summary'!$H:$H,'Awards Summary'!$B:$B,$C28,'Awards Summary'!$J:$J,"SLA")</f>
        <v>0</v>
      </c>
      <c r="Q28" s="55">
        <f>SUMIFS('Disbursements Summary'!$E:$E,'Disbursements Summary'!$C:$C,$C28,'Disbursements Summary'!$A:$A,"SLA")</f>
        <v>0</v>
      </c>
      <c r="R28" s="55">
        <f>SUMIFS('Awards Summary'!$H:$H,'Awards Summary'!$B:$B,$C28,'Awards Summary'!$J:$J,"BPCA")</f>
        <v>0</v>
      </c>
      <c r="S28" s="55">
        <f>SUMIFS('Disbursements Summary'!$E:$E,'Disbursements Summary'!$C:$C,$C28,'Disbursements Summary'!$A:$A,"BPCA")</f>
        <v>0</v>
      </c>
      <c r="T28" s="55">
        <f>SUMIFS('Awards Summary'!$H:$H,'Awards Summary'!$B:$B,$C28,'Awards Summary'!$J:$J,"ELECTIONS")</f>
        <v>0</v>
      </c>
      <c r="U28" s="55">
        <f>SUMIFS('Disbursements Summary'!$E:$E,'Disbursements Summary'!$C:$C,$C28,'Disbursements Summary'!$A:$A,"ELECTIONS")</f>
        <v>0</v>
      </c>
      <c r="V28" s="55">
        <f>SUMIFS('Awards Summary'!$H:$H,'Awards Summary'!$B:$B,$C28,'Awards Summary'!$J:$J,"BFSA")</f>
        <v>0</v>
      </c>
      <c r="W28" s="55">
        <f>SUMIFS('Disbursements Summary'!$E:$E,'Disbursements Summary'!$C:$C,$C28,'Disbursements Summary'!$A:$A,"BFSA")</f>
        <v>0</v>
      </c>
      <c r="X28" s="55">
        <f>SUMIFS('Awards Summary'!$H:$H,'Awards Summary'!$B:$B,$C28,'Awards Summary'!$J:$J,"CDTA")</f>
        <v>0</v>
      </c>
      <c r="Y28" s="55">
        <f>SUMIFS('Disbursements Summary'!$E:$E,'Disbursements Summary'!$C:$C,$C28,'Disbursements Summary'!$A:$A,"CDTA")</f>
        <v>0</v>
      </c>
      <c r="Z28" s="55">
        <f>SUMIFS('Awards Summary'!$H:$H,'Awards Summary'!$B:$B,$C28,'Awards Summary'!$J:$J,"CCWSA")</f>
        <v>0</v>
      </c>
      <c r="AA28" s="55">
        <f>SUMIFS('Disbursements Summary'!$E:$E,'Disbursements Summary'!$C:$C,$C28,'Disbursements Summary'!$A:$A,"CCWSA")</f>
        <v>0</v>
      </c>
      <c r="AB28" s="55">
        <f>SUMIFS('Awards Summary'!$H:$H,'Awards Summary'!$B:$B,$C28,'Awards Summary'!$J:$J,"CNYRTA")</f>
        <v>0</v>
      </c>
      <c r="AC28" s="55">
        <f>SUMIFS('Disbursements Summary'!$E:$E,'Disbursements Summary'!$C:$C,$C28,'Disbursements Summary'!$A:$A,"CNYRTA")</f>
        <v>0</v>
      </c>
      <c r="AD28" s="55">
        <f>SUMIFS('Awards Summary'!$H:$H,'Awards Summary'!$B:$B,$C28,'Awards Summary'!$J:$J,"CUCF")</f>
        <v>0</v>
      </c>
      <c r="AE28" s="55">
        <f>SUMIFS('Disbursements Summary'!$E:$E,'Disbursements Summary'!$C:$C,$C28,'Disbursements Summary'!$A:$A,"CUCF")</f>
        <v>0</v>
      </c>
      <c r="AF28" s="55">
        <f>SUMIFS('Awards Summary'!$H:$H,'Awards Summary'!$B:$B,$C28,'Awards Summary'!$J:$J,"CUNY")</f>
        <v>0</v>
      </c>
      <c r="AG28" s="55">
        <f>SUMIFS('Disbursements Summary'!$E:$E,'Disbursements Summary'!$C:$C,$C28,'Disbursements Summary'!$A:$A,"CUNY")</f>
        <v>0</v>
      </c>
      <c r="AH28" s="55">
        <f>SUMIFS('Awards Summary'!$H:$H,'Awards Summary'!$B:$B,$C28,'Awards Summary'!$J:$J,"ARTS")</f>
        <v>0</v>
      </c>
      <c r="AI28" s="55">
        <f>SUMIFS('Disbursements Summary'!$E:$E,'Disbursements Summary'!$C:$C,$C28,'Disbursements Summary'!$A:$A,"ARTS")</f>
        <v>0</v>
      </c>
      <c r="AJ28" s="55">
        <f>SUMIFS('Awards Summary'!$H:$H,'Awards Summary'!$B:$B,$C28,'Awards Summary'!$J:$J,"AG&amp;MKTS")</f>
        <v>0</v>
      </c>
      <c r="AK28" s="55">
        <f>SUMIFS('Disbursements Summary'!$E:$E,'Disbursements Summary'!$C:$C,$C28,'Disbursements Summary'!$A:$A,"AG&amp;MKTS")</f>
        <v>0</v>
      </c>
      <c r="AL28" s="55">
        <f>SUMIFS('Awards Summary'!$H:$H,'Awards Summary'!$B:$B,$C28,'Awards Summary'!$J:$J,"CS")</f>
        <v>0</v>
      </c>
      <c r="AM28" s="55">
        <f>SUMIFS('Disbursements Summary'!$E:$E,'Disbursements Summary'!$C:$C,$C28,'Disbursements Summary'!$A:$A,"CS")</f>
        <v>0</v>
      </c>
      <c r="AN28" s="55">
        <f>SUMIFS('Awards Summary'!$H:$H,'Awards Summary'!$B:$B,$C28,'Awards Summary'!$J:$J,"DOCCS")</f>
        <v>0</v>
      </c>
      <c r="AO28" s="55">
        <f>SUMIFS('Disbursements Summary'!$E:$E,'Disbursements Summary'!$C:$C,$C28,'Disbursements Summary'!$A:$A,"DOCCS")</f>
        <v>0</v>
      </c>
      <c r="AP28" s="55">
        <f>SUMIFS('Awards Summary'!$H:$H,'Awards Summary'!$B:$B,$C28,'Awards Summary'!$J:$J,"DED")</f>
        <v>0</v>
      </c>
      <c r="AQ28" s="55">
        <f>SUMIFS('Disbursements Summary'!$E:$E,'Disbursements Summary'!$C:$C,$C28,'Disbursements Summary'!$A:$A,"DED")</f>
        <v>0</v>
      </c>
      <c r="AR28" s="55">
        <f>SUMIFS('Awards Summary'!$H:$H,'Awards Summary'!$B:$B,$C28,'Awards Summary'!$J:$J,"DEC")</f>
        <v>0</v>
      </c>
      <c r="AS28" s="55">
        <f>SUMIFS('Disbursements Summary'!$E:$E,'Disbursements Summary'!$C:$C,$C28,'Disbursements Summary'!$A:$A,"DEC")</f>
        <v>0</v>
      </c>
      <c r="AT28" s="55">
        <f>SUMIFS('Awards Summary'!$H:$H,'Awards Summary'!$B:$B,$C28,'Awards Summary'!$J:$J,"DFS")</f>
        <v>0</v>
      </c>
      <c r="AU28" s="55">
        <f>SUMIFS('Disbursements Summary'!$E:$E,'Disbursements Summary'!$C:$C,$C28,'Disbursements Summary'!$A:$A,"DFS")</f>
        <v>0</v>
      </c>
      <c r="AV28" s="55">
        <f>SUMIFS('Awards Summary'!$H:$H,'Awards Summary'!$B:$B,$C28,'Awards Summary'!$J:$J,"DOH")</f>
        <v>0</v>
      </c>
      <c r="AW28" s="55">
        <f>SUMIFS('Disbursements Summary'!$E:$E,'Disbursements Summary'!$C:$C,$C28,'Disbursements Summary'!$A:$A,"DOH")</f>
        <v>0</v>
      </c>
      <c r="AX28" s="55">
        <f>SUMIFS('Awards Summary'!$H:$H,'Awards Summary'!$B:$B,$C28,'Awards Summary'!$J:$J,"DOL")</f>
        <v>0</v>
      </c>
      <c r="AY28" s="55">
        <f>SUMIFS('Disbursements Summary'!$E:$E,'Disbursements Summary'!$C:$C,$C28,'Disbursements Summary'!$A:$A,"DOL")</f>
        <v>0</v>
      </c>
      <c r="AZ28" s="55">
        <f>SUMIFS('Awards Summary'!$H:$H,'Awards Summary'!$B:$B,$C28,'Awards Summary'!$J:$J,"DMV")</f>
        <v>0</v>
      </c>
      <c r="BA28" s="55">
        <f>SUMIFS('Disbursements Summary'!$E:$E,'Disbursements Summary'!$C:$C,$C28,'Disbursements Summary'!$A:$A,"DMV")</f>
        <v>0</v>
      </c>
      <c r="BB28" s="55">
        <f>SUMIFS('Awards Summary'!$H:$H,'Awards Summary'!$B:$B,$C28,'Awards Summary'!$J:$J,"DPS")</f>
        <v>0</v>
      </c>
      <c r="BC28" s="55">
        <f>SUMIFS('Disbursements Summary'!$E:$E,'Disbursements Summary'!$C:$C,$C28,'Disbursements Summary'!$A:$A,"DPS")</f>
        <v>0</v>
      </c>
      <c r="BD28" s="55">
        <f>SUMIFS('Awards Summary'!$H:$H,'Awards Summary'!$B:$B,$C28,'Awards Summary'!$J:$J,"DOS")</f>
        <v>0</v>
      </c>
      <c r="BE28" s="55">
        <f>SUMIFS('Disbursements Summary'!$E:$E,'Disbursements Summary'!$C:$C,$C28,'Disbursements Summary'!$A:$A,"DOS")</f>
        <v>0</v>
      </c>
      <c r="BF28" s="55">
        <f>SUMIFS('Awards Summary'!$H:$H,'Awards Summary'!$B:$B,$C28,'Awards Summary'!$J:$J,"TAX")</f>
        <v>0</v>
      </c>
      <c r="BG28" s="55">
        <f>SUMIFS('Disbursements Summary'!$E:$E,'Disbursements Summary'!$C:$C,$C28,'Disbursements Summary'!$A:$A,"TAX")</f>
        <v>0</v>
      </c>
      <c r="BH28" s="55">
        <f>SUMIFS('Awards Summary'!$H:$H,'Awards Summary'!$B:$B,$C28,'Awards Summary'!$J:$J,"DOT")</f>
        <v>0</v>
      </c>
      <c r="BI28" s="55">
        <f>SUMIFS('Disbursements Summary'!$E:$E,'Disbursements Summary'!$C:$C,$C28,'Disbursements Summary'!$A:$A,"DOT")</f>
        <v>0</v>
      </c>
      <c r="BJ28" s="55">
        <f>SUMIFS('Awards Summary'!$H:$H,'Awards Summary'!$B:$B,$C28,'Awards Summary'!$J:$J,"DANC")</f>
        <v>0</v>
      </c>
      <c r="BK28" s="55">
        <f>SUMIFS('Disbursements Summary'!$E:$E,'Disbursements Summary'!$C:$C,$C28,'Disbursements Summary'!$A:$A,"DANC")</f>
        <v>0</v>
      </c>
      <c r="BL28" s="55">
        <f>SUMIFS('Awards Summary'!$H:$H,'Awards Summary'!$B:$B,$C28,'Awards Summary'!$J:$J,"DOB")</f>
        <v>0</v>
      </c>
      <c r="BM28" s="55">
        <f>SUMIFS('Disbursements Summary'!$E:$E,'Disbursements Summary'!$C:$C,$C28,'Disbursements Summary'!$A:$A,"DOB")</f>
        <v>0</v>
      </c>
      <c r="BN28" s="55">
        <f>SUMIFS('Awards Summary'!$H:$H,'Awards Summary'!$B:$B,$C28,'Awards Summary'!$J:$J,"DCJS")</f>
        <v>0</v>
      </c>
      <c r="BO28" s="55">
        <f>SUMIFS('Disbursements Summary'!$E:$E,'Disbursements Summary'!$C:$C,$C28,'Disbursements Summary'!$A:$A,"DCJS")</f>
        <v>0</v>
      </c>
      <c r="BP28" s="55">
        <f>SUMIFS('Awards Summary'!$H:$H,'Awards Summary'!$B:$B,$C28,'Awards Summary'!$J:$J,"DHSES")</f>
        <v>0</v>
      </c>
      <c r="BQ28" s="55">
        <f>SUMIFS('Disbursements Summary'!$E:$E,'Disbursements Summary'!$C:$C,$C28,'Disbursements Summary'!$A:$A,"DHSES")</f>
        <v>0</v>
      </c>
      <c r="BR28" s="55">
        <f>SUMIFS('Awards Summary'!$H:$H,'Awards Summary'!$B:$B,$C28,'Awards Summary'!$J:$J,"DHR")</f>
        <v>0</v>
      </c>
      <c r="BS28" s="55">
        <f>SUMIFS('Disbursements Summary'!$E:$E,'Disbursements Summary'!$C:$C,$C28,'Disbursements Summary'!$A:$A,"DHR")</f>
        <v>0</v>
      </c>
      <c r="BT28" s="55">
        <f>SUMIFS('Awards Summary'!$H:$H,'Awards Summary'!$B:$B,$C28,'Awards Summary'!$J:$J,"DMNA")</f>
        <v>0</v>
      </c>
      <c r="BU28" s="55">
        <f>SUMIFS('Disbursements Summary'!$E:$E,'Disbursements Summary'!$C:$C,$C28,'Disbursements Summary'!$A:$A,"DMNA")</f>
        <v>0</v>
      </c>
      <c r="BV28" s="55">
        <f>SUMIFS('Awards Summary'!$H:$H,'Awards Summary'!$B:$B,$C28,'Awards Summary'!$J:$J,"TROOPERS")</f>
        <v>0</v>
      </c>
      <c r="BW28" s="55">
        <f>SUMIFS('Disbursements Summary'!$E:$E,'Disbursements Summary'!$C:$C,$C28,'Disbursements Summary'!$A:$A,"TROOPERS")</f>
        <v>0</v>
      </c>
      <c r="BX28" s="55">
        <f>SUMIFS('Awards Summary'!$H:$H,'Awards Summary'!$B:$B,$C28,'Awards Summary'!$J:$J,"DVA")</f>
        <v>0</v>
      </c>
      <c r="BY28" s="55">
        <f>SUMIFS('Disbursements Summary'!$E:$E,'Disbursements Summary'!$C:$C,$C28,'Disbursements Summary'!$A:$A,"DVA")</f>
        <v>0</v>
      </c>
      <c r="BZ28" s="55">
        <f>SUMIFS('Awards Summary'!$H:$H,'Awards Summary'!$B:$B,$C28,'Awards Summary'!$J:$J,"DASNY")</f>
        <v>0</v>
      </c>
      <c r="CA28" s="55">
        <f>SUMIFS('Disbursements Summary'!$E:$E,'Disbursements Summary'!$C:$C,$C28,'Disbursements Summary'!$A:$A,"DASNY")</f>
        <v>0</v>
      </c>
      <c r="CB28" s="55">
        <f>SUMIFS('Awards Summary'!$H:$H,'Awards Summary'!$B:$B,$C28,'Awards Summary'!$J:$J,"EGG")</f>
        <v>0</v>
      </c>
      <c r="CC28" s="55">
        <f>SUMIFS('Disbursements Summary'!$E:$E,'Disbursements Summary'!$C:$C,$C28,'Disbursements Summary'!$A:$A,"EGG")</f>
        <v>0</v>
      </c>
      <c r="CD28" s="55">
        <f>SUMIFS('Awards Summary'!$H:$H,'Awards Summary'!$B:$B,$C28,'Awards Summary'!$J:$J,"ESD")</f>
        <v>0</v>
      </c>
      <c r="CE28" s="55">
        <f>SUMIFS('Disbursements Summary'!$E:$E,'Disbursements Summary'!$C:$C,$C28,'Disbursements Summary'!$A:$A,"ESD")</f>
        <v>0</v>
      </c>
      <c r="CF28" s="55">
        <f>SUMIFS('Awards Summary'!$H:$H,'Awards Summary'!$B:$B,$C28,'Awards Summary'!$J:$J,"EFC")</f>
        <v>0</v>
      </c>
      <c r="CG28" s="55">
        <f>SUMIFS('Disbursements Summary'!$E:$E,'Disbursements Summary'!$C:$C,$C28,'Disbursements Summary'!$A:$A,"EFC")</f>
        <v>0</v>
      </c>
      <c r="CH28" s="55">
        <f>SUMIFS('Awards Summary'!$H:$H,'Awards Summary'!$B:$B,$C28,'Awards Summary'!$J:$J,"ECFSA")</f>
        <v>0</v>
      </c>
      <c r="CI28" s="55">
        <f>SUMIFS('Disbursements Summary'!$E:$E,'Disbursements Summary'!$C:$C,$C28,'Disbursements Summary'!$A:$A,"ECFSA")</f>
        <v>0</v>
      </c>
      <c r="CJ28" s="55">
        <f>SUMIFS('Awards Summary'!$H:$H,'Awards Summary'!$B:$B,$C28,'Awards Summary'!$J:$J,"ECMC")</f>
        <v>0</v>
      </c>
      <c r="CK28" s="55">
        <f>SUMIFS('Disbursements Summary'!$E:$E,'Disbursements Summary'!$C:$C,$C28,'Disbursements Summary'!$A:$A,"ECMC")</f>
        <v>0</v>
      </c>
      <c r="CL28" s="55">
        <f>SUMIFS('Awards Summary'!$H:$H,'Awards Summary'!$B:$B,$C28,'Awards Summary'!$J:$J,"CHAMBER")</f>
        <v>0</v>
      </c>
      <c r="CM28" s="55">
        <f>SUMIFS('Disbursements Summary'!$E:$E,'Disbursements Summary'!$C:$C,$C28,'Disbursements Summary'!$A:$A,"CHAMBER")</f>
        <v>0</v>
      </c>
      <c r="CN28" s="55">
        <f>SUMIFS('Awards Summary'!$H:$H,'Awards Summary'!$B:$B,$C28,'Awards Summary'!$J:$J,"GAMING")</f>
        <v>0</v>
      </c>
      <c r="CO28" s="55">
        <f>SUMIFS('Disbursements Summary'!$E:$E,'Disbursements Summary'!$C:$C,$C28,'Disbursements Summary'!$A:$A,"GAMING")</f>
        <v>0</v>
      </c>
      <c r="CP28" s="55">
        <f>SUMIFS('Awards Summary'!$H:$H,'Awards Summary'!$B:$B,$C28,'Awards Summary'!$J:$J,"GOER")</f>
        <v>0</v>
      </c>
      <c r="CQ28" s="55">
        <f>SUMIFS('Disbursements Summary'!$E:$E,'Disbursements Summary'!$C:$C,$C28,'Disbursements Summary'!$A:$A,"GOER")</f>
        <v>0</v>
      </c>
      <c r="CR28" s="55">
        <f>SUMIFS('Awards Summary'!$H:$H,'Awards Summary'!$B:$B,$C28,'Awards Summary'!$J:$J,"HESC")</f>
        <v>0</v>
      </c>
      <c r="CS28" s="55">
        <f>SUMIFS('Disbursements Summary'!$E:$E,'Disbursements Summary'!$C:$C,$C28,'Disbursements Summary'!$A:$A,"HESC")</f>
        <v>0</v>
      </c>
      <c r="CT28" s="55">
        <f>SUMIFS('Awards Summary'!$H:$H,'Awards Summary'!$B:$B,$C28,'Awards Summary'!$J:$J,"GOSR")</f>
        <v>0</v>
      </c>
      <c r="CU28" s="55">
        <f>SUMIFS('Disbursements Summary'!$E:$E,'Disbursements Summary'!$C:$C,$C28,'Disbursements Summary'!$A:$A,"GOSR")</f>
        <v>0</v>
      </c>
      <c r="CV28" s="55">
        <f>SUMIFS('Awards Summary'!$H:$H,'Awards Summary'!$B:$B,$C28,'Awards Summary'!$J:$J,"HRPT")</f>
        <v>0</v>
      </c>
      <c r="CW28" s="55">
        <f>SUMIFS('Disbursements Summary'!$E:$E,'Disbursements Summary'!$C:$C,$C28,'Disbursements Summary'!$A:$A,"HRPT")</f>
        <v>0</v>
      </c>
      <c r="CX28" s="55">
        <f>SUMIFS('Awards Summary'!$H:$H,'Awards Summary'!$B:$B,$C28,'Awards Summary'!$J:$J,"HRBRRD")</f>
        <v>0</v>
      </c>
      <c r="CY28" s="55">
        <f>SUMIFS('Disbursements Summary'!$E:$E,'Disbursements Summary'!$C:$C,$C28,'Disbursements Summary'!$A:$A,"HRBRRD")</f>
        <v>0</v>
      </c>
      <c r="CZ28" s="55">
        <f>SUMIFS('Awards Summary'!$H:$H,'Awards Summary'!$B:$B,$C28,'Awards Summary'!$J:$J,"ITS")</f>
        <v>0</v>
      </c>
      <c r="DA28" s="55">
        <f>SUMIFS('Disbursements Summary'!$E:$E,'Disbursements Summary'!$C:$C,$C28,'Disbursements Summary'!$A:$A,"ITS")</f>
        <v>0</v>
      </c>
      <c r="DB28" s="55">
        <f>SUMIFS('Awards Summary'!$H:$H,'Awards Summary'!$B:$B,$C28,'Awards Summary'!$J:$J,"JAVITS")</f>
        <v>0</v>
      </c>
      <c r="DC28" s="55">
        <f>SUMIFS('Disbursements Summary'!$E:$E,'Disbursements Summary'!$C:$C,$C28,'Disbursements Summary'!$A:$A,"JAVITS")</f>
        <v>0</v>
      </c>
      <c r="DD28" s="55">
        <f>SUMIFS('Awards Summary'!$H:$H,'Awards Summary'!$B:$B,$C28,'Awards Summary'!$J:$J,"JCOPE")</f>
        <v>0</v>
      </c>
      <c r="DE28" s="55">
        <f>SUMIFS('Disbursements Summary'!$E:$E,'Disbursements Summary'!$C:$C,$C28,'Disbursements Summary'!$A:$A,"JCOPE")</f>
        <v>0</v>
      </c>
      <c r="DF28" s="55">
        <f>SUMIFS('Awards Summary'!$H:$H,'Awards Summary'!$B:$B,$C28,'Awards Summary'!$J:$J,"JUSTICE")</f>
        <v>0</v>
      </c>
      <c r="DG28" s="55">
        <f>SUMIFS('Disbursements Summary'!$E:$E,'Disbursements Summary'!$C:$C,$C28,'Disbursements Summary'!$A:$A,"JUSTICE")</f>
        <v>0</v>
      </c>
      <c r="DH28" s="55">
        <f>SUMIFS('Awards Summary'!$H:$H,'Awards Summary'!$B:$B,$C28,'Awards Summary'!$J:$J,"LCWSA")</f>
        <v>0</v>
      </c>
      <c r="DI28" s="55">
        <f>SUMIFS('Disbursements Summary'!$E:$E,'Disbursements Summary'!$C:$C,$C28,'Disbursements Summary'!$A:$A,"LCWSA")</f>
        <v>0</v>
      </c>
      <c r="DJ28" s="55">
        <f>SUMIFS('Awards Summary'!$H:$H,'Awards Summary'!$B:$B,$C28,'Awards Summary'!$J:$J,"LIPA")</f>
        <v>0</v>
      </c>
      <c r="DK28" s="55">
        <f>SUMIFS('Disbursements Summary'!$E:$E,'Disbursements Summary'!$C:$C,$C28,'Disbursements Summary'!$A:$A,"LIPA")</f>
        <v>0</v>
      </c>
      <c r="DL28" s="55">
        <f>SUMIFS('Awards Summary'!$H:$H,'Awards Summary'!$B:$B,$C28,'Awards Summary'!$J:$J,"MTA")</f>
        <v>0</v>
      </c>
      <c r="DM28" s="55">
        <f>SUMIFS('Disbursements Summary'!$E:$E,'Disbursements Summary'!$C:$C,$C28,'Disbursements Summary'!$A:$A,"MTA")</f>
        <v>0</v>
      </c>
      <c r="DN28" s="55">
        <f>SUMIFS('Awards Summary'!$H:$H,'Awards Summary'!$B:$B,$C28,'Awards Summary'!$J:$J,"NIFA")</f>
        <v>0</v>
      </c>
      <c r="DO28" s="55">
        <f>SUMIFS('Disbursements Summary'!$E:$E,'Disbursements Summary'!$C:$C,$C28,'Disbursements Summary'!$A:$A,"NIFA")</f>
        <v>0</v>
      </c>
      <c r="DP28" s="55">
        <f>SUMIFS('Awards Summary'!$H:$H,'Awards Summary'!$B:$B,$C28,'Awards Summary'!$J:$J,"NHCC")</f>
        <v>0</v>
      </c>
      <c r="DQ28" s="55">
        <f>SUMIFS('Disbursements Summary'!$E:$E,'Disbursements Summary'!$C:$C,$C28,'Disbursements Summary'!$A:$A,"NHCC")</f>
        <v>0</v>
      </c>
      <c r="DR28" s="55">
        <f>SUMIFS('Awards Summary'!$H:$H,'Awards Summary'!$B:$B,$C28,'Awards Summary'!$J:$J,"NHT")</f>
        <v>0</v>
      </c>
      <c r="DS28" s="55">
        <f>SUMIFS('Disbursements Summary'!$E:$E,'Disbursements Summary'!$C:$C,$C28,'Disbursements Summary'!$A:$A,"NHT")</f>
        <v>0</v>
      </c>
      <c r="DT28" s="55">
        <f>SUMIFS('Awards Summary'!$H:$H,'Awards Summary'!$B:$B,$C28,'Awards Summary'!$J:$J,"NYPA")</f>
        <v>0</v>
      </c>
      <c r="DU28" s="55">
        <f>SUMIFS('Disbursements Summary'!$E:$E,'Disbursements Summary'!$C:$C,$C28,'Disbursements Summary'!$A:$A,"NYPA")</f>
        <v>0</v>
      </c>
      <c r="DV28" s="55">
        <f>SUMIFS('Awards Summary'!$H:$H,'Awards Summary'!$B:$B,$C28,'Awards Summary'!$J:$J,"NYSBA")</f>
        <v>0</v>
      </c>
      <c r="DW28" s="55">
        <f>SUMIFS('Disbursements Summary'!$E:$E,'Disbursements Summary'!$C:$C,$C28,'Disbursements Summary'!$A:$A,"NYSBA")</f>
        <v>0</v>
      </c>
      <c r="DX28" s="55">
        <f>SUMIFS('Awards Summary'!$H:$H,'Awards Summary'!$B:$B,$C28,'Awards Summary'!$J:$J,"NYSERDA")</f>
        <v>0</v>
      </c>
      <c r="DY28" s="55">
        <f>SUMIFS('Disbursements Summary'!$E:$E,'Disbursements Summary'!$C:$C,$C28,'Disbursements Summary'!$A:$A,"NYSERDA")</f>
        <v>0</v>
      </c>
      <c r="DZ28" s="55">
        <f>SUMIFS('Awards Summary'!$H:$H,'Awards Summary'!$B:$B,$C28,'Awards Summary'!$J:$J,"DHCR")</f>
        <v>0</v>
      </c>
      <c r="EA28" s="55">
        <f>SUMIFS('Disbursements Summary'!$E:$E,'Disbursements Summary'!$C:$C,$C28,'Disbursements Summary'!$A:$A,"DHCR")</f>
        <v>0</v>
      </c>
      <c r="EB28" s="55">
        <f>SUMIFS('Awards Summary'!$H:$H,'Awards Summary'!$B:$B,$C28,'Awards Summary'!$J:$J,"HFA")</f>
        <v>0</v>
      </c>
      <c r="EC28" s="55">
        <f>SUMIFS('Disbursements Summary'!$E:$E,'Disbursements Summary'!$C:$C,$C28,'Disbursements Summary'!$A:$A,"HFA")</f>
        <v>0</v>
      </c>
      <c r="ED28" s="55">
        <f>SUMIFS('Awards Summary'!$H:$H,'Awards Summary'!$B:$B,$C28,'Awards Summary'!$J:$J,"NYSIF")</f>
        <v>0</v>
      </c>
      <c r="EE28" s="55">
        <f>SUMIFS('Disbursements Summary'!$E:$E,'Disbursements Summary'!$C:$C,$C28,'Disbursements Summary'!$A:$A,"NYSIF")</f>
        <v>0</v>
      </c>
      <c r="EF28" s="55">
        <f>SUMIFS('Awards Summary'!$H:$H,'Awards Summary'!$B:$B,$C28,'Awards Summary'!$J:$J,"NYBREDS")</f>
        <v>0</v>
      </c>
      <c r="EG28" s="55">
        <f>SUMIFS('Disbursements Summary'!$E:$E,'Disbursements Summary'!$C:$C,$C28,'Disbursements Summary'!$A:$A,"NYBREDS")</f>
        <v>0</v>
      </c>
      <c r="EH28" s="55">
        <f>SUMIFS('Awards Summary'!$H:$H,'Awards Summary'!$B:$B,$C28,'Awards Summary'!$J:$J,"NYSTA")</f>
        <v>0</v>
      </c>
      <c r="EI28" s="55">
        <f>SUMIFS('Disbursements Summary'!$E:$E,'Disbursements Summary'!$C:$C,$C28,'Disbursements Summary'!$A:$A,"NYSTA")</f>
        <v>0</v>
      </c>
      <c r="EJ28" s="55">
        <f>SUMIFS('Awards Summary'!$H:$H,'Awards Summary'!$B:$B,$C28,'Awards Summary'!$J:$J,"NFWB")</f>
        <v>0</v>
      </c>
      <c r="EK28" s="55">
        <f>SUMIFS('Disbursements Summary'!$E:$E,'Disbursements Summary'!$C:$C,$C28,'Disbursements Summary'!$A:$A,"NFWB")</f>
        <v>0</v>
      </c>
      <c r="EL28" s="55">
        <f>SUMIFS('Awards Summary'!$H:$H,'Awards Summary'!$B:$B,$C28,'Awards Summary'!$J:$J,"NFTA")</f>
        <v>0</v>
      </c>
      <c r="EM28" s="55">
        <f>SUMIFS('Disbursements Summary'!$E:$E,'Disbursements Summary'!$C:$C,$C28,'Disbursements Summary'!$A:$A,"NFTA")</f>
        <v>0</v>
      </c>
      <c r="EN28" s="55">
        <f>SUMIFS('Awards Summary'!$H:$H,'Awards Summary'!$B:$B,$C28,'Awards Summary'!$J:$J,"OPWDD")</f>
        <v>0</v>
      </c>
      <c r="EO28" s="55">
        <f>SUMIFS('Disbursements Summary'!$E:$E,'Disbursements Summary'!$C:$C,$C28,'Disbursements Summary'!$A:$A,"OPWDD")</f>
        <v>0</v>
      </c>
      <c r="EP28" s="55">
        <f>SUMIFS('Awards Summary'!$H:$H,'Awards Summary'!$B:$B,$C28,'Awards Summary'!$J:$J,"AGING")</f>
        <v>0</v>
      </c>
      <c r="EQ28" s="55">
        <f>SUMIFS('Disbursements Summary'!$E:$E,'Disbursements Summary'!$C:$C,$C28,'Disbursements Summary'!$A:$A,"AGING")</f>
        <v>0</v>
      </c>
      <c r="ER28" s="55">
        <f>SUMIFS('Awards Summary'!$H:$H,'Awards Summary'!$B:$B,$C28,'Awards Summary'!$J:$J,"OPDV")</f>
        <v>0</v>
      </c>
      <c r="ES28" s="55">
        <f>SUMIFS('Disbursements Summary'!$E:$E,'Disbursements Summary'!$C:$C,$C28,'Disbursements Summary'!$A:$A,"OPDV")</f>
        <v>0</v>
      </c>
      <c r="ET28" s="55">
        <f>SUMIFS('Awards Summary'!$H:$H,'Awards Summary'!$B:$B,$C28,'Awards Summary'!$J:$J,"OVS")</f>
        <v>0</v>
      </c>
      <c r="EU28" s="55">
        <f>SUMIFS('Disbursements Summary'!$E:$E,'Disbursements Summary'!$C:$C,$C28,'Disbursements Summary'!$A:$A,"OVS")</f>
        <v>0</v>
      </c>
      <c r="EV28" s="55">
        <f>SUMIFS('Awards Summary'!$H:$H,'Awards Summary'!$B:$B,$C28,'Awards Summary'!$J:$J,"OASAS")</f>
        <v>0</v>
      </c>
      <c r="EW28" s="55">
        <f>SUMIFS('Disbursements Summary'!$E:$E,'Disbursements Summary'!$C:$C,$C28,'Disbursements Summary'!$A:$A,"OASAS")</f>
        <v>0</v>
      </c>
      <c r="EX28" s="55">
        <f>SUMIFS('Awards Summary'!$H:$H,'Awards Summary'!$B:$B,$C28,'Awards Summary'!$J:$J,"OCFS")</f>
        <v>0</v>
      </c>
      <c r="EY28" s="55">
        <f>SUMIFS('Disbursements Summary'!$E:$E,'Disbursements Summary'!$C:$C,$C28,'Disbursements Summary'!$A:$A,"OCFS")</f>
        <v>0</v>
      </c>
      <c r="EZ28" s="55">
        <f>SUMIFS('Awards Summary'!$H:$H,'Awards Summary'!$B:$B,$C28,'Awards Summary'!$J:$J,"OGS")</f>
        <v>0</v>
      </c>
      <c r="FA28" s="55">
        <f>SUMIFS('Disbursements Summary'!$E:$E,'Disbursements Summary'!$C:$C,$C28,'Disbursements Summary'!$A:$A,"OGS")</f>
        <v>0</v>
      </c>
      <c r="FB28" s="55">
        <f>SUMIFS('Awards Summary'!$H:$H,'Awards Summary'!$B:$B,$C28,'Awards Summary'!$J:$J,"OMH")</f>
        <v>0</v>
      </c>
      <c r="FC28" s="55">
        <f>SUMIFS('Disbursements Summary'!$E:$E,'Disbursements Summary'!$C:$C,$C28,'Disbursements Summary'!$A:$A,"OMH")</f>
        <v>0</v>
      </c>
      <c r="FD28" s="55">
        <f>SUMIFS('Awards Summary'!$H:$H,'Awards Summary'!$B:$B,$C28,'Awards Summary'!$J:$J,"PARKS")</f>
        <v>0</v>
      </c>
      <c r="FE28" s="55">
        <f>SUMIFS('Disbursements Summary'!$E:$E,'Disbursements Summary'!$C:$C,$C28,'Disbursements Summary'!$A:$A,"PARKS")</f>
        <v>0</v>
      </c>
      <c r="FF28" s="55">
        <f>SUMIFS('Awards Summary'!$H:$H,'Awards Summary'!$B:$B,$C28,'Awards Summary'!$J:$J,"OTDA")</f>
        <v>0</v>
      </c>
      <c r="FG28" s="55">
        <f>SUMIFS('Disbursements Summary'!$E:$E,'Disbursements Summary'!$C:$C,$C28,'Disbursements Summary'!$A:$A,"OTDA")</f>
        <v>0</v>
      </c>
      <c r="FH28" s="55">
        <f>SUMIFS('Awards Summary'!$H:$H,'Awards Summary'!$B:$B,$C28,'Awards Summary'!$J:$J,"OIG")</f>
        <v>0</v>
      </c>
      <c r="FI28" s="55">
        <f>SUMIFS('Disbursements Summary'!$E:$E,'Disbursements Summary'!$C:$C,$C28,'Disbursements Summary'!$A:$A,"OIG")</f>
        <v>0</v>
      </c>
      <c r="FJ28" s="55">
        <f>SUMIFS('Awards Summary'!$H:$H,'Awards Summary'!$B:$B,$C28,'Awards Summary'!$J:$J,"OMIG")</f>
        <v>0</v>
      </c>
      <c r="FK28" s="55">
        <f>SUMIFS('Disbursements Summary'!$E:$E,'Disbursements Summary'!$C:$C,$C28,'Disbursements Summary'!$A:$A,"OMIG")</f>
        <v>0</v>
      </c>
      <c r="FL28" s="55">
        <f>SUMIFS('Awards Summary'!$H:$H,'Awards Summary'!$B:$B,$C28,'Awards Summary'!$J:$J,"OSC")</f>
        <v>0</v>
      </c>
      <c r="FM28" s="55">
        <f>SUMIFS('Disbursements Summary'!$E:$E,'Disbursements Summary'!$C:$C,$C28,'Disbursements Summary'!$A:$A,"OSC")</f>
        <v>0</v>
      </c>
      <c r="FN28" s="55">
        <f>SUMIFS('Awards Summary'!$H:$H,'Awards Summary'!$B:$B,$C28,'Awards Summary'!$J:$J,"OWIG")</f>
        <v>0</v>
      </c>
      <c r="FO28" s="55">
        <f>SUMIFS('Disbursements Summary'!$E:$E,'Disbursements Summary'!$C:$C,$C28,'Disbursements Summary'!$A:$A,"OWIG")</f>
        <v>0</v>
      </c>
      <c r="FP28" s="55">
        <f>SUMIFS('Awards Summary'!$H:$H,'Awards Summary'!$B:$B,$C28,'Awards Summary'!$J:$J,"OGDEN")</f>
        <v>0</v>
      </c>
      <c r="FQ28" s="55">
        <f>SUMIFS('Disbursements Summary'!$E:$E,'Disbursements Summary'!$C:$C,$C28,'Disbursements Summary'!$A:$A,"OGDEN")</f>
        <v>0</v>
      </c>
      <c r="FR28" s="55">
        <f>SUMIFS('Awards Summary'!$H:$H,'Awards Summary'!$B:$B,$C28,'Awards Summary'!$J:$J,"ORDA")</f>
        <v>0</v>
      </c>
      <c r="FS28" s="55">
        <f>SUMIFS('Disbursements Summary'!$E:$E,'Disbursements Summary'!$C:$C,$C28,'Disbursements Summary'!$A:$A,"ORDA")</f>
        <v>0</v>
      </c>
      <c r="FT28" s="55">
        <f>SUMIFS('Awards Summary'!$H:$H,'Awards Summary'!$B:$B,$C28,'Awards Summary'!$J:$J,"OSWEGO")</f>
        <v>0</v>
      </c>
      <c r="FU28" s="55">
        <f>SUMIFS('Disbursements Summary'!$E:$E,'Disbursements Summary'!$C:$C,$C28,'Disbursements Summary'!$A:$A,"OSWEGO")</f>
        <v>0</v>
      </c>
      <c r="FV28" s="55">
        <f>SUMIFS('Awards Summary'!$H:$H,'Awards Summary'!$B:$B,$C28,'Awards Summary'!$J:$J,"PERB")</f>
        <v>0</v>
      </c>
      <c r="FW28" s="55">
        <f>SUMIFS('Disbursements Summary'!$E:$E,'Disbursements Summary'!$C:$C,$C28,'Disbursements Summary'!$A:$A,"PERB")</f>
        <v>0</v>
      </c>
      <c r="FX28" s="55">
        <f>SUMIFS('Awards Summary'!$H:$H,'Awards Summary'!$B:$B,$C28,'Awards Summary'!$J:$J,"RGRTA")</f>
        <v>0</v>
      </c>
      <c r="FY28" s="55">
        <f>SUMIFS('Disbursements Summary'!$E:$E,'Disbursements Summary'!$C:$C,$C28,'Disbursements Summary'!$A:$A,"RGRTA")</f>
        <v>0</v>
      </c>
      <c r="FZ28" s="55">
        <f>SUMIFS('Awards Summary'!$H:$H,'Awards Summary'!$B:$B,$C28,'Awards Summary'!$J:$J,"RIOC")</f>
        <v>0</v>
      </c>
      <c r="GA28" s="55">
        <f>SUMIFS('Disbursements Summary'!$E:$E,'Disbursements Summary'!$C:$C,$C28,'Disbursements Summary'!$A:$A,"RIOC")</f>
        <v>0</v>
      </c>
      <c r="GB28" s="55">
        <f>SUMIFS('Awards Summary'!$H:$H,'Awards Summary'!$B:$B,$C28,'Awards Summary'!$J:$J,"RPCI")</f>
        <v>0</v>
      </c>
      <c r="GC28" s="55">
        <f>SUMIFS('Disbursements Summary'!$E:$E,'Disbursements Summary'!$C:$C,$C28,'Disbursements Summary'!$A:$A,"RPCI")</f>
        <v>0</v>
      </c>
      <c r="GD28" s="55">
        <f>SUMIFS('Awards Summary'!$H:$H,'Awards Summary'!$B:$B,$C28,'Awards Summary'!$J:$J,"SMDA")</f>
        <v>0</v>
      </c>
      <c r="GE28" s="55">
        <f>SUMIFS('Disbursements Summary'!$E:$E,'Disbursements Summary'!$C:$C,$C28,'Disbursements Summary'!$A:$A,"SMDA")</f>
        <v>0</v>
      </c>
      <c r="GF28" s="55">
        <f>SUMIFS('Awards Summary'!$H:$H,'Awards Summary'!$B:$B,$C28,'Awards Summary'!$J:$J,"SCOC")</f>
        <v>0</v>
      </c>
      <c r="GG28" s="55">
        <f>SUMIFS('Disbursements Summary'!$E:$E,'Disbursements Summary'!$C:$C,$C28,'Disbursements Summary'!$A:$A,"SCOC")</f>
        <v>0</v>
      </c>
      <c r="GH28" s="55">
        <f>SUMIFS('Awards Summary'!$H:$H,'Awards Summary'!$B:$B,$C28,'Awards Summary'!$J:$J,"SUCF")</f>
        <v>0</v>
      </c>
      <c r="GI28" s="55">
        <f>SUMIFS('Disbursements Summary'!$E:$E,'Disbursements Summary'!$C:$C,$C28,'Disbursements Summary'!$A:$A,"SUCF")</f>
        <v>0</v>
      </c>
      <c r="GJ28" s="55">
        <f>SUMIFS('Awards Summary'!$H:$H,'Awards Summary'!$B:$B,$C28,'Awards Summary'!$J:$J,"SUNY")</f>
        <v>0</v>
      </c>
      <c r="GK28" s="55">
        <f>SUMIFS('Disbursements Summary'!$E:$E,'Disbursements Summary'!$C:$C,$C28,'Disbursements Summary'!$A:$A,"SUNY")</f>
        <v>0</v>
      </c>
      <c r="GL28" s="55">
        <f>SUMIFS('Awards Summary'!$H:$H,'Awards Summary'!$B:$B,$C28,'Awards Summary'!$J:$J,"SRAA")</f>
        <v>0</v>
      </c>
      <c r="GM28" s="55">
        <f>SUMIFS('Disbursements Summary'!$E:$E,'Disbursements Summary'!$C:$C,$C28,'Disbursements Summary'!$A:$A,"SRAA")</f>
        <v>0</v>
      </c>
      <c r="GN28" s="55">
        <f>SUMIFS('Awards Summary'!$H:$H,'Awards Summary'!$B:$B,$C28,'Awards Summary'!$J:$J,"UNDC")</f>
        <v>0</v>
      </c>
      <c r="GO28" s="55">
        <f>SUMIFS('Disbursements Summary'!$E:$E,'Disbursements Summary'!$C:$C,$C28,'Disbursements Summary'!$A:$A,"UNDC")</f>
        <v>0</v>
      </c>
      <c r="GP28" s="55">
        <f>SUMIFS('Awards Summary'!$H:$H,'Awards Summary'!$B:$B,$C28,'Awards Summary'!$J:$J,"MVWA")</f>
        <v>0</v>
      </c>
      <c r="GQ28" s="55">
        <f>SUMIFS('Disbursements Summary'!$E:$E,'Disbursements Summary'!$C:$C,$C28,'Disbursements Summary'!$A:$A,"MVWA")</f>
        <v>0</v>
      </c>
      <c r="GR28" s="55">
        <f>SUMIFS('Awards Summary'!$H:$H,'Awards Summary'!$B:$B,$C28,'Awards Summary'!$J:$J,"WMC")</f>
        <v>0</v>
      </c>
      <c r="GS28" s="55">
        <f>SUMIFS('Disbursements Summary'!$E:$E,'Disbursements Summary'!$C:$C,$C28,'Disbursements Summary'!$A:$A,"WMC")</f>
        <v>0</v>
      </c>
      <c r="GT28" s="55">
        <f>SUMIFS('Awards Summary'!$H:$H,'Awards Summary'!$B:$B,$C28,'Awards Summary'!$J:$J,"WCB")</f>
        <v>0</v>
      </c>
      <c r="GU28" s="55">
        <f>SUMIFS('Disbursements Summary'!$E:$E,'Disbursements Summary'!$C:$C,$C28,'Disbursements Summary'!$A:$A,"WCB")</f>
        <v>0</v>
      </c>
      <c r="GV28" s="32">
        <f t="shared" si="5"/>
        <v>0</v>
      </c>
      <c r="GW28" s="32">
        <f t="shared" si="6"/>
        <v>0</v>
      </c>
      <c r="GX28" s="30" t="b">
        <f t="shared" si="7"/>
        <v>1</v>
      </c>
      <c r="GY28" s="30" t="b">
        <f t="shared" si="8"/>
        <v>1</v>
      </c>
    </row>
    <row r="29" spans="1:207" s="30" customFormat="1" ht="15" customHeight="1">
      <c r="A29" s="22" t="str">
        <f t="shared" si="0"/>
        <v/>
      </c>
      <c r="B29" s="40" t="s">
        <v>88</v>
      </c>
      <c r="C29" s="16">
        <v>141049</v>
      </c>
      <c r="D29" s="26">
        <f>COUNTIF('Awards Summary'!B:B,"141049")</f>
        <v>0</v>
      </c>
      <c r="E29" s="45">
        <f>SUMIFS('Awards Summary'!H:H,'Awards Summary'!B:B,"141049")</f>
        <v>0</v>
      </c>
      <c r="F29" s="46">
        <f>SUMIFS('Disbursements Summary'!E:E,'Disbursements Summary'!C:C, "141049")</f>
        <v>0</v>
      </c>
      <c r="H29" s="55">
        <f>SUMIFS('Awards Summary'!$H:$H,'Awards Summary'!$B:$B,$C29,'Awards Summary'!$J:$J,"APA")</f>
        <v>0</v>
      </c>
      <c r="I29" s="55">
        <f>SUMIFS('Disbursements Summary'!$E:$E,'Disbursements Summary'!$C:$C,$C29,'Disbursements Summary'!$A:$A,"APA")</f>
        <v>0</v>
      </c>
      <c r="J29" s="55">
        <f>SUMIFS('Awards Summary'!$H:$H,'Awards Summary'!$B:$B,$C29,'Awards Summary'!$J:$J,"Ag&amp;Horse")</f>
        <v>0</v>
      </c>
      <c r="K29" s="55">
        <f>SUMIFS('Disbursements Summary'!$E:$E,'Disbursements Summary'!$C:$C,$C29,'Disbursements Summary'!$A:$A,"Ag&amp;Horse")</f>
        <v>0</v>
      </c>
      <c r="L29" s="55">
        <f>SUMIFS('Awards Summary'!$H:$H,'Awards Summary'!$B:$B,$C29,'Awards Summary'!$J:$J,"ACAA")</f>
        <v>0</v>
      </c>
      <c r="M29" s="55">
        <f>SUMIFS('Disbursements Summary'!$E:$E,'Disbursements Summary'!$C:$C,$C29,'Disbursements Summary'!$A:$A,"ACAA")</f>
        <v>0</v>
      </c>
      <c r="N29" s="55">
        <f>SUMIFS('Awards Summary'!$H:$H,'Awards Summary'!$B:$B,$C29,'Awards Summary'!$J:$J,"PortAlbany")</f>
        <v>0</v>
      </c>
      <c r="O29" s="55">
        <f>SUMIFS('Disbursements Summary'!$E:$E,'Disbursements Summary'!$C:$C,$C29,'Disbursements Summary'!$A:$A,"PortAlbany")</f>
        <v>0</v>
      </c>
      <c r="P29" s="55">
        <f>SUMIFS('Awards Summary'!$H:$H,'Awards Summary'!$B:$B,$C29,'Awards Summary'!$J:$J,"SLA")</f>
        <v>0</v>
      </c>
      <c r="Q29" s="55">
        <f>SUMIFS('Disbursements Summary'!$E:$E,'Disbursements Summary'!$C:$C,$C29,'Disbursements Summary'!$A:$A,"SLA")</f>
        <v>0</v>
      </c>
      <c r="R29" s="55">
        <f>SUMIFS('Awards Summary'!$H:$H,'Awards Summary'!$B:$B,$C29,'Awards Summary'!$J:$J,"BPCA")</f>
        <v>0</v>
      </c>
      <c r="S29" s="55">
        <f>SUMIFS('Disbursements Summary'!$E:$E,'Disbursements Summary'!$C:$C,$C29,'Disbursements Summary'!$A:$A,"BPCA")</f>
        <v>0</v>
      </c>
      <c r="T29" s="55">
        <f>SUMIFS('Awards Summary'!$H:$H,'Awards Summary'!$B:$B,$C29,'Awards Summary'!$J:$J,"ELECTIONS")</f>
        <v>0</v>
      </c>
      <c r="U29" s="55">
        <f>SUMIFS('Disbursements Summary'!$E:$E,'Disbursements Summary'!$C:$C,$C29,'Disbursements Summary'!$A:$A,"ELECTIONS")</f>
        <v>0</v>
      </c>
      <c r="V29" s="55">
        <f>SUMIFS('Awards Summary'!$H:$H,'Awards Summary'!$B:$B,$C29,'Awards Summary'!$J:$J,"BFSA")</f>
        <v>0</v>
      </c>
      <c r="W29" s="55">
        <f>SUMIFS('Disbursements Summary'!$E:$E,'Disbursements Summary'!$C:$C,$C29,'Disbursements Summary'!$A:$A,"BFSA")</f>
        <v>0</v>
      </c>
      <c r="X29" s="55">
        <f>SUMIFS('Awards Summary'!$H:$H,'Awards Summary'!$B:$B,$C29,'Awards Summary'!$J:$J,"CDTA")</f>
        <v>0</v>
      </c>
      <c r="Y29" s="55">
        <f>SUMIFS('Disbursements Summary'!$E:$E,'Disbursements Summary'!$C:$C,$C29,'Disbursements Summary'!$A:$A,"CDTA")</f>
        <v>0</v>
      </c>
      <c r="Z29" s="55">
        <f>SUMIFS('Awards Summary'!$H:$H,'Awards Summary'!$B:$B,$C29,'Awards Summary'!$J:$J,"CCWSA")</f>
        <v>0</v>
      </c>
      <c r="AA29" s="55">
        <f>SUMIFS('Disbursements Summary'!$E:$E,'Disbursements Summary'!$C:$C,$C29,'Disbursements Summary'!$A:$A,"CCWSA")</f>
        <v>0</v>
      </c>
      <c r="AB29" s="55">
        <f>SUMIFS('Awards Summary'!$H:$H,'Awards Summary'!$B:$B,$C29,'Awards Summary'!$J:$J,"CNYRTA")</f>
        <v>0</v>
      </c>
      <c r="AC29" s="55">
        <f>SUMIFS('Disbursements Summary'!$E:$E,'Disbursements Summary'!$C:$C,$C29,'Disbursements Summary'!$A:$A,"CNYRTA")</f>
        <v>0</v>
      </c>
      <c r="AD29" s="55">
        <f>SUMIFS('Awards Summary'!$H:$H,'Awards Summary'!$B:$B,$C29,'Awards Summary'!$J:$J,"CUCF")</f>
        <v>0</v>
      </c>
      <c r="AE29" s="55">
        <f>SUMIFS('Disbursements Summary'!$E:$E,'Disbursements Summary'!$C:$C,$C29,'Disbursements Summary'!$A:$A,"CUCF")</f>
        <v>0</v>
      </c>
      <c r="AF29" s="55">
        <f>SUMIFS('Awards Summary'!$H:$H,'Awards Summary'!$B:$B,$C29,'Awards Summary'!$J:$J,"CUNY")</f>
        <v>0</v>
      </c>
      <c r="AG29" s="55">
        <f>SUMIFS('Disbursements Summary'!$E:$E,'Disbursements Summary'!$C:$C,$C29,'Disbursements Summary'!$A:$A,"CUNY")</f>
        <v>0</v>
      </c>
      <c r="AH29" s="55">
        <f>SUMIFS('Awards Summary'!$H:$H,'Awards Summary'!$B:$B,$C29,'Awards Summary'!$J:$J,"ARTS")</f>
        <v>0</v>
      </c>
      <c r="AI29" s="55">
        <f>SUMIFS('Disbursements Summary'!$E:$E,'Disbursements Summary'!$C:$C,$C29,'Disbursements Summary'!$A:$A,"ARTS")</f>
        <v>0</v>
      </c>
      <c r="AJ29" s="55">
        <f>SUMIFS('Awards Summary'!$H:$H,'Awards Summary'!$B:$B,$C29,'Awards Summary'!$J:$J,"AG&amp;MKTS")</f>
        <v>0</v>
      </c>
      <c r="AK29" s="55">
        <f>SUMIFS('Disbursements Summary'!$E:$E,'Disbursements Summary'!$C:$C,$C29,'Disbursements Summary'!$A:$A,"AG&amp;MKTS")</f>
        <v>0</v>
      </c>
      <c r="AL29" s="55">
        <f>SUMIFS('Awards Summary'!$H:$H,'Awards Summary'!$B:$B,$C29,'Awards Summary'!$J:$J,"CS")</f>
        <v>0</v>
      </c>
      <c r="AM29" s="55">
        <f>SUMIFS('Disbursements Summary'!$E:$E,'Disbursements Summary'!$C:$C,$C29,'Disbursements Summary'!$A:$A,"CS")</f>
        <v>0</v>
      </c>
      <c r="AN29" s="55">
        <f>SUMIFS('Awards Summary'!$H:$H,'Awards Summary'!$B:$B,$C29,'Awards Summary'!$J:$J,"DOCCS")</f>
        <v>0</v>
      </c>
      <c r="AO29" s="55">
        <f>SUMIFS('Disbursements Summary'!$E:$E,'Disbursements Summary'!$C:$C,$C29,'Disbursements Summary'!$A:$A,"DOCCS")</f>
        <v>0</v>
      </c>
      <c r="AP29" s="55">
        <f>SUMIFS('Awards Summary'!$H:$H,'Awards Summary'!$B:$B,$C29,'Awards Summary'!$J:$J,"DED")</f>
        <v>0</v>
      </c>
      <c r="AQ29" s="55">
        <f>SUMIFS('Disbursements Summary'!$E:$E,'Disbursements Summary'!$C:$C,$C29,'Disbursements Summary'!$A:$A,"DED")</f>
        <v>0</v>
      </c>
      <c r="AR29" s="55">
        <f>SUMIFS('Awards Summary'!$H:$H,'Awards Summary'!$B:$B,$C29,'Awards Summary'!$J:$J,"DEC")</f>
        <v>0</v>
      </c>
      <c r="AS29" s="55">
        <f>SUMIFS('Disbursements Summary'!$E:$E,'Disbursements Summary'!$C:$C,$C29,'Disbursements Summary'!$A:$A,"DEC")</f>
        <v>0</v>
      </c>
      <c r="AT29" s="55">
        <f>SUMIFS('Awards Summary'!$H:$H,'Awards Summary'!$B:$B,$C29,'Awards Summary'!$J:$J,"DFS")</f>
        <v>0</v>
      </c>
      <c r="AU29" s="55">
        <f>SUMIFS('Disbursements Summary'!$E:$E,'Disbursements Summary'!$C:$C,$C29,'Disbursements Summary'!$A:$A,"DFS")</f>
        <v>0</v>
      </c>
      <c r="AV29" s="55">
        <f>SUMIFS('Awards Summary'!$H:$H,'Awards Summary'!$B:$B,$C29,'Awards Summary'!$J:$J,"DOH")</f>
        <v>0</v>
      </c>
      <c r="AW29" s="55">
        <f>SUMIFS('Disbursements Summary'!$E:$E,'Disbursements Summary'!$C:$C,$C29,'Disbursements Summary'!$A:$A,"DOH")</f>
        <v>0</v>
      </c>
      <c r="AX29" s="55">
        <f>SUMIFS('Awards Summary'!$H:$H,'Awards Summary'!$B:$B,$C29,'Awards Summary'!$J:$J,"DOL")</f>
        <v>0</v>
      </c>
      <c r="AY29" s="55">
        <f>SUMIFS('Disbursements Summary'!$E:$E,'Disbursements Summary'!$C:$C,$C29,'Disbursements Summary'!$A:$A,"DOL")</f>
        <v>0</v>
      </c>
      <c r="AZ29" s="55">
        <f>SUMIFS('Awards Summary'!$H:$H,'Awards Summary'!$B:$B,$C29,'Awards Summary'!$J:$J,"DMV")</f>
        <v>0</v>
      </c>
      <c r="BA29" s="55">
        <f>SUMIFS('Disbursements Summary'!$E:$E,'Disbursements Summary'!$C:$C,$C29,'Disbursements Summary'!$A:$A,"DMV")</f>
        <v>0</v>
      </c>
      <c r="BB29" s="55">
        <f>SUMIFS('Awards Summary'!$H:$H,'Awards Summary'!$B:$B,$C29,'Awards Summary'!$J:$J,"DPS")</f>
        <v>0</v>
      </c>
      <c r="BC29" s="55">
        <f>SUMIFS('Disbursements Summary'!$E:$E,'Disbursements Summary'!$C:$C,$C29,'Disbursements Summary'!$A:$A,"DPS")</f>
        <v>0</v>
      </c>
      <c r="BD29" s="55">
        <f>SUMIFS('Awards Summary'!$H:$H,'Awards Summary'!$B:$B,$C29,'Awards Summary'!$J:$J,"DOS")</f>
        <v>0</v>
      </c>
      <c r="BE29" s="55">
        <f>SUMIFS('Disbursements Summary'!$E:$E,'Disbursements Summary'!$C:$C,$C29,'Disbursements Summary'!$A:$A,"DOS")</f>
        <v>0</v>
      </c>
      <c r="BF29" s="55">
        <f>SUMIFS('Awards Summary'!$H:$H,'Awards Summary'!$B:$B,$C29,'Awards Summary'!$J:$J,"TAX")</f>
        <v>0</v>
      </c>
      <c r="BG29" s="55">
        <f>SUMIFS('Disbursements Summary'!$E:$E,'Disbursements Summary'!$C:$C,$C29,'Disbursements Summary'!$A:$A,"TAX")</f>
        <v>0</v>
      </c>
      <c r="BH29" s="55">
        <f>SUMIFS('Awards Summary'!$H:$H,'Awards Summary'!$B:$B,$C29,'Awards Summary'!$J:$J,"DOT")</f>
        <v>0</v>
      </c>
      <c r="BI29" s="55">
        <f>SUMIFS('Disbursements Summary'!$E:$E,'Disbursements Summary'!$C:$C,$C29,'Disbursements Summary'!$A:$A,"DOT")</f>
        <v>0</v>
      </c>
      <c r="BJ29" s="55">
        <f>SUMIFS('Awards Summary'!$H:$H,'Awards Summary'!$B:$B,$C29,'Awards Summary'!$J:$J,"DANC")</f>
        <v>0</v>
      </c>
      <c r="BK29" s="55">
        <f>SUMIFS('Disbursements Summary'!$E:$E,'Disbursements Summary'!$C:$C,$C29,'Disbursements Summary'!$A:$A,"DANC")</f>
        <v>0</v>
      </c>
      <c r="BL29" s="55">
        <f>SUMIFS('Awards Summary'!$H:$H,'Awards Summary'!$B:$B,$C29,'Awards Summary'!$J:$J,"DOB")</f>
        <v>0</v>
      </c>
      <c r="BM29" s="55">
        <f>SUMIFS('Disbursements Summary'!$E:$E,'Disbursements Summary'!$C:$C,$C29,'Disbursements Summary'!$A:$A,"DOB")</f>
        <v>0</v>
      </c>
      <c r="BN29" s="55">
        <f>SUMIFS('Awards Summary'!$H:$H,'Awards Summary'!$B:$B,$C29,'Awards Summary'!$J:$J,"DCJS")</f>
        <v>0</v>
      </c>
      <c r="BO29" s="55">
        <f>SUMIFS('Disbursements Summary'!$E:$E,'Disbursements Summary'!$C:$C,$C29,'Disbursements Summary'!$A:$A,"DCJS")</f>
        <v>0</v>
      </c>
      <c r="BP29" s="55">
        <f>SUMIFS('Awards Summary'!$H:$H,'Awards Summary'!$B:$B,$C29,'Awards Summary'!$J:$J,"DHSES")</f>
        <v>0</v>
      </c>
      <c r="BQ29" s="55">
        <f>SUMIFS('Disbursements Summary'!$E:$E,'Disbursements Summary'!$C:$C,$C29,'Disbursements Summary'!$A:$A,"DHSES")</f>
        <v>0</v>
      </c>
      <c r="BR29" s="55">
        <f>SUMIFS('Awards Summary'!$H:$H,'Awards Summary'!$B:$B,$C29,'Awards Summary'!$J:$J,"DHR")</f>
        <v>0</v>
      </c>
      <c r="BS29" s="55">
        <f>SUMIFS('Disbursements Summary'!$E:$E,'Disbursements Summary'!$C:$C,$C29,'Disbursements Summary'!$A:$A,"DHR")</f>
        <v>0</v>
      </c>
      <c r="BT29" s="55">
        <f>SUMIFS('Awards Summary'!$H:$H,'Awards Summary'!$B:$B,$C29,'Awards Summary'!$J:$J,"DMNA")</f>
        <v>0</v>
      </c>
      <c r="BU29" s="55">
        <f>SUMIFS('Disbursements Summary'!$E:$E,'Disbursements Summary'!$C:$C,$C29,'Disbursements Summary'!$A:$A,"DMNA")</f>
        <v>0</v>
      </c>
      <c r="BV29" s="55">
        <f>SUMIFS('Awards Summary'!$H:$H,'Awards Summary'!$B:$B,$C29,'Awards Summary'!$J:$J,"TROOPERS")</f>
        <v>0</v>
      </c>
      <c r="BW29" s="55">
        <f>SUMIFS('Disbursements Summary'!$E:$E,'Disbursements Summary'!$C:$C,$C29,'Disbursements Summary'!$A:$A,"TROOPERS")</f>
        <v>0</v>
      </c>
      <c r="BX29" s="55">
        <f>SUMIFS('Awards Summary'!$H:$H,'Awards Summary'!$B:$B,$C29,'Awards Summary'!$J:$J,"DVA")</f>
        <v>0</v>
      </c>
      <c r="BY29" s="55">
        <f>SUMIFS('Disbursements Summary'!$E:$E,'Disbursements Summary'!$C:$C,$C29,'Disbursements Summary'!$A:$A,"DVA")</f>
        <v>0</v>
      </c>
      <c r="BZ29" s="55">
        <f>SUMIFS('Awards Summary'!$H:$H,'Awards Summary'!$B:$B,$C29,'Awards Summary'!$J:$J,"DASNY")</f>
        <v>0</v>
      </c>
      <c r="CA29" s="55">
        <f>SUMIFS('Disbursements Summary'!$E:$E,'Disbursements Summary'!$C:$C,$C29,'Disbursements Summary'!$A:$A,"DASNY")</f>
        <v>0</v>
      </c>
      <c r="CB29" s="55">
        <f>SUMIFS('Awards Summary'!$H:$H,'Awards Summary'!$B:$B,$C29,'Awards Summary'!$J:$J,"EGG")</f>
        <v>0</v>
      </c>
      <c r="CC29" s="55">
        <f>SUMIFS('Disbursements Summary'!$E:$E,'Disbursements Summary'!$C:$C,$C29,'Disbursements Summary'!$A:$A,"EGG")</f>
        <v>0</v>
      </c>
      <c r="CD29" s="55">
        <f>SUMIFS('Awards Summary'!$H:$H,'Awards Summary'!$B:$B,$C29,'Awards Summary'!$J:$J,"ESD")</f>
        <v>0</v>
      </c>
      <c r="CE29" s="55">
        <f>SUMIFS('Disbursements Summary'!$E:$E,'Disbursements Summary'!$C:$C,$C29,'Disbursements Summary'!$A:$A,"ESD")</f>
        <v>0</v>
      </c>
      <c r="CF29" s="55">
        <f>SUMIFS('Awards Summary'!$H:$H,'Awards Summary'!$B:$B,$C29,'Awards Summary'!$J:$J,"EFC")</f>
        <v>0</v>
      </c>
      <c r="CG29" s="55">
        <f>SUMIFS('Disbursements Summary'!$E:$E,'Disbursements Summary'!$C:$C,$C29,'Disbursements Summary'!$A:$A,"EFC")</f>
        <v>0</v>
      </c>
      <c r="CH29" s="55">
        <f>SUMIFS('Awards Summary'!$H:$H,'Awards Summary'!$B:$B,$C29,'Awards Summary'!$J:$J,"ECFSA")</f>
        <v>0</v>
      </c>
      <c r="CI29" s="55">
        <f>SUMIFS('Disbursements Summary'!$E:$E,'Disbursements Summary'!$C:$C,$C29,'Disbursements Summary'!$A:$A,"ECFSA")</f>
        <v>0</v>
      </c>
      <c r="CJ29" s="55">
        <f>SUMIFS('Awards Summary'!$H:$H,'Awards Summary'!$B:$B,$C29,'Awards Summary'!$J:$J,"ECMC")</f>
        <v>0</v>
      </c>
      <c r="CK29" s="55">
        <f>SUMIFS('Disbursements Summary'!$E:$E,'Disbursements Summary'!$C:$C,$C29,'Disbursements Summary'!$A:$A,"ECMC")</f>
        <v>0</v>
      </c>
      <c r="CL29" s="55">
        <f>SUMIFS('Awards Summary'!$H:$H,'Awards Summary'!$B:$B,$C29,'Awards Summary'!$J:$J,"CHAMBER")</f>
        <v>0</v>
      </c>
      <c r="CM29" s="55">
        <f>SUMIFS('Disbursements Summary'!$E:$E,'Disbursements Summary'!$C:$C,$C29,'Disbursements Summary'!$A:$A,"CHAMBER")</f>
        <v>0</v>
      </c>
      <c r="CN29" s="55">
        <f>SUMIFS('Awards Summary'!$H:$H,'Awards Summary'!$B:$B,$C29,'Awards Summary'!$J:$J,"GAMING")</f>
        <v>0</v>
      </c>
      <c r="CO29" s="55">
        <f>SUMIFS('Disbursements Summary'!$E:$E,'Disbursements Summary'!$C:$C,$C29,'Disbursements Summary'!$A:$A,"GAMING")</f>
        <v>0</v>
      </c>
      <c r="CP29" s="55">
        <f>SUMIFS('Awards Summary'!$H:$H,'Awards Summary'!$B:$B,$C29,'Awards Summary'!$J:$J,"GOER")</f>
        <v>0</v>
      </c>
      <c r="CQ29" s="55">
        <f>SUMIFS('Disbursements Summary'!$E:$E,'Disbursements Summary'!$C:$C,$C29,'Disbursements Summary'!$A:$A,"GOER")</f>
        <v>0</v>
      </c>
      <c r="CR29" s="55">
        <f>SUMIFS('Awards Summary'!$H:$H,'Awards Summary'!$B:$B,$C29,'Awards Summary'!$J:$J,"HESC")</f>
        <v>0</v>
      </c>
      <c r="CS29" s="55">
        <f>SUMIFS('Disbursements Summary'!$E:$E,'Disbursements Summary'!$C:$C,$C29,'Disbursements Summary'!$A:$A,"HESC")</f>
        <v>0</v>
      </c>
      <c r="CT29" s="55">
        <f>SUMIFS('Awards Summary'!$H:$H,'Awards Summary'!$B:$B,$C29,'Awards Summary'!$J:$J,"GOSR")</f>
        <v>0</v>
      </c>
      <c r="CU29" s="55">
        <f>SUMIFS('Disbursements Summary'!$E:$E,'Disbursements Summary'!$C:$C,$C29,'Disbursements Summary'!$A:$A,"GOSR")</f>
        <v>0</v>
      </c>
      <c r="CV29" s="55">
        <f>SUMIFS('Awards Summary'!$H:$H,'Awards Summary'!$B:$B,$C29,'Awards Summary'!$J:$J,"HRPT")</f>
        <v>0</v>
      </c>
      <c r="CW29" s="55">
        <f>SUMIFS('Disbursements Summary'!$E:$E,'Disbursements Summary'!$C:$C,$C29,'Disbursements Summary'!$A:$A,"HRPT")</f>
        <v>0</v>
      </c>
      <c r="CX29" s="55">
        <f>SUMIFS('Awards Summary'!$H:$H,'Awards Summary'!$B:$B,$C29,'Awards Summary'!$J:$J,"HRBRRD")</f>
        <v>0</v>
      </c>
      <c r="CY29" s="55">
        <f>SUMIFS('Disbursements Summary'!$E:$E,'Disbursements Summary'!$C:$C,$C29,'Disbursements Summary'!$A:$A,"HRBRRD")</f>
        <v>0</v>
      </c>
      <c r="CZ29" s="55">
        <f>SUMIFS('Awards Summary'!$H:$H,'Awards Summary'!$B:$B,$C29,'Awards Summary'!$J:$J,"ITS")</f>
        <v>0</v>
      </c>
      <c r="DA29" s="55">
        <f>SUMIFS('Disbursements Summary'!$E:$E,'Disbursements Summary'!$C:$C,$C29,'Disbursements Summary'!$A:$A,"ITS")</f>
        <v>0</v>
      </c>
      <c r="DB29" s="55">
        <f>SUMIFS('Awards Summary'!$H:$H,'Awards Summary'!$B:$B,$C29,'Awards Summary'!$J:$J,"JAVITS")</f>
        <v>0</v>
      </c>
      <c r="DC29" s="55">
        <f>SUMIFS('Disbursements Summary'!$E:$E,'Disbursements Summary'!$C:$C,$C29,'Disbursements Summary'!$A:$A,"JAVITS")</f>
        <v>0</v>
      </c>
      <c r="DD29" s="55">
        <f>SUMIFS('Awards Summary'!$H:$H,'Awards Summary'!$B:$B,$C29,'Awards Summary'!$J:$J,"JCOPE")</f>
        <v>0</v>
      </c>
      <c r="DE29" s="55">
        <f>SUMIFS('Disbursements Summary'!$E:$E,'Disbursements Summary'!$C:$C,$C29,'Disbursements Summary'!$A:$A,"JCOPE")</f>
        <v>0</v>
      </c>
      <c r="DF29" s="55">
        <f>SUMIFS('Awards Summary'!$H:$H,'Awards Summary'!$B:$B,$C29,'Awards Summary'!$J:$J,"JUSTICE")</f>
        <v>0</v>
      </c>
      <c r="DG29" s="55">
        <f>SUMIFS('Disbursements Summary'!$E:$E,'Disbursements Summary'!$C:$C,$C29,'Disbursements Summary'!$A:$A,"JUSTICE")</f>
        <v>0</v>
      </c>
      <c r="DH29" s="55">
        <f>SUMIFS('Awards Summary'!$H:$H,'Awards Summary'!$B:$B,$C29,'Awards Summary'!$J:$J,"LCWSA")</f>
        <v>0</v>
      </c>
      <c r="DI29" s="55">
        <f>SUMIFS('Disbursements Summary'!$E:$E,'Disbursements Summary'!$C:$C,$C29,'Disbursements Summary'!$A:$A,"LCWSA")</f>
        <v>0</v>
      </c>
      <c r="DJ29" s="55">
        <f>SUMIFS('Awards Summary'!$H:$H,'Awards Summary'!$B:$B,$C29,'Awards Summary'!$J:$J,"LIPA")</f>
        <v>0</v>
      </c>
      <c r="DK29" s="55">
        <f>SUMIFS('Disbursements Summary'!$E:$E,'Disbursements Summary'!$C:$C,$C29,'Disbursements Summary'!$A:$A,"LIPA")</f>
        <v>0</v>
      </c>
      <c r="DL29" s="55">
        <f>SUMIFS('Awards Summary'!$H:$H,'Awards Summary'!$B:$B,$C29,'Awards Summary'!$J:$J,"MTA")</f>
        <v>0</v>
      </c>
      <c r="DM29" s="55">
        <f>SUMIFS('Disbursements Summary'!$E:$E,'Disbursements Summary'!$C:$C,$C29,'Disbursements Summary'!$A:$A,"MTA")</f>
        <v>0</v>
      </c>
      <c r="DN29" s="55">
        <f>SUMIFS('Awards Summary'!$H:$H,'Awards Summary'!$B:$B,$C29,'Awards Summary'!$J:$J,"NIFA")</f>
        <v>0</v>
      </c>
      <c r="DO29" s="55">
        <f>SUMIFS('Disbursements Summary'!$E:$E,'Disbursements Summary'!$C:$C,$C29,'Disbursements Summary'!$A:$A,"NIFA")</f>
        <v>0</v>
      </c>
      <c r="DP29" s="55">
        <f>SUMIFS('Awards Summary'!$H:$H,'Awards Summary'!$B:$B,$C29,'Awards Summary'!$J:$J,"NHCC")</f>
        <v>0</v>
      </c>
      <c r="DQ29" s="55">
        <f>SUMIFS('Disbursements Summary'!$E:$E,'Disbursements Summary'!$C:$C,$C29,'Disbursements Summary'!$A:$A,"NHCC")</f>
        <v>0</v>
      </c>
      <c r="DR29" s="55">
        <f>SUMIFS('Awards Summary'!$H:$H,'Awards Summary'!$B:$B,$C29,'Awards Summary'!$J:$J,"NHT")</f>
        <v>0</v>
      </c>
      <c r="DS29" s="55">
        <f>SUMIFS('Disbursements Summary'!$E:$E,'Disbursements Summary'!$C:$C,$C29,'Disbursements Summary'!$A:$A,"NHT")</f>
        <v>0</v>
      </c>
      <c r="DT29" s="55">
        <f>SUMIFS('Awards Summary'!$H:$H,'Awards Summary'!$B:$B,$C29,'Awards Summary'!$J:$J,"NYPA")</f>
        <v>0</v>
      </c>
      <c r="DU29" s="55">
        <f>SUMIFS('Disbursements Summary'!$E:$E,'Disbursements Summary'!$C:$C,$C29,'Disbursements Summary'!$A:$A,"NYPA")</f>
        <v>0</v>
      </c>
      <c r="DV29" s="55">
        <f>SUMIFS('Awards Summary'!$H:$H,'Awards Summary'!$B:$B,$C29,'Awards Summary'!$J:$J,"NYSBA")</f>
        <v>0</v>
      </c>
      <c r="DW29" s="55">
        <f>SUMIFS('Disbursements Summary'!$E:$E,'Disbursements Summary'!$C:$C,$C29,'Disbursements Summary'!$A:$A,"NYSBA")</f>
        <v>0</v>
      </c>
      <c r="DX29" s="55">
        <f>SUMIFS('Awards Summary'!$H:$H,'Awards Summary'!$B:$B,$C29,'Awards Summary'!$J:$J,"NYSERDA")</f>
        <v>0</v>
      </c>
      <c r="DY29" s="55">
        <f>SUMIFS('Disbursements Summary'!$E:$E,'Disbursements Summary'!$C:$C,$C29,'Disbursements Summary'!$A:$A,"NYSERDA")</f>
        <v>0</v>
      </c>
      <c r="DZ29" s="55">
        <f>SUMIFS('Awards Summary'!$H:$H,'Awards Summary'!$B:$B,$C29,'Awards Summary'!$J:$J,"DHCR")</f>
        <v>0</v>
      </c>
      <c r="EA29" s="55">
        <f>SUMIFS('Disbursements Summary'!$E:$E,'Disbursements Summary'!$C:$C,$C29,'Disbursements Summary'!$A:$A,"DHCR")</f>
        <v>0</v>
      </c>
      <c r="EB29" s="55">
        <f>SUMIFS('Awards Summary'!$H:$H,'Awards Summary'!$B:$B,$C29,'Awards Summary'!$J:$J,"HFA")</f>
        <v>0</v>
      </c>
      <c r="EC29" s="55">
        <f>SUMIFS('Disbursements Summary'!$E:$E,'Disbursements Summary'!$C:$C,$C29,'Disbursements Summary'!$A:$A,"HFA")</f>
        <v>0</v>
      </c>
      <c r="ED29" s="55">
        <f>SUMIFS('Awards Summary'!$H:$H,'Awards Summary'!$B:$B,$C29,'Awards Summary'!$J:$J,"NYSIF")</f>
        <v>0</v>
      </c>
      <c r="EE29" s="55">
        <f>SUMIFS('Disbursements Summary'!$E:$E,'Disbursements Summary'!$C:$C,$C29,'Disbursements Summary'!$A:$A,"NYSIF")</f>
        <v>0</v>
      </c>
      <c r="EF29" s="55">
        <f>SUMIFS('Awards Summary'!$H:$H,'Awards Summary'!$B:$B,$C29,'Awards Summary'!$J:$J,"NYBREDS")</f>
        <v>0</v>
      </c>
      <c r="EG29" s="55">
        <f>SUMIFS('Disbursements Summary'!$E:$E,'Disbursements Summary'!$C:$C,$C29,'Disbursements Summary'!$A:$A,"NYBREDS")</f>
        <v>0</v>
      </c>
      <c r="EH29" s="55">
        <f>SUMIFS('Awards Summary'!$H:$H,'Awards Summary'!$B:$B,$C29,'Awards Summary'!$J:$J,"NYSTA")</f>
        <v>0</v>
      </c>
      <c r="EI29" s="55">
        <f>SUMIFS('Disbursements Summary'!$E:$E,'Disbursements Summary'!$C:$C,$C29,'Disbursements Summary'!$A:$A,"NYSTA")</f>
        <v>0</v>
      </c>
      <c r="EJ29" s="55">
        <f>SUMIFS('Awards Summary'!$H:$H,'Awards Summary'!$B:$B,$C29,'Awards Summary'!$J:$J,"NFWB")</f>
        <v>0</v>
      </c>
      <c r="EK29" s="55">
        <f>SUMIFS('Disbursements Summary'!$E:$E,'Disbursements Summary'!$C:$C,$C29,'Disbursements Summary'!$A:$A,"NFWB")</f>
        <v>0</v>
      </c>
      <c r="EL29" s="55">
        <f>SUMIFS('Awards Summary'!$H:$H,'Awards Summary'!$B:$B,$C29,'Awards Summary'!$J:$J,"NFTA")</f>
        <v>0</v>
      </c>
      <c r="EM29" s="55">
        <f>SUMIFS('Disbursements Summary'!$E:$E,'Disbursements Summary'!$C:$C,$C29,'Disbursements Summary'!$A:$A,"NFTA")</f>
        <v>0</v>
      </c>
      <c r="EN29" s="55">
        <f>SUMIFS('Awards Summary'!$H:$H,'Awards Summary'!$B:$B,$C29,'Awards Summary'!$J:$J,"OPWDD")</f>
        <v>0</v>
      </c>
      <c r="EO29" s="55">
        <f>SUMIFS('Disbursements Summary'!$E:$E,'Disbursements Summary'!$C:$C,$C29,'Disbursements Summary'!$A:$A,"OPWDD")</f>
        <v>0</v>
      </c>
      <c r="EP29" s="55">
        <f>SUMIFS('Awards Summary'!$H:$H,'Awards Summary'!$B:$B,$C29,'Awards Summary'!$J:$J,"AGING")</f>
        <v>0</v>
      </c>
      <c r="EQ29" s="55">
        <f>SUMIFS('Disbursements Summary'!$E:$E,'Disbursements Summary'!$C:$C,$C29,'Disbursements Summary'!$A:$A,"AGING")</f>
        <v>0</v>
      </c>
      <c r="ER29" s="55">
        <f>SUMIFS('Awards Summary'!$H:$H,'Awards Summary'!$B:$B,$C29,'Awards Summary'!$J:$J,"OPDV")</f>
        <v>0</v>
      </c>
      <c r="ES29" s="55">
        <f>SUMIFS('Disbursements Summary'!$E:$E,'Disbursements Summary'!$C:$C,$C29,'Disbursements Summary'!$A:$A,"OPDV")</f>
        <v>0</v>
      </c>
      <c r="ET29" s="55">
        <f>SUMIFS('Awards Summary'!$H:$H,'Awards Summary'!$B:$B,$C29,'Awards Summary'!$J:$J,"OVS")</f>
        <v>0</v>
      </c>
      <c r="EU29" s="55">
        <f>SUMIFS('Disbursements Summary'!$E:$E,'Disbursements Summary'!$C:$C,$C29,'Disbursements Summary'!$A:$A,"OVS")</f>
        <v>0</v>
      </c>
      <c r="EV29" s="55">
        <f>SUMIFS('Awards Summary'!$H:$H,'Awards Summary'!$B:$B,$C29,'Awards Summary'!$J:$J,"OASAS")</f>
        <v>0</v>
      </c>
      <c r="EW29" s="55">
        <f>SUMIFS('Disbursements Summary'!$E:$E,'Disbursements Summary'!$C:$C,$C29,'Disbursements Summary'!$A:$A,"OASAS")</f>
        <v>0</v>
      </c>
      <c r="EX29" s="55">
        <f>SUMIFS('Awards Summary'!$H:$H,'Awards Summary'!$B:$B,$C29,'Awards Summary'!$J:$J,"OCFS")</f>
        <v>0</v>
      </c>
      <c r="EY29" s="55">
        <f>SUMIFS('Disbursements Summary'!$E:$E,'Disbursements Summary'!$C:$C,$C29,'Disbursements Summary'!$A:$A,"OCFS")</f>
        <v>0</v>
      </c>
      <c r="EZ29" s="55">
        <f>SUMIFS('Awards Summary'!$H:$H,'Awards Summary'!$B:$B,$C29,'Awards Summary'!$J:$J,"OGS")</f>
        <v>0</v>
      </c>
      <c r="FA29" s="55">
        <f>SUMIFS('Disbursements Summary'!$E:$E,'Disbursements Summary'!$C:$C,$C29,'Disbursements Summary'!$A:$A,"OGS")</f>
        <v>0</v>
      </c>
      <c r="FB29" s="55">
        <f>SUMIFS('Awards Summary'!$H:$H,'Awards Summary'!$B:$B,$C29,'Awards Summary'!$J:$J,"OMH")</f>
        <v>0</v>
      </c>
      <c r="FC29" s="55">
        <f>SUMIFS('Disbursements Summary'!$E:$E,'Disbursements Summary'!$C:$C,$C29,'Disbursements Summary'!$A:$A,"OMH")</f>
        <v>0</v>
      </c>
      <c r="FD29" s="55">
        <f>SUMIFS('Awards Summary'!$H:$H,'Awards Summary'!$B:$B,$C29,'Awards Summary'!$J:$J,"PARKS")</f>
        <v>0</v>
      </c>
      <c r="FE29" s="55">
        <f>SUMIFS('Disbursements Summary'!$E:$E,'Disbursements Summary'!$C:$C,$C29,'Disbursements Summary'!$A:$A,"PARKS")</f>
        <v>0</v>
      </c>
      <c r="FF29" s="55">
        <f>SUMIFS('Awards Summary'!$H:$H,'Awards Summary'!$B:$B,$C29,'Awards Summary'!$J:$J,"OTDA")</f>
        <v>0</v>
      </c>
      <c r="FG29" s="55">
        <f>SUMIFS('Disbursements Summary'!$E:$E,'Disbursements Summary'!$C:$C,$C29,'Disbursements Summary'!$A:$A,"OTDA")</f>
        <v>0</v>
      </c>
      <c r="FH29" s="55">
        <f>SUMIFS('Awards Summary'!$H:$H,'Awards Summary'!$B:$B,$C29,'Awards Summary'!$J:$J,"OIG")</f>
        <v>0</v>
      </c>
      <c r="FI29" s="55">
        <f>SUMIFS('Disbursements Summary'!$E:$E,'Disbursements Summary'!$C:$C,$C29,'Disbursements Summary'!$A:$A,"OIG")</f>
        <v>0</v>
      </c>
      <c r="FJ29" s="55">
        <f>SUMIFS('Awards Summary'!$H:$H,'Awards Summary'!$B:$B,$C29,'Awards Summary'!$J:$J,"OMIG")</f>
        <v>0</v>
      </c>
      <c r="FK29" s="55">
        <f>SUMIFS('Disbursements Summary'!$E:$E,'Disbursements Summary'!$C:$C,$C29,'Disbursements Summary'!$A:$A,"OMIG")</f>
        <v>0</v>
      </c>
      <c r="FL29" s="55">
        <f>SUMIFS('Awards Summary'!$H:$H,'Awards Summary'!$B:$B,$C29,'Awards Summary'!$J:$J,"OSC")</f>
        <v>0</v>
      </c>
      <c r="FM29" s="55">
        <f>SUMIFS('Disbursements Summary'!$E:$E,'Disbursements Summary'!$C:$C,$C29,'Disbursements Summary'!$A:$A,"OSC")</f>
        <v>0</v>
      </c>
      <c r="FN29" s="55">
        <f>SUMIFS('Awards Summary'!$H:$H,'Awards Summary'!$B:$B,$C29,'Awards Summary'!$J:$J,"OWIG")</f>
        <v>0</v>
      </c>
      <c r="FO29" s="55">
        <f>SUMIFS('Disbursements Summary'!$E:$E,'Disbursements Summary'!$C:$C,$C29,'Disbursements Summary'!$A:$A,"OWIG")</f>
        <v>0</v>
      </c>
      <c r="FP29" s="55">
        <f>SUMIFS('Awards Summary'!$H:$H,'Awards Summary'!$B:$B,$C29,'Awards Summary'!$J:$J,"OGDEN")</f>
        <v>0</v>
      </c>
      <c r="FQ29" s="55">
        <f>SUMIFS('Disbursements Summary'!$E:$E,'Disbursements Summary'!$C:$C,$C29,'Disbursements Summary'!$A:$A,"OGDEN")</f>
        <v>0</v>
      </c>
      <c r="FR29" s="55">
        <f>SUMIFS('Awards Summary'!$H:$H,'Awards Summary'!$B:$B,$C29,'Awards Summary'!$J:$J,"ORDA")</f>
        <v>0</v>
      </c>
      <c r="FS29" s="55">
        <f>SUMIFS('Disbursements Summary'!$E:$E,'Disbursements Summary'!$C:$C,$C29,'Disbursements Summary'!$A:$A,"ORDA")</f>
        <v>0</v>
      </c>
      <c r="FT29" s="55">
        <f>SUMIFS('Awards Summary'!$H:$H,'Awards Summary'!$B:$B,$C29,'Awards Summary'!$J:$J,"OSWEGO")</f>
        <v>0</v>
      </c>
      <c r="FU29" s="55">
        <f>SUMIFS('Disbursements Summary'!$E:$E,'Disbursements Summary'!$C:$C,$C29,'Disbursements Summary'!$A:$A,"OSWEGO")</f>
        <v>0</v>
      </c>
      <c r="FV29" s="55">
        <f>SUMIFS('Awards Summary'!$H:$H,'Awards Summary'!$B:$B,$C29,'Awards Summary'!$J:$J,"PERB")</f>
        <v>0</v>
      </c>
      <c r="FW29" s="55">
        <f>SUMIFS('Disbursements Summary'!$E:$E,'Disbursements Summary'!$C:$C,$C29,'Disbursements Summary'!$A:$A,"PERB")</f>
        <v>0</v>
      </c>
      <c r="FX29" s="55">
        <f>SUMIFS('Awards Summary'!$H:$H,'Awards Summary'!$B:$B,$C29,'Awards Summary'!$J:$J,"RGRTA")</f>
        <v>0</v>
      </c>
      <c r="FY29" s="55">
        <f>SUMIFS('Disbursements Summary'!$E:$E,'Disbursements Summary'!$C:$C,$C29,'Disbursements Summary'!$A:$A,"RGRTA")</f>
        <v>0</v>
      </c>
      <c r="FZ29" s="55">
        <f>SUMIFS('Awards Summary'!$H:$H,'Awards Summary'!$B:$B,$C29,'Awards Summary'!$J:$J,"RIOC")</f>
        <v>0</v>
      </c>
      <c r="GA29" s="55">
        <f>SUMIFS('Disbursements Summary'!$E:$E,'Disbursements Summary'!$C:$C,$C29,'Disbursements Summary'!$A:$A,"RIOC")</f>
        <v>0</v>
      </c>
      <c r="GB29" s="55">
        <f>SUMIFS('Awards Summary'!$H:$H,'Awards Summary'!$B:$B,$C29,'Awards Summary'!$J:$J,"RPCI")</f>
        <v>0</v>
      </c>
      <c r="GC29" s="55">
        <f>SUMIFS('Disbursements Summary'!$E:$E,'Disbursements Summary'!$C:$C,$C29,'Disbursements Summary'!$A:$A,"RPCI")</f>
        <v>0</v>
      </c>
      <c r="GD29" s="55">
        <f>SUMIFS('Awards Summary'!$H:$H,'Awards Summary'!$B:$B,$C29,'Awards Summary'!$J:$J,"SMDA")</f>
        <v>0</v>
      </c>
      <c r="GE29" s="55">
        <f>SUMIFS('Disbursements Summary'!$E:$E,'Disbursements Summary'!$C:$C,$C29,'Disbursements Summary'!$A:$A,"SMDA")</f>
        <v>0</v>
      </c>
      <c r="GF29" s="55">
        <f>SUMIFS('Awards Summary'!$H:$H,'Awards Summary'!$B:$B,$C29,'Awards Summary'!$J:$J,"SCOC")</f>
        <v>0</v>
      </c>
      <c r="GG29" s="55">
        <f>SUMIFS('Disbursements Summary'!$E:$E,'Disbursements Summary'!$C:$C,$C29,'Disbursements Summary'!$A:$A,"SCOC")</f>
        <v>0</v>
      </c>
      <c r="GH29" s="55">
        <f>SUMIFS('Awards Summary'!$H:$H,'Awards Summary'!$B:$B,$C29,'Awards Summary'!$J:$J,"SUCF")</f>
        <v>0</v>
      </c>
      <c r="GI29" s="55">
        <f>SUMIFS('Disbursements Summary'!$E:$E,'Disbursements Summary'!$C:$C,$C29,'Disbursements Summary'!$A:$A,"SUCF")</f>
        <v>0</v>
      </c>
      <c r="GJ29" s="55">
        <f>SUMIFS('Awards Summary'!$H:$H,'Awards Summary'!$B:$B,$C29,'Awards Summary'!$J:$J,"SUNY")</f>
        <v>0</v>
      </c>
      <c r="GK29" s="55">
        <f>SUMIFS('Disbursements Summary'!$E:$E,'Disbursements Summary'!$C:$C,$C29,'Disbursements Summary'!$A:$A,"SUNY")</f>
        <v>0</v>
      </c>
      <c r="GL29" s="55">
        <f>SUMIFS('Awards Summary'!$H:$H,'Awards Summary'!$B:$B,$C29,'Awards Summary'!$J:$J,"SRAA")</f>
        <v>0</v>
      </c>
      <c r="GM29" s="55">
        <f>SUMIFS('Disbursements Summary'!$E:$E,'Disbursements Summary'!$C:$C,$C29,'Disbursements Summary'!$A:$A,"SRAA")</f>
        <v>0</v>
      </c>
      <c r="GN29" s="55">
        <f>SUMIFS('Awards Summary'!$H:$H,'Awards Summary'!$B:$B,$C29,'Awards Summary'!$J:$J,"UNDC")</f>
        <v>0</v>
      </c>
      <c r="GO29" s="55">
        <f>SUMIFS('Disbursements Summary'!$E:$E,'Disbursements Summary'!$C:$C,$C29,'Disbursements Summary'!$A:$A,"UNDC")</f>
        <v>0</v>
      </c>
      <c r="GP29" s="55">
        <f>SUMIFS('Awards Summary'!$H:$H,'Awards Summary'!$B:$B,$C29,'Awards Summary'!$J:$J,"MVWA")</f>
        <v>0</v>
      </c>
      <c r="GQ29" s="55">
        <f>SUMIFS('Disbursements Summary'!$E:$E,'Disbursements Summary'!$C:$C,$C29,'Disbursements Summary'!$A:$A,"MVWA")</f>
        <v>0</v>
      </c>
      <c r="GR29" s="55">
        <f>SUMIFS('Awards Summary'!$H:$H,'Awards Summary'!$B:$B,$C29,'Awards Summary'!$J:$J,"WMC")</f>
        <v>0</v>
      </c>
      <c r="GS29" s="55">
        <f>SUMIFS('Disbursements Summary'!$E:$E,'Disbursements Summary'!$C:$C,$C29,'Disbursements Summary'!$A:$A,"WMC")</f>
        <v>0</v>
      </c>
      <c r="GT29" s="55">
        <f>SUMIFS('Awards Summary'!$H:$H,'Awards Summary'!$B:$B,$C29,'Awards Summary'!$J:$J,"WCB")</f>
        <v>0</v>
      </c>
      <c r="GU29" s="55">
        <f>SUMIFS('Disbursements Summary'!$E:$E,'Disbursements Summary'!$C:$C,$C29,'Disbursements Summary'!$A:$A,"WCB")</f>
        <v>0</v>
      </c>
      <c r="GV29" s="32">
        <f t="shared" si="5"/>
        <v>0</v>
      </c>
      <c r="GW29" s="32">
        <f t="shared" si="6"/>
        <v>0</v>
      </c>
      <c r="GX29" s="30" t="b">
        <f t="shared" si="7"/>
        <v>1</v>
      </c>
      <c r="GY29" s="30" t="b">
        <f t="shared" si="8"/>
        <v>1</v>
      </c>
    </row>
    <row r="30" spans="1:207" s="30" customFormat="1" ht="15" customHeight="1">
      <c r="A30" s="22" t="str">
        <f t="shared" si="0"/>
        <v/>
      </c>
      <c r="B30" s="40" t="s">
        <v>84</v>
      </c>
      <c r="C30" s="16">
        <v>141050</v>
      </c>
      <c r="D30" s="26">
        <f>COUNTIF('Awards Summary'!B:B,"141050")</f>
        <v>0</v>
      </c>
      <c r="E30" s="45">
        <f>SUMIFS('Awards Summary'!H:H,'Awards Summary'!B:B,"141050")</f>
        <v>0</v>
      </c>
      <c r="F30" s="46">
        <f>SUMIFS('Disbursements Summary'!E:E,'Disbursements Summary'!C:C, "141050")</f>
        <v>0</v>
      </c>
      <c r="H30" s="55">
        <f>SUMIFS('Awards Summary'!$H:$H,'Awards Summary'!$B:$B,$C30,'Awards Summary'!$J:$J,"APA")</f>
        <v>0</v>
      </c>
      <c r="I30" s="55">
        <f>SUMIFS('Disbursements Summary'!$E:$E,'Disbursements Summary'!$C:$C,$C30,'Disbursements Summary'!$A:$A,"APA")</f>
        <v>0</v>
      </c>
      <c r="J30" s="55">
        <f>SUMIFS('Awards Summary'!$H:$H,'Awards Summary'!$B:$B,$C30,'Awards Summary'!$J:$J,"Ag&amp;Horse")</f>
        <v>0</v>
      </c>
      <c r="K30" s="55">
        <f>SUMIFS('Disbursements Summary'!$E:$E,'Disbursements Summary'!$C:$C,$C30,'Disbursements Summary'!$A:$A,"Ag&amp;Horse")</f>
        <v>0</v>
      </c>
      <c r="L30" s="55">
        <f>SUMIFS('Awards Summary'!$H:$H,'Awards Summary'!$B:$B,$C30,'Awards Summary'!$J:$J,"ACAA")</f>
        <v>0</v>
      </c>
      <c r="M30" s="55">
        <f>SUMIFS('Disbursements Summary'!$E:$E,'Disbursements Summary'!$C:$C,$C30,'Disbursements Summary'!$A:$A,"ACAA")</f>
        <v>0</v>
      </c>
      <c r="N30" s="55">
        <f>SUMIFS('Awards Summary'!$H:$H,'Awards Summary'!$B:$B,$C30,'Awards Summary'!$J:$J,"PortAlbany")</f>
        <v>0</v>
      </c>
      <c r="O30" s="55">
        <f>SUMIFS('Disbursements Summary'!$E:$E,'Disbursements Summary'!$C:$C,$C30,'Disbursements Summary'!$A:$A,"PortAlbany")</f>
        <v>0</v>
      </c>
      <c r="P30" s="55">
        <f>SUMIFS('Awards Summary'!$H:$H,'Awards Summary'!$B:$B,$C30,'Awards Summary'!$J:$J,"SLA")</f>
        <v>0</v>
      </c>
      <c r="Q30" s="55">
        <f>SUMIFS('Disbursements Summary'!$E:$E,'Disbursements Summary'!$C:$C,$C30,'Disbursements Summary'!$A:$A,"SLA")</f>
        <v>0</v>
      </c>
      <c r="R30" s="55">
        <f>SUMIFS('Awards Summary'!$H:$H,'Awards Summary'!$B:$B,$C30,'Awards Summary'!$J:$J,"BPCA")</f>
        <v>0</v>
      </c>
      <c r="S30" s="55">
        <f>SUMIFS('Disbursements Summary'!$E:$E,'Disbursements Summary'!$C:$C,$C30,'Disbursements Summary'!$A:$A,"BPCA")</f>
        <v>0</v>
      </c>
      <c r="T30" s="55">
        <f>SUMIFS('Awards Summary'!$H:$H,'Awards Summary'!$B:$B,$C30,'Awards Summary'!$J:$J,"ELECTIONS")</f>
        <v>0</v>
      </c>
      <c r="U30" s="55">
        <f>SUMIFS('Disbursements Summary'!$E:$E,'Disbursements Summary'!$C:$C,$C30,'Disbursements Summary'!$A:$A,"ELECTIONS")</f>
        <v>0</v>
      </c>
      <c r="V30" s="55">
        <f>SUMIFS('Awards Summary'!$H:$H,'Awards Summary'!$B:$B,$C30,'Awards Summary'!$J:$J,"BFSA")</f>
        <v>0</v>
      </c>
      <c r="W30" s="55">
        <f>SUMIFS('Disbursements Summary'!$E:$E,'Disbursements Summary'!$C:$C,$C30,'Disbursements Summary'!$A:$A,"BFSA")</f>
        <v>0</v>
      </c>
      <c r="X30" s="55">
        <f>SUMIFS('Awards Summary'!$H:$H,'Awards Summary'!$B:$B,$C30,'Awards Summary'!$J:$J,"CDTA")</f>
        <v>0</v>
      </c>
      <c r="Y30" s="55">
        <f>SUMIFS('Disbursements Summary'!$E:$E,'Disbursements Summary'!$C:$C,$C30,'Disbursements Summary'!$A:$A,"CDTA")</f>
        <v>0</v>
      </c>
      <c r="Z30" s="55">
        <f>SUMIFS('Awards Summary'!$H:$H,'Awards Summary'!$B:$B,$C30,'Awards Summary'!$J:$J,"CCWSA")</f>
        <v>0</v>
      </c>
      <c r="AA30" s="55">
        <f>SUMIFS('Disbursements Summary'!$E:$E,'Disbursements Summary'!$C:$C,$C30,'Disbursements Summary'!$A:$A,"CCWSA")</f>
        <v>0</v>
      </c>
      <c r="AB30" s="55">
        <f>SUMIFS('Awards Summary'!$H:$H,'Awards Summary'!$B:$B,$C30,'Awards Summary'!$J:$J,"CNYRTA")</f>
        <v>0</v>
      </c>
      <c r="AC30" s="55">
        <f>SUMIFS('Disbursements Summary'!$E:$E,'Disbursements Summary'!$C:$C,$C30,'Disbursements Summary'!$A:$A,"CNYRTA")</f>
        <v>0</v>
      </c>
      <c r="AD30" s="55">
        <f>SUMIFS('Awards Summary'!$H:$H,'Awards Summary'!$B:$B,$C30,'Awards Summary'!$J:$J,"CUCF")</f>
        <v>0</v>
      </c>
      <c r="AE30" s="55">
        <f>SUMIFS('Disbursements Summary'!$E:$E,'Disbursements Summary'!$C:$C,$C30,'Disbursements Summary'!$A:$A,"CUCF")</f>
        <v>0</v>
      </c>
      <c r="AF30" s="55">
        <f>SUMIFS('Awards Summary'!$H:$H,'Awards Summary'!$B:$B,$C30,'Awards Summary'!$J:$J,"CUNY")</f>
        <v>0</v>
      </c>
      <c r="AG30" s="55">
        <f>SUMIFS('Disbursements Summary'!$E:$E,'Disbursements Summary'!$C:$C,$C30,'Disbursements Summary'!$A:$A,"CUNY")</f>
        <v>0</v>
      </c>
      <c r="AH30" s="55">
        <f>SUMIFS('Awards Summary'!$H:$H,'Awards Summary'!$B:$B,$C30,'Awards Summary'!$J:$J,"ARTS")</f>
        <v>0</v>
      </c>
      <c r="AI30" s="55">
        <f>SUMIFS('Disbursements Summary'!$E:$E,'Disbursements Summary'!$C:$C,$C30,'Disbursements Summary'!$A:$A,"ARTS")</f>
        <v>0</v>
      </c>
      <c r="AJ30" s="55">
        <f>SUMIFS('Awards Summary'!$H:$H,'Awards Summary'!$B:$B,$C30,'Awards Summary'!$J:$J,"AG&amp;MKTS")</f>
        <v>0</v>
      </c>
      <c r="AK30" s="55">
        <f>SUMIFS('Disbursements Summary'!$E:$E,'Disbursements Summary'!$C:$C,$C30,'Disbursements Summary'!$A:$A,"AG&amp;MKTS")</f>
        <v>0</v>
      </c>
      <c r="AL30" s="55">
        <f>SUMIFS('Awards Summary'!$H:$H,'Awards Summary'!$B:$B,$C30,'Awards Summary'!$J:$J,"CS")</f>
        <v>0</v>
      </c>
      <c r="AM30" s="55">
        <f>SUMIFS('Disbursements Summary'!$E:$E,'Disbursements Summary'!$C:$C,$C30,'Disbursements Summary'!$A:$A,"CS")</f>
        <v>0</v>
      </c>
      <c r="AN30" s="55">
        <f>SUMIFS('Awards Summary'!$H:$H,'Awards Summary'!$B:$B,$C30,'Awards Summary'!$J:$J,"DOCCS")</f>
        <v>0</v>
      </c>
      <c r="AO30" s="55">
        <f>SUMIFS('Disbursements Summary'!$E:$E,'Disbursements Summary'!$C:$C,$C30,'Disbursements Summary'!$A:$A,"DOCCS")</f>
        <v>0</v>
      </c>
      <c r="AP30" s="55">
        <f>SUMIFS('Awards Summary'!$H:$H,'Awards Summary'!$B:$B,$C30,'Awards Summary'!$J:$J,"DED")</f>
        <v>0</v>
      </c>
      <c r="AQ30" s="55">
        <f>SUMIFS('Disbursements Summary'!$E:$E,'Disbursements Summary'!$C:$C,$C30,'Disbursements Summary'!$A:$A,"DED")</f>
        <v>0</v>
      </c>
      <c r="AR30" s="55">
        <f>SUMIFS('Awards Summary'!$H:$H,'Awards Summary'!$B:$B,$C30,'Awards Summary'!$J:$J,"DEC")</f>
        <v>0</v>
      </c>
      <c r="AS30" s="55">
        <f>SUMIFS('Disbursements Summary'!$E:$E,'Disbursements Summary'!$C:$C,$C30,'Disbursements Summary'!$A:$A,"DEC")</f>
        <v>0</v>
      </c>
      <c r="AT30" s="55">
        <f>SUMIFS('Awards Summary'!$H:$H,'Awards Summary'!$B:$B,$C30,'Awards Summary'!$J:$J,"DFS")</f>
        <v>0</v>
      </c>
      <c r="AU30" s="55">
        <f>SUMIFS('Disbursements Summary'!$E:$E,'Disbursements Summary'!$C:$C,$C30,'Disbursements Summary'!$A:$A,"DFS")</f>
        <v>0</v>
      </c>
      <c r="AV30" s="55">
        <f>SUMIFS('Awards Summary'!$H:$H,'Awards Summary'!$B:$B,$C30,'Awards Summary'!$J:$J,"DOH")</f>
        <v>0</v>
      </c>
      <c r="AW30" s="55">
        <f>SUMIFS('Disbursements Summary'!$E:$E,'Disbursements Summary'!$C:$C,$C30,'Disbursements Summary'!$A:$A,"DOH")</f>
        <v>0</v>
      </c>
      <c r="AX30" s="55">
        <f>SUMIFS('Awards Summary'!$H:$H,'Awards Summary'!$B:$B,$C30,'Awards Summary'!$J:$J,"DOL")</f>
        <v>0</v>
      </c>
      <c r="AY30" s="55">
        <f>SUMIFS('Disbursements Summary'!$E:$E,'Disbursements Summary'!$C:$C,$C30,'Disbursements Summary'!$A:$A,"DOL")</f>
        <v>0</v>
      </c>
      <c r="AZ30" s="55">
        <f>SUMIFS('Awards Summary'!$H:$H,'Awards Summary'!$B:$B,$C30,'Awards Summary'!$J:$J,"DMV")</f>
        <v>0</v>
      </c>
      <c r="BA30" s="55">
        <f>SUMIFS('Disbursements Summary'!$E:$E,'Disbursements Summary'!$C:$C,$C30,'Disbursements Summary'!$A:$A,"DMV")</f>
        <v>0</v>
      </c>
      <c r="BB30" s="55">
        <f>SUMIFS('Awards Summary'!$H:$H,'Awards Summary'!$B:$B,$C30,'Awards Summary'!$J:$J,"DPS")</f>
        <v>0</v>
      </c>
      <c r="BC30" s="55">
        <f>SUMIFS('Disbursements Summary'!$E:$E,'Disbursements Summary'!$C:$C,$C30,'Disbursements Summary'!$A:$A,"DPS")</f>
        <v>0</v>
      </c>
      <c r="BD30" s="55">
        <f>SUMIFS('Awards Summary'!$H:$H,'Awards Summary'!$B:$B,$C30,'Awards Summary'!$J:$J,"DOS")</f>
        <v>0</v>
      </c>
      <c r="BE30" s="55">
        <f>SUMIFS('Disbursements Summary'!$E:$E,'Disbursements Summary'!$C:$C,$C30,'Disbursements Summary'!$A:$A,"DOS")</f>
        <v>0</v>
      </c>
      <c r="BF30" s="55">
        <f>SUMIFS('Awards Summary'!$H:$H,'Awards Summary'!$B:$B,$C30,'Awards Summary'!$J:$J,"TAX")</f>
        <v>0</v>
      </c>
      <c r="BG30" s="55">
        <f>SUMIFS('Disbursements Summary'!$E:$E,'Disbursements Summary'!$C:$C,$C30,'Disbursements Summary'!$A:$A,"TAX")</f>
        <v>0</v>
      </c>
      <c r="BH30" s="55">
        <f>SUMIFS('Awards Summary'!$H:$H,'Awards Summary'!$B:$B,$C30,'Awards Summary'!$J:$J,"DOT")</f>
        <v>0</v>
      </c>
      <c r="BI30" s="55">
        <f>SUMIFS('Disbursements Summary'!$E:$E,'Disbursements Summary'!$C:$C,$C30,'Disbursements Summary'!$A:$A,"DOT")</f>
        <v>0</v>
      </c>
      <c r="BJ30" s="55">
        <f>SUMIFS('Awards Summary'!$H:$H,'Awards Summary'!$B:$B,$C30,'Awards Summary'!$J:$J,"DANC")</f>
        <v>0</v>
      </c>
      <c r="BK30" s="55">
        <f>SUMIFS('Disbursements Summary'!$E:$E,'Disbursements Summary'!$C:$C,$C30,'Disbursements Summary'!$A:$A,"DANC")</f>
        <v>0</v>
      </c>
      <c r="BL30" s="55">
        <f>SUMIFS('Awards Summary'!$H:$H,'Awards Summary'!$B:$B,$C30,'Awards Summary'!$J:$J,"DOB")</f>
        <v>0</v>
      </c>
      <c r="BM30" s="55">
        <f>SUMIFS('Disbursements Summary'!$E:$E,'Disbursements Summary'!$C:$C,$C30,'Disbursements Summary'!$A:$A,"DOB")</f>
        <v>0</v>
      </c>
      <c r="BN30" s="55">
        <f>SUMIFS('Awards Summary'!$H:$H,'Awards Summary'!$B:$B,$C30,'Awards Summary'!$J:$J,"DCJS")</f>
        <v>0</v>
      </c>
      <c r="BO30" s="55">
        <f>SUMIFS('Disbursements Summary'!$E:$E,'Disbursements Summary'!$C:$C,$C30,'Disbursements Summary'!$A:$A,"DCJS")</f>
        <v>0</v>
      </c>
      <c r="BP30" s="55">
        <f>SUMIFS('Awards Summary'!$H:$H,'Awards Summary'!$B:$B,$C30,'Awards Summary'!$J:$J,"DHSES")</f>
        <v>0</v>
      </c>
      <c r="BQ30" s="55">
        <f>SUMIFS('Disbursements Summary'!$E:$E,'Disbursements Summary'!$C:$C,$C30,'Disbursements Summary'!$A:$A,"DHSES")</f>
        <v>0</v>
      </c>
      <c r="BR30" s="55">
        <f>SUMIFS('Awards Summary'!$H:$H,'Awards Summary'!$B:$B,$C30,'Awards Summary'!$J:$J,"DHR")</f>
        <v>0</v>
      </c>
      <c r="BS30" s="55">
        <f>SUMIFS('Disbursements Summary'!$E:$E,'Disbursements Summary'!$C:$C,$C30,'Disbursements Summary'!$A:$A,"DHR")</f>
        <v>0</v>
      </c>
      <c r="BT30" s="55">
        <f>SUMIFS('Awards Summary'!$H:$H,'Awards Summary'!$B:$B,$C30,'Awards Summary'!$J:$J,"DMNA")</f>
        <v>0</v>
      </c>
      <c r="BU30" s="55">
        <f>SUMIFS('Disbursements Summary'!$E:$E,'Disbursements Summary'!$C:$C,$C30,'Disbursements Summary'!$A:$A,"DMNA")</f>
        <v>0</v>
      </c>
      <c r="BV30" s="55">
        <f>SUMIFS('Awards Summary'!$H:$H,'Awards Summary'!$B:$B,$C30,'Awards Summary'!$J:$J,"TROOPERS")</f>
        <v>0</v>
      </c>
      <c r="BW30" s="55">
        <f>SUMIFS('Disbursements Summary'!$E:$E,'Disbursements Summary'!$C:$C,$C30,'Disbursements Summary'!$A:$A,"TROOPERS")</f>
        <v>0</v>
      </c>
      <c r="BX30" s="55">
        <f>SUMIFS('Awards Summary'!$H:$H,'Awards Summary'!$B:$B,$C30,'Awards Summary'!$J:$J,"DVA")</f>
        <v>0</v>
      </c>
      <c r="BY30" s="55">
        <f>SUMIFS('Disbursements Summary'!$E:$E,'Disbursements Summary'!$C:$C,$C30,'Disbursements Summary'!$A:$A,"DVA")</f>
        <v>0</v>
      </c>
      <c r="BZ30" s="55">
        <f>SUMIFS('Awards Summary'!$H:$H,'Awards Summary'!$B:$B,$C30,'Awards Summary'!$J:$J,"DASNY")</f>
        <v>0</v>
      </c>
      <c r="CA30" s="55">
        <f>SUMIFS('Disbursements Summary'!$E:$E,'Disbursements Summary'!$C:$C,$C30,'Disbursements Summary'!$A:$A,"DASNY")</f>
        <v>0</v>
      </c>
      <c r="CB30" s="55">
        <f>SUMIFS('Awards Summary'!$H:$H,'Awards Summary'!$B:$B,$C30,'Awards Summary'!$J:$J,"EGG")</f>
        <v>0</v>
      </c>
      <c r="CC30" s="55">
        <f>SUMIFS('Disbursements Summary'!$E:$E,'Disbursements Summary'!$C:$C,$C30,'Disbursements Summary'!$A:$A,"EGG")</f>
        <v>0</v>
      </c>
      <c r="CD30" s="55">
        <f>SUMIFS('Awards Summary'!$H:$H,'Awards Summary'!$B:$B,$C30,'Awards Summary'!$J:$J,"ESD")</f>
        <v>0</v>
      </c>
      <c r="CE30" s="55">
        <f>SUMIFS('Disbursements Summary'!$E:$E,'Disbursements Summary'!$C:$C,$C30,'Disbursements Summary'!$A:$A,"ESD")</f>
        <v>0</v>
      </c>
      <c r="CF30" s="55">
        <f>SUMIFS('Awards Summary'!$H:$H,'Awards Summary'!$B:$B,$C30,'Awards Summary'!$J:$J,"EFC")</f>
        <v>0</v>
      </c>
      <c r="CG30" s="55">
        <f>SUMIFS('Disbursements Summary'!$E:$E,'Disbursements Summary'!$C:$C,$C30,'Disbursements Summary'!$A:$A,"EFC")</f>
        <v>0</v>
      </c>
      <c r="CH30" s="55">
        <f>SUMIFS('Awards Summary'!$H:$H,'Awards Summary'!$B:$B,$C30,'Awards Summary'!$J:$J,"ECFSA")</f>
        <v>0</v>
      </c>
      <c r="CI30" s="55">
        <f>SUMIFS('Disbursements Summary'!$E:$E,'Disbursements Summary'!$C:$C,$C30,'Disbursements Summary'!$A:$A,"ECFSA")</f>
        <v>0</v>
      </c>
      <c r="CJ30" s="55">
        <f>SUMIFS('Awards Summary'!$H:$H,'Awards Summary'!$B:$B,$C30,'Awards Summary'!$J:$J,"ECMC")</f>
        <v>0</v>
      </c>
      <c r="CK30" s="55">
        <f>SUMIFS('Disbursements Summary'!$E:$E,'Disbursements Summary'!$C:$C,$C30,'Disbursements Summary'!$A:$A,"ECMC")</f>
        <v>0</v>
      </c>
      <c r="CL30" s="55">
        <f>SUMIFS('Awards Summary'!$H:$H,'Awards Summary'!$B:$B,$C30,'Awards Summary'!$J:$J,"CHAMBER")</f>
        <v>0</v>
      </c>
      <c r="CM30" s="55">
        <f>SUMIFS('Disbursements Summary'!$E:$E,'Disbursements Summary'!$C:$C,$C30,'Disbursements Summary'!$A:$A,"CHAMBER")</f>
        <v>0</v>
      </c>
      <c r="CN30" s="55">
        <f>SUMIFS('Awards Summary'!$H:$H,'Awards Summary'!$B:$B,$C30,'Awards Summary'!$J:$J,"GAMING")</f>
        <v>0</v>
      </c>
      <c r="CO30" s="55">
        <f>SUMIFS('Disbursements Summary'!$E:$E,'Disbursements Summary'!$C:$C,$C30,'Disbursements Summary'!$A:$A,"GAMING")</f>
        <v>0</v>
      </c>
      <c r="CP30" s="55">
        <f>SUMIFS('Awards Summary'!$H:$H,'Awards Summary'!$B:$B,$C30,'Awards Summary'!$J:$J,"GOER")</f>
        <v>0</v>
      </c>
      <c r="CQ30" s="55">
        <f>SUMIFS('Disbursements Summary'!$E:$E,'Disbursements Summary'!$C:$C,$C30,'Disbursements Summary'!$A:$A,"GOER")</f>
        <v>0</v>
      </c>
      <c r="CR30" s="55">
        <f>SUMIFS('Awards Summary'!$H:$H,'Awards Summary'!$B:$B,$C30,'Awards Summary'!$J:$J,"HESC")</f>
        <v>0</v>
      </c>
      <c r="CS30" s="55">
        <f>SUMIFS('Disbursements Summary'!$E:$E,'Disbursements Summary'!$C:$C,$C30,'Disbursements Summary'!$A:$A,"HESC")</f>
        <v>0</v>
      </c>
      <c r="CT30" s="55">
        <f>SUMIFS('Awards Summary'!$H:$H,'Awards Summary'!$B:$B,$C30,'Awards Summary'!$J:$J,"GOSR")</f>
        <v>0</v>
      </c>
      <c r="CU30" s="55">
        <f>SUMIFS('Disbursements Summary'!$E:$E,'Disbursements Summary'!$C:$C,$C30,'Disbursements Summary'!$A:$A,"GOSR")</f>
        <v>0</v>
      </c>
      <c r="CV30" s="55">
        <f>SUMIFS('Awards Summary'!$H:$H,'Awards Summary'!$B:$B,$C30,'Awards Summary'!$J:$J,"HRPT")</f>
        <v>0</v>
      </c>
      <c r="CW30" s="55">
        <f>SUMIFS('Disbursements Summary'!$E:$E,'Disbursements Summary'!$C:$C,$C30,'Disbursements Summary'!$A:$A,"HRPT")</f>
        <v>0</v>
      </c>
      <c r="CX30" s="55">
        <f>SUMIFS('Awards Summary'!$H:$H,'Awards Summary'!$B:$B,$C30,'Awards Summary'!$J:$J,"HRBRRD")</f>
        <v>0</v>
      </c>
      <c r="CY30" s="55">
        <f>SUMIFS('Disbursements Summary'!$E:$E,'Disbursements Summary'!$C:$C,$C30,'Disbursements Summary'!$A:$A,"HRBRRD")</f>
        <v>0</v>
      </c>
      <c r="CZ30" s="55">
        <f>SUMIFS('Awards Summary'!$H:$H,'Awards Summary'!$B:$B,$C30,'Awards Summary'!$J:$J,"ITS")</f>
        <v>0</v>
      </c>
      <c r="DA30" s="55">
        <f>SUMIFS('Disbursements Summary'!$E:$E,'Disbursements Summary'!$C:$C,$C30,'Disbursements Summary'!$A:$A,"ITS")</f>
        <v>0</v>
      </c>
      <c r="DB30" s="55">
        <f>SUMIFS('Awards Summary'!$H:$H,'Awards Summary'!$B:$B,$C30,'Awards Summary'!$J:$J,"JAVITS")</f>
        <v>0</v>
      </c>
      <c r="DC30" s="55">
        <f>SUMIFS('Disbursements Summary'!$E:$E,'Disbursements Summary'!$C:$C,$C30,'Disbursements Summary'!$A:$A,"JAVITS")</f>
        <v>0</v>
      </c>
      <c r="DD30" s="55">
        <f>SUMIFS('Awards Summary'!$H:$H,'Awards Summary'!$B:$B,$C30,'Awards Summary'!$J:$J,"JCOPE")</f>
        <v>0</v>
      </c>
      <c r="DE30" s="55">
        <f>SUMIFS('Disbursements Summary'!$E:$E,'Disbursements Summary'!$C:$C,$C30,'Disbursements Summary'!$A:$A,"JCOPE")</f>
        <v>0</v>
      </c>
      <c r="DF30" s="55">
        <f>SUMIFS('Awards Summary'!$H:$H,'Awards Summary'!$B:$B,$C30,'Awards Summary'!$J:$J,"JUSTICE")</f>
        <v>0</v>
      </c>
      <c r="DG30" s="55">
        <f>SUMIFS('Disbursements Summary'!$E:$E,'Disbursements Summary'!$C:$C,$C30,'Disbursements Summary'!$A:$A,"JUSTICE")</f>
        <v>0</v>
      </c>
      <c r="DH30" s="55">
        <f>SUMIFS('Awards Summary'!$H:$H,'Awards Summary'!$B:$B,$C30,'Awards Summary'!$J:$J,"LCWSA")</f>
        <v>0</v>
      </c>
      <c r="DI30" s="55">
        <f>SUMIFS('Disbursements Summary'!$E:$E,'Disbursements Summary'!$C:$C,$C30,'Disbursements Summary'!$A:$A,"LCWSA")</f>
        <v>0</v>
      </c>
      <c r="DJ30" s="55">
        <f>SUMIFS('Awards Summary'!$H:$H,'Awards Summary'!$B:$B,$C30,'Awards Summary'!$J:$J,"LIPA")</f>
        <v>0</v>
      </c>
      <c r="DK30" s="55">
        <f>SUMIFS('Disbursements Summary'!$E:$E,'Disbursements Summary'!$C:$C,$C30,'Disbursements Summary'!$A:$A,"LIPA")</f>
        <v>0</v>
      </c>
      <c r="DL30" s="55">
        <f>SUMIFS('Awards Summary'!$H:$H,'Awards Summary'!$B:$B,$C30,'Awards Summary'!$J:$J,"MTA")</f>
        <v>0</v>
      </c>
      <c r="DM30" s="55">
        <f>SUMIFS('Disbursements Summary'!$E:$E,'Disbursements Summary'!$C:$C,$C30,'Disbursements Summary'!$A:$A,"MTA")</f>
        <v>0</v>
      </c>
      <c r="DN30" s="55">
        <f>SUMIFS('Awards Summary'!$H:$H,'Awards Summary'!$B:$B,$C30,'Awards Summary'!$J:$J,"NIFA")</f>
        <v>0</v>
      </c>
      <c r="DO30" s="55">
        <f>SUMIFS('Disbursements Summary'!$E:$E,'Disbursements Summary'!$C:$C,$C30,'Disbursements Summary'!$A:$A,"NIFA")</f>
        <v>0</v>
      </c>
      <c r="DP30" s="55">
        <f>SUMIFS('Awards Summary'!$H:$H,'Awards Summary'!$B:$B,$C30,'Awards Summary'!$J:$J,"NHCC")</f>
        <v>0</v>
      </c>
      <c r="DQ30" s="55">
        <f>SUMIFS('Disbursements Summary'!$E:$E,'Disbursements Summary'!$C:$C,$C30,'Disbursements Summary'!$A:$A,"NHCC")</f>
        <v>0</v>
      </c>
      <c r="DR30" s="55">
        <f>SUMIFS('Awards Summary'!$H:$H,'Awards Summary'!$B:$B,$C30,'Awards Summary'!$J:$J,"NHT")</f>
        <v>0</v>
      </c>
      <c r="DS30" s="55">
        <f>SUMIFS('Disbursements Summary'!$E:$E,'Disbursements Summary'!$C:$C,$C30,'Disbursements Summary'!$A:$A,"NHT")</f>
        <v>0</v>
      </c>
      <c r="DT30" s="55">
        <f>SUMIFS('Awards Summary'!$H:$H,'Awards Summary'!$B:$B,$C30,'Awards Summary'!$J:$J,"NYPA")</f>
        <v>0</v>
      </c>
      <c r="DU30" s="55">
        <f>SUMIFS('Disbursements Summary'!$E:$E,'Disbursements Summary'!$C:$C,$C30,'Disbursements Summary'!$A:$A,"NYPA")</f>
        <v>0</v>
      </c>
      <c r="DV30" s="55">
        <f>SUMIFS('Awards Summary'!$H:$H,'Awards Summary'!$B:$B,$C30,'Awards Summary'!$J:$J,"NYSBA")</f>
        <v>0</v>
      </c>
      <c r="DW30" s="55">
        <f>SUMIFS('Disbursements Summary'!$E:$E,'Disbursements Summary'!$C:$C,$C30,'Disbursements Summary'!$A:$A,"NYSBA")</f>
        <v>0</v>
      </c>
      <c r="DX30" s="55">
        <f>SUMIFS('Awards Summary'!$H:$H,'Awards Summary'!$B:$B,$C30,'Awards Summary'!$J:$J,"NYSERDA")</f>
        <v>0</v>
      </c>
      <c r="DY30" s="55">
        <f>SUMIFS('Disbursements Summary'!$E:$E,'Disbursements Summary'!$C:$C,$C30,'Disbursements Summary'!$A:$A,"NYSERDA")</f>
        <v>0</v>
      </c>
      <c r="DZ30" s="55">
        <f>SUMIFS('Awards Summary'!$H:$H,'Awards Summary'!$B:$B,$C30,'Awards Summary'!$J:$J,"DHCR")</f>
        <v>0</v>
      </c>
      <c r="EA30" s="55">
        <f>SUMIFS('Disbursements Summary'!$E:$E,'Disbursements Summary'!$C:$C,$C30,'Disbursements Summary'!$A:$A,"DHCR")</f>
        <v>0</v>
      </c>
      <c r="EB30" s="55">
        <f>SUMIFS('Awards Summary'!$H:$H,'Awards Summary'!$B:$B,$C30,'Awards Summary'!$J:$J,"HFA")</f>
        <v>0</v>
      </c>
      <c r="EC30" s="55">
        <f>SUMIFS('Disbursements Summary'!$E:$E,'Disbursements Summary'!$C:$C,$C30,'Disbursements Summary'!$A:$A,"HFA")</f>
        <v>0</v>
      </c>
      <c r="ED30" s="55">
        <f>SUMIFS('Awards Summary'!$H:$H,'Awards Summary'!$B:$B,$C30,'Awards Summary'!$J:$J,"NYSIF")</f>
        <v>0</v>
      </c>
      <c r="EE30" s="55">
        <f>SUMIFS('Disbursements Summary'!$E:$E,'Disbursements Summary'!$C:$C,$C30,'Disbursements Summary'!$A:$A,"NYSIF")</f>
        <v>0</v>
      </c>
      <c r="EF30" s="55">
        <f>SUMIFS('Awards Summary'!$H:$H,'Awards Summary'!$B:$B,$C30,'Awards Summary'!$J:$J,"NYBREDS")</f>
        <v>0</v>
      </c>
      <c r="EG30" s="55">
        <f>SUMIFS('Disbursements Summary'!$E:$E,'Disbursements Summary'!$C:$C,$C30,'Disbursements Summary'!$A:$A,"NYBREDS")</f>
        <v>0</v>
      </c>
      <c r="EH30" s="55">
        <f>SUMIFS('Awards Summary'!$H:$H,'Awards Summary'!$B:$B,$C30,'Awards Summary'!$J:$J,"NYSTA")</f>
        <v>0</v>
      </c>
      <c r="EI30" s="55">
        <f>SUMIFS('Disbursements Summary'!$E:$E,'Disbursements Summary'!$C:$C,$C30,'Disbursements Summary'!$A:$A,"NYSTA")</f>
        <v>0</v>
      </c>
      <c r="EJ30" s="55">
        <f>SUMIFS('Awards Summary'!$H:$H,'Awards Summary'!$B:$B,$C30,'Awards Summary'!$J:$J,"NFWB")</f>
        <v>0</v>
      </c>
      <c r="EK30" s="55">
        <f>SUMIFS('Disbursements Summary'!$E:$E,'Disbursements Summary'!$C:$C,$C30,'Disbursements Summary'!$A:$A,"NFWB")</f>
        <v>0</v>
      </c>
      <c r="EL30" s="55">
        <f>SUMIFS('Awards Summary'!$H:$H,'Awards Summary'!$B:$B,$C30,'Awards Summary'!$J:$J,"NFTA")</f>
        <v>0</v>
      </c>
      <c r="EM30" s="55">
        <f>SUMIFS('Disbursements Summary'!$E:$E,'Disbursements Summary'!$C:$C,$C30,'Disbursements Summary'!$A:$A,"NFTA")</f>
        <v>0</v>
      </c>
      <c r="EN30" s="55">
        <f>SUMIFS('Awards Summary'!$H:$H,'Awards Summary'!$B:$B,$C30,'Awards Summary'!$J:$J,"OPWDD")</f>
        <v>0</v>
      </c>
      <c r="EO30" s="55">
        <f>SUMIFS('Disbursements Summary'!$E:$E,'Disbursements Summary'!$C:$C,$C30,'Disbursements Summary'!$A:$A,"OPWDD")</f>
        <v>0</v>
      </c>
      <c r="EP30" s="55">
        <f>SUMIFS('Awards Summary'!$H:$H,'Awards Summary'!$B:$B,$C30,'Awards Summary'!$J:$J,"AGING")</f>
        <v>0</v>
      </c>
      <c r="EQ30" s="55">
        <f>SUMIFS('Disbursements Summary'!$E:$E,'Disbursements Summary'!$C:$C,$C30,'Disbursements Summary'!$A:$A,"AGING")</f>
        <v>0</v>
      </c>
      <c r="ER30" s="55">
        <f>SUMIFS('Awards Summary'!$H:$H,'Awards Summary'!$B:$B,$C30,'Awards Summary'!$J:$J,"OPDV")</f>
        <v>0</v>
      </c>
      <c r="ES30" s="55">
        <f>SUMIFS('Disbursements Summary'!$E:$E,'Disbursements Summary'!$C:$C,$C30,'Disbursements Summary'!$A:$A,"OPDV")</f>
        <v>0</v>
      </c>
      <c r="ET30" s="55">
        <f>SUMIFS('Awards Summary'!$H:$H,'Awards Summary'!$B:$B,$C30,'Awards Summary'!$J:$J,"OVS")</f>
        <v>0</v>
      </c>
      <c r="EU30" s="55">
        <f>SUMIFS('Disbursements Summary'!$E:$E,'Disbursements Summary'!$C:$C,$C30,'Disbursements Summary'!$A:$A,"OVS")</f>
        <v>0</v>
      </c>
      <c r="EV30" s="55">
        <f>SUMIFS('Awards Summary'!$H:$H,'Awards Summary'!$B:$B,$C30,'Awards Summary'!$J:$J,"OASAS")</f>
        <v>0</v>
      </c>
      <c r="EW30" s="55">
        <f>SUMIFS('Disbursements Summary'!$E:$E,'Disbursements Summary'!$C:$C,$C30,'Disbursements Summary'!$A:$A,"OASAS")</f>
        <v>0</v>
      </c>
      <c r="EX30" s="55">
        <f>SUMIFS('Awards Summary'!$H:$H,'Awards Summary'!$B:$B,$C30,'Awards Summary'!$J:$J,"OCFS")</f>
        <v>0</v>
      </c>
      <c r="EY30" s="55">
        <f>SUMIFS('Disbursements Summary'!$E:$E,'Disbursements Summary'!$C:$C,$C30,'Disbursements Summary'!$A:$A,"OCFS")</f>
        <v>0</v>
      </c>
      <c r="EZ30" s="55">
        <f>SUMIFS('Awards Summary'!$H:$H,'Awards Summary'!$B:$B,$C30,'Awards Summary'!$J:$J,"OGS")</f>
        <v>0</v>
      </c>
      <c r="FA30" s="55">
        <f>SUMIFS('Disbursements Summary'!$E:$E,'Disbursements Summary'!$C:$C,$C30,'Disbursements Summary'!$A:$A,"OGS")</f>
        <v>0</v>
      </c>
      <c r="FB30" s="55">
        <f>SUMIFS('Awards Summary'!$H:$H,'Awards Summary'!$B:$B,$C30,'Awards Summary'!$J:$J,"OMH")</f>
        <v>0</v>
      </c>
      <c r="FC30" s="55">
        <f>SUMIFS('Disbursements Summary'!$E:$E,'Disbursements Summary'!$C:$C,$C30,'Disbursements Summary'!$A:$A,"OMH")</f>
        <v>0</v>
      </c>
      <c r="FD30" s="55">
        <f>SUMIFS('Awards Summary'!$H:$H,'Awards Summary'!$B:$B,$C30,'Awards Summary'!$J:$J,"PARKS")</f>
        <v>0</v>
      </c>
      <c r="FE30" s="55">
        <f>SUMIFS('Disbursements Summary'!$E:$E,'Disbursements Summary'!$C:$C,$C30,'Disbursements Summary'!$A:$A,"PARKS")</f>
        <v>0</v>
      </c>
      <c r="FF30" s="55">
        <f>SUMIFS('Awards Summary'!$H:$H,'Awards Summary'!$B:$B,$C30,'Awards Summary'!$J:$J,"OTDA")</f>
        <v>0</v>
      </c>
      <c r="FG30" s="55">
        <f>SUMIFS('Disbursements Summary'!$E:$E,'Disbursements Summary'!$C:$C,$C30,'Disbursements Summary'!$A:$A,"OTDA")</f>
        <v>0</v>
      </c>
      <c r="FH30" s="55">
        <f>SUMIFS('Awards Summary'!$H:$H,'Awards Summary'!$B:$B,$C30,'Awards Summary'!$J:$J,"OIG")</f>
        <v>0</v>
      </c>
      <c r="FI30" s="55">
        <f>SUMIFS('Disbursements Summary'!$E:$E,'Disbursements Summary'!$C:$C,$C30,'Disbursements Summary'!$A:$A,"OIG")</f>
        <v>0</v>
      </c>
      <c r="FJ30" s="55">
        <f>SUMIFS('Awards Summary'!$H:$H,'Awards Summary'!$B:$B,$C30,'Awards Summary'!$J:$J,"OMIG")</f>
        <v>0</v>
      </c>
      <c r="FK30" s="55">
        <f>SUMIFS('Disbursements Summary'!$E:$E,'Disbursements Summary'!$C:$C,$C30,'Disbursements Summary'!$A:$A,"OMIG")</f>
        <v>0</v>
      </c>
      <c r="FL30" s="55">
        <f>SUMIFS('Awards Summary'!$H:$H,'Awards Summary'!$B:$B,$C30,'Awards Summary'!$J:$J,"OSC")</f>
        <v>0</v>
      </c>
      <c r="FM30" s="55">
        <f>SUMIFS('Disbursements Summary'!$E:$E,'Disbursements Summary'!$C:$C,$C30,'Disbursements Summary'!$A:$A,"OSC")</f>
        <v>0</v>
      </c>
      <c r="FN30" s="55">
        <f>SUMIFS('Awards Summary'!$H:$H,'Awards Summary'!$B:$B,$C30,'Awards Summary'!$J:$J,"OWIG")</f>
        <v>0</v>
      </c>
      <c r="FO30" s="55">
        <f>SUMIFS('Disbursements Summary'!$E:$E,'Disbursements Summary'!$C:$C,$C30,'Disbursements Summary'!$A:$A,"OWIG")</f>
        <v>0</v>
      </c>
      <c r="FP30" s="55">
        <f>SUMIFS('Awards Summary'!$H:$H,'Awards Summary'!$B:$B,$C30,'Awards Summary'!$J:$J,"OGDEN")</f>
        <v>0</v>
      </c>
      <c r="FQ30" s="55">
        <f>SUMIFS('Disbursements Summary'!$E:$E,'Disbursements Summary'!$C:$C,$C30,'Disbursements Summary'!$A:$A,"OGDEN")</f>
        <v>0</v>
      </c>
      <c r="FR30" s="55">
        <f>SUMIFS('Awards Summary'!$H:$H,'Awards Summary'!$B:$B,$C30,'Awards Summary'!$J:$J,"ORDA")</f>
        <v>0</v>
      </c>
      <c r="FS30" s="55">
        <f>SUMIFS('Disbursements Summary'!$E:$E,'Disbursements Summary'!$C:$C,$C30,'Disbursements Summary'!$A:$A,"ORDA")</f>
        <v>0</v>
      </c>
      <c r="FT30" s="55">
        <f>SUMIFS('Awards Summary'!$H:$H,'Awards Summary'!$B:$B,$C30,'Awards Summary'!$J:$J,"OSWEGO")</f>
        <v>0</v>
      </c>
      <c r="FU30" s="55">
        <f>SUMIFS('Disbursements Summary'!$E:$E,'Disbursements Summary'!$C:$C,$C30,'Disbursements Summary'!$A:$A,"OSWEGO")</f>
        <v>0</v>
      </c>
      <c r="FV30" s="55">
        <f>SUMIFS('Awards Summary'!$H:$H,'Awards Summary'!$B:$B,$C30,'Awards Summary'!$J:$J,"PERB")</f>
        <v>0</v>
      </c>
      <c r="FW30" s="55">
        <f>SUMIFS('Disbursements Summary'!$E:$E,'Disbursements Summary'!$C:$C,$C30,'Disbursements Summary'!$A:$A,"PERB")</f>
        <v>0</v>
      </c>
      <c r="FX30" s="55">
        <f>SUMIFS('Awards Summary'!$H:$H,'Awards Summary'!$B:$B,$C30,'Awards Summary'!$J:$J,"RGRTA")</f>
        <v>0</v>
      </c>
      <c r="FY30" s="55">
        <f>SUMIFS('Disbursements Summary'!$E:$E,'Disbursements Summary'!$C:$C,$C30,'Disbursements Summary'!$A:$A,"RGRTA")</f>
        <v>0</v>
      </c>
      <c r="FZ30" s="55">
        <f>SUMIFS('Awards Summary'!$H:$H,'Awards Summary'!$B:$B,$C30,'Awards Summary'!$J:$J,"RIOC")</f>
        <v>0</v>
      </c>
      <c r="GA30" s="55">
        <f>SUMIFS('Disbursements Summary'!$E:$E,'Disbursements Summary'!$C:$C,$C30,'Disbursements Summary'!$A:$A,"RIOC")</f>
        <v>0</v>
      </c>
      <c r="GB30" s="55">
        <f>SUMIFS('Awards Summary'!$H:$H,'Awards Summary'!$B:$B,$C30,'Awards Summary'!$J:$J,"RPCI")</f>
        <v>0</v>
      </c>
      <c r="GC30" s="55">
        <f>SUMIFS('Disbursements Summary'!$E:$E,'Disbursements Summary'!$C:$C,$C30,'Disbursements Summary'!$A:$A,"RPCI")</f>
        <v>0</v>
      </c>
      <c r="GD30" s="55">
        <f>SUMIFS('Awards Summary'!$H:$H,'Awards Summary'!$B:$B,$C30,'Awards Summary'!$J:$J,"SMDA")</f>
        <v>0</v>
      </c>
      <c r="GE30" s="55">
        <f>SUMIFS('Disbursements Summary'!$E:$E,'Disbursements Summary'!$C:$C,$C30,'Disbursements Summary'!$A:$A,"SMDA")</f>
        <v>0</v>
      </c>
      <c r="GF30" s="55">
        <f>SUMIFS('Awards Summary'!$H:$H,'Awards Summary'!$B:$B,$C30,'Awards Summary'!$J:$J,"SCOC")</f>
        <v>0</v>
      </c>
      <c r="GG30" s="55">
        <f>SUMIFS('Disbursements Summary'!$E:$E,'Disbursements Summary'!$C:$C,$C30,'Disbursements Summary'!$A:$A,"SCOC")</f>
        <v>0</v>
      </c>
      <c r="GH30" s="55">
        <f>SUMIFS('Awards Summary'!$H:$H,'Awards Summary'!$B:$B,$C30,'Awards Summary'!$J:$J,"SUCF")</f>
        <v>0</v>
      </c>
      <c r="GI30" s="55">
        <f>SUMIFS('Disbursements Summary'!$E:$E,'Disbursements Summary'!$C:$C,$C30,'Disbursements Summary'!$A:$A,"SUCF")</f>
        <v>0</v>
      </c>
      <c r="GJ30" s="55">
        <f>SUMIFS('Awards Summary'!$H:$H,'Awards Summary'!$B:$B,$C30,'Awards Summary'!$J:$J,"SUNY")</f>
        <v>0</v>
      </c>
      <c r="GK30" s="55">
        <f>SUMIFS('Disbursements Summary'!$E:$E,'Disbursements Summary'!$C:$C,$C30,'Disbursements Summary'!$A:$A,"SUNY")</f>
        <v>0</v>
      </c>
      <c r="GL30" s="55">
        <f>SUMIFS('Awards Summary'!$H:$H,'Awards Summary'!$B:$B,$C30,'Awards Summary'!$J:$J,"SRAA")</f>
        <v>0</v>
      </c>
      <c r="GM30" s="55">
        <f>SUMIFS('Disbursements Summary'!$E:$E,'Disbursements Summary'!$C:$C,$C30,'Disbursements Summary'!$A:$A,"SRAA")</f>
        <v>0</v>
      </c>
      <c r="GN30" s="55">
        <f>SUMIFS('Awards Summary'!$H:$H,'Awards Summary'!$B:$B,$C30,'Awards Summary'!$J:$J,"UNDC")</f>
        <v>0</v>
      </c>
      <c r="GO30" s="55">
        <f>SUMIFS('Disbursements Summary'!$E:$E,'Disbursements Summary'!$C:$C,$C30,'Disbursements Summary'!$A:$A,"UNDC")</f>
        <v>0</v>
      </c>
      <c r="GP30" s="55">
        <f>SUMIFS('Awards Summary'!$H:$H,'Awards Summary'!$B:$B,$C30,'Awards Summary'!$J:$J,"MVWA")</f>
        <v>0</v>
      </c>
      <c r="GQ30" s="55">
        <f>SUMIFS('Disbursements Summary'!$E:$E,'Disbursements Summary'!$C:$C,$C30,'Disbursements Summary'!$A:$A,"MVWA")</f>
        <v>0</v>
      </c>
      <c r="GR30" s="55">
        <f>SUMIFS('Awards Summary'!$H:$H,'Awards Summary'!$B:$B,$C30,'Awards Summary'!$J:$J,"WMC")</f>
        <v>0</v>
      </c>
      <c r="GS30" s="55">
        <f>SUMIFS('Disbursements Summary'!$E:$E,'Disbursements Summary'!$C:$C,$C30,'Disbursements Summary'!$A:$A,"WMC")</f>
        <v>0</v>
      </c>
      <c r="GT30" s="55">
        <f>SUMIFS('Awards Summary'!$H:$H,'Awards Summary'!$B:$B,$C30,'Awards Summary'!$J:$J,"WCB")</f>
        <v>0</v>
      </c>
      <c r="GU30" s="55">
        <f>SUMIFS('Disbursements Summary'!$E:$E,'Disbursements Summary'!$C:$C,$C30,'Disbursements Summary'!$A:$A,"WCB")</f>
        <v>0</v>
      </c>
      <c r="GV30" s="32">
        <f t="shared" si="5"/>
        <v>0</v>
      </c>
      <c r="GW30" s="32">
        <f t="shared" si="6"/>
        <v>0</v>
      </c>
      <c r="GX30" s="30" t="b">
        <f t="shared" si="7"/>
        <v>1</v>
      </c>
      <c r="GY30" s="30" t="b">
        <f t="shared" si="8"/>
        <v>1</v>
      </c>
    </row>
    <row r="31" spans="1:207" s="30" customFormat="1" ht="15" customHeight="1">
      <c r="A31" s="22" t="str">
        <f t="shared" si="0"/>
        <v/>
      </c>
      <c r="B31" s="40" t="s">
        <v>48</v>
      </c>
      <c r="C31" s="16">
        <v>141054</v>
      </c>
      <c r="D31" s="26">
        <f>COUNTIF('Awards Summary'!B:B,"141054")</f>
        <v>0</v>
      </c>
      <c r="E31" s="45">
        <f>SUMIFS('Awards Summary'!H:H,'Awards Summary'!B:B,"141054")</f>
        <v>0</v>
      </c>
      <c r="F31" s="46">
        <f>SUMIFS('Disbursements Summary'!E:E,'Disbursements Summary'!C:C, "141054")</f>
        <v>0</v>
      </c>
      <c r="H31" s="55">
        <f>SUMIFS('Awards Summary'!$H:$H,'Awards Summary'!$B:$B,$C31,'Awards Summary'!$J:$J,"APA")</f>
        <v>0</v>
      </c>
      <c r="I31" s="55">
        <f>SUMIFS('Disbursements Summary'!$E:$E,'Disbursements Summary'!$C:$C,$C31,'Disbursements Summary'!$A:$A,"APA")</f>
        <v>0</v>
      </c>
      <c r="J31" s="55">
        <f>SUMIFS('Awards Summary'!$H:$H,'Awards Summary'!$B:$B,$C31,'Awards Summary'!$J:$J,"Ag&amp;Horse")</f>
        <v>0</v>
      </c>
      <c r="K31" s="55">
        <f>SUMIFS('Disbursements Summary'!$E:$E,'Disbursements Summary'!$C:$C,$C31,'Disbursements Summary'!$A:$A,"Ag&amp;Horse")</f>
        <v>0</v>
      </c>
      <c r="L31" s="55">
        <f>SUMIFS('Awards Summary'!$H:$H,'Awards Summary'!$B:$B,$C31,'Awards Summary'!$J:$J,"ACAA")</f>
        <v>0</v>
      </c>
      <c r="M31" s="55">
        <f>SUMIFS('Disbursements Summary'!$E:$E,'Disbursements Summary'!$C:$C,$C31,'Disbursements Summary'!$A:$A,"ACAA")</f>
        <v>0</v>
      </c>
      <c r="N31" s="55">
        <f>SUMIFS('Awards Summary'!$H:$H,'Awards Summary'!$B:$B,$C31,'Awards Summary'!$J:$J,"PortAlbany")</f>
        <v>0</v>
      </c>
      <c r="O31" s="55">
        <f>SUMIFS('Disbursements Summary'!$E:$E,'Disbursements Summary'!$C:$C,$C31,'Disbursements Summary'!$A:$A,"PortAlbany")</f>
        <v>0</v>
      </c>
      <c r="P31" s="55">
        <f>SUMIFS('Awards Summary'!$H:$H,'Awards Summary'!$B:$B,$C31,'Awards Summary'!$J:$J,"SLA")</f>
        <v>0</v>
      </c>
      <c r="Q31" s="55">
        <f>SUMIFS('Disbursements Summary'!$E:$E,'Disbursements Summary'!$C:$C,$C31,'Disbursements Summary'!$A:$A,"SLA")</f>
        <v>0</v>
      </c>
      <c r="R31" s="55">
        <f>SUMIFS('Awards Summary'!$H:$H,'Awards Summary'!$B:$B,$C31,'Awards Summary'!$J:$J,"BPCA")</f>
        <v>0</v>
      </c>
      <c r="S31" s="55">
        <f>SUMIFS('Disbursements Summary'!$E:$E,'Disbursements Summary'!$C:$C,$C31,'Disbursements Summary'!$A:$A,"BPCA")</f>
        <v>0</v>
      </c>
      <c r="T31" s="55">
        <f>SUMIFS('Awards Summary'!$H:$H,'Awards Summary'!$B:$B,$C31,'Awards Summary'!$J:$J,"ELECTIONS")</f>
        <v>0</v>
      </c>
      <c r="U31" s="55">
        <f>SUMIFS('Disbursements Summary'!$E:$E,'Disbursements Summary'!$C:$C,$C31,'Disbursements Summary'!$A:$A,"ELECTIONS")</f>
        <v>0</v>
      </c>
      <c r="V31" s="55">
        <f>SUMIFS('Awards Summary'!$H:$H,'Awards Summary'!$B:$B,$C31,'Awards Summary'!$J:$J,"BFSA")</f>
        <v>0</v>
      </c>
      <c r="W31" s="55">
        <f>SUMIFS('Disbursements Summary'!$E:$E,'Disbursements Summary'!$C:$C,$C31,'Disbursements Summary'!$A:$A,"BFSA")</f>
        <v>0</v>
      </c>
      <c r="X31" s="55">
        <f>SUMIFS('Awards Summary'!$H:$H,'Awards Summary'!$B:$B,$C31,'Awards Summary'!$J:$J,"CDTA")</f>
        <v>0</v>
      </c>
      <c r="Y31" s="55">
        <f>SUMIFS('Disbursements Summary'!$E:$E,'Disbursements Summary'!$C:$C,$C31,'Disbursements Summary'!$A:$A,"CDTA")</f>
        <v>0</v>
      </c>
      <c r="Z31" s="55">
        <f>SUMIFS('Awards Summary'!$H:$H,'Awards Summary'!$B:$B,$C31,'Awards Summary'!$J:$J,"CCWSA")</f>
        <v>0</v>
      </c>
      <c r="AA31" s="55">
        <f>SUMIFS('Disbursements Summary'!$E:$E,'Disbursements Summary'!$C:$C,$C31,'Disbursements Summary'!$A:$A,"CCWSA")</f>
        <v>0</v>
      </c>
      <c r="AB31" s="55">
        <f>SUMIFS('Awards Summary'!$H:$H,'Awards Summary'!$B:$B,$C31,'Awards Summary'!$J:$J,"CNYRTA")</f>
        <v>0</v>
      </c>
      <c r="AC31" s="55">
        <f>SUMIFS('Disbursements Summary'!$E:$E,'Disbursements Summary'!$C:$C,$C31,'Disbursements Summary'!$A:$A,"CNYRTA")</f>
        <v>0</v>
      </c>
      <c r="AD31" s="55">
        <f>SUMIFS('Awards Summary'!$H:$H,'Awards Summary'!$B:$B,$C31,'Awards Summary'!$J:$J,"CUCF")</f>
        <v>0</v>
      </c>
      <c r="AE31" s="55">
        <f>SUMIFS('Disbursements Summary'!$E:$E,'Disbursements Summary'!$C:$C,$C31,'Disbursements Summary'!$A:$A,"CUCF")</f>
        <v>0</v>
      </c>
      <c r="AF31" s="55">
        <f>SUMIFS('Awards Summary'!$H:$H,'Awards Summary'!$B:$B,$C31,'Awards Summary'!$J:$J,"CUNY")</f>
        <v>0</v>
      </c>
      <c r="AG31" s="55">
        <f>SUMIFS('Disbursements Summary'!$E:$E,'Disbursements Summary'!$C:$C,$C31,'Disbursements Summary'!$A:$A,"CUNY")</f>
        <v>0</v>
      </c>
      <c r="AH31" s="55">
        <f>SUMIFS('Awards Summary'!$H:$H,'Awards Summary'!$B:$B,$C31,'Awards Summary'!$J:$J,"ARTS")</f>
        <v>0</v>
      </c>
      <c r="AI31" s="55">
        <f>SUMIFS('Disbursements Summary'!$E:$E,'Disbursements Summary'!$C:$C,$C31,'Disbursements Summary'!$A:$A,"ARTS")</f>
        <v>0</v>
      </c>
      <c r="AJ31" s="55">
        <f>SUMIFS('Awards Summary'!$H:$H,'Awards Summary'!$B:$B,$C31,'Awards Summary'!$J:$J,"AG&amp;MKTS")</f>
        <v>0</v>
      </c>
      <c r="AK31" s="55">
        <f>SUMIFS('Disbursements Summary'!$E:$E,'Disbursements Summary'!$C:$C,$C31,'Disbursements Summary'!$A:$A,"AG&amp;MKTS")</f>
        <v>0</v>
      </c>
      <c r="AL31" s="55">
        <f>SUMIFS('Awards Summary'!$H:$H,'Awards Summary'!$B:$B,$C31,'Awards Summary'!$J:$J,"CS")</f>
        <v>0</v>
      </c>
      <c r="AM31" s="55">
        <f>SUMIFS('Disbursements Summary'!$E:$E,'Disbursements Summary'!$C:$C,$C31,'Disbursements Summary'!$A:$A,"CS")</f>
        <v>0</v>
      </c>
      <c r="AN31" s="55">
        <f>SUMIFS('Awards Summary'!$H:$H,'Awards Summary'!$B:$B,$C31,'Awards Summary'!$J:$J,"DOCCS")</f>
        <v>0</v>
      </c>
      <c r="AO31" s="55">
        <f>SUMIFS('Disbursements Summary'!$E:$E,'Disbursements Summary'!$C:$C,$C31,'Disbursements Summary'!$A:$A,"DOCCS")</f>
        <v>0</v>
      </c>
      <c r="AP31" s="55">
        <f>SUMIFS('Awards Summary'!$H:$H,'Awards Summary'!$B:$B,$C31,'Awards Summary'!$J:$J,"DED")</f>
        <v>0</v>
      </c>
      <c r="AQ31" s="55">
        <f>SUMIFS('Disbursements Summary'!$E:$E,'Disbursements Summary'!$C:$C,$C31,'Disbursements Summary'!$A:$A,"DED")</f>
        <v>0</v>
      </c>
      <c r="AR31" s="55">
        <f>SUMIFS('Awards Summary'!$H:$H,'Awards Summary'!$B:$B,$C31,'Awards Summary'!$J:$J,"DEC")</f>
        <v>0</v>
      </c>
      <c r="AS31" s="55">
        <f>SUMIFS('Disbursements Summary'!$E:$E,'Disbursements Summary'!$C:$C,$C31,'Disbursements Summary'!$A:$A,"DEC")</f>
        <v>0</v>
      </c>
      <c r="AT31" s="55">
        <f>SUMIFS('Awards Summary'!$H:$H,'Awards Summary'!$B:$B,$C31,'Awards Summary'!$J:$J,"DFS")</f>
        <v>0</v>
      </c>
      <c r="AU31" s="55">
        <f>SUMIFS('Disbursements Summary'!$E:$E,'Disbursements Summary'!$C:$C,$C31,'Disbursements Summary'!$A:$A,"DFS")</f>
        <v>0</v>
      </c>
      <c r="AV31" s="55">
        <f>SUMIFS('Awards Summary'!$H:$H,'Awards Summary'!$B:$B,$C31,'Awards Summary'!$J:$J,"DOH")</f>
        <v>0</v>
      </c>
      <c r="AW31" s="55">
        <f>SUMIFS('Disbursements Summary'!$E:$E,'Disbursements Summary'!$C:$C,$C31,'Disbursements Summary'!$A:$A,"DOH")</f>
        <v>0</v>
      </c>
      <c r="AX31" s="55">
        <f>SUMIFS('Awards Summary'!$H:$H,'Awards Summary'!$B:$B,$C31,'Awards Summary'!$J:$J,"DOL")</f>
        <v>0</v>
      </c>
      <c r="AY31" s="55">
        <f>SUMIFS('Disbursements Summary'!$E:$E,'Disbursements Summary'!$C:$C,$C31,'Disbursements Summary'!$A:$A,"DOL")</f>
        <v>0</v>
      </c>
      <c r="AZ31" s="55">
        <f>SUMIFS('Awards Summary'!$H:$H,'Awards Summary'!$B:$B,$C31,'Awards Summary'!$J:$J,"DMV")</f>
        <v>0</v>
      </c>
      <c r="BA31" s="55">
        <f>SUMIFS('Disbursements Summary'!$E:$E,'Disbursements Summary'!$C:$C,$C31,'Disbursements Summary'!$A:$A,"DMV")</f>
        <v>0</v>
      </c>
      <c r="BB31" s="55">
        <f>SUMIFS('Awards Summary'!$H:$H,'Awards Summary'!$B:$B,$C31,'Awards Summary'!$J:$J,"DPS")</f>
        <v>0</v>
      </c>
      <c r="BC31" s="55">
        <f>SUMIFS('Disbursements Summary'!$E:$E,'Disbursements Summary'!$C:$C,$C31,'Disbursements Summary'!$A:$A,"DPS")</f>
        <v>0</v>
      </c>
      <c r="BD31" s="55">
        <f>SUMIFS('Awards Summary'!$H:$H,'Awards Summary'!$B:$B,$C31,'Awards Summary'!$J:$J,"DOS")</f>
        <v>0</v>
      </c>
      <c r="BE31" s="55">
        <f>SUMIFS('Disbursements Summary'!$E:$E,'Disbursements Summary'!$C:$C,$C31,'Disbursements Summary'!$A:$A,"DOS")</f>
        <v>0</v>
      </c>
      <c r="BF31" s="55">
        <f>SUMIFS('Awards Summary'!$H:$H,'Awards Summary'!$B:$B,$C31,'Awards Summary'!$J:$J,"TAX")</f>
        <v>0</v>
      </c>
      <c r="BG31" s="55">
        <f>SUMIFS('Disbursements Summary'!$E:$E,'Disbursements Summary'!$C:$C,$C31,'Disbursements Summary'!$A:$A,"TAX")</f>
        <v>0</v>
      </c>
      <c r="BH31" s="55">
        <f>SUMIFS('Awards Summary'!$H:$H,'Awards Summary'!$B:$B,$C31,'Awards Summary'!$J:$J,"DOT")</f>
        <v>0</v>
      </c>
      <c r="BI31" s="55">
        <f>SUMIFS('Disbursements Summary'!$E:$E,'Disbursements Summary'!$C:$C,$C31,'Disbursements Summary'!$A:$A,"DOT")</f>
        <v>0</v>
      </c>
      <c r="BJ31" s="55">
        <f>SUMIFS('Awards Summary'!$H:$H,'Awards Summary'!$B:$B,$C31,'Awards Summary'!$J:$J,"DANC")</f>
        <v>0</v>
      </c>
      <c r="BK31" s="55">
        <f>SUMIFS('Disbursements Summary'!$E:$E,'Disbursements Summary'!$C:$C,$C31,'Disbursements Summary'!$A:$A,"DANC")</f>
        <v>0</v>
      </c>
      <c r="BL31" s="55">
        <f>SUMIFS('Awards Summary'!$H:$H,'Awards Summary'!$B:$B,$C31,'Awards Summary'!$J:$J,"DOB")</f>
        <v>0</v>
      </c>
      <c r="BM31" s="55">
        <f>SUMIFS('Disbursements Summary'!$E:$E,'Disbursements Summary'!$C:$C,$C31,'Disbursements Summary'!$A:$A,"DOB")</f>
        <v>0</v>
      </c>
      <c r="BN31" s="55">
        <f>SUMIFS('Awards Summary'!$H:$H,'Awards Summary'!$B:$B,$C31,'Awards Summary'!$J:$J,"DCJS")</f>
        <v>0</v>
      </c>
      <c r="BO31" s="55">
        <f>SUMIFS('Disbursements Summary'!$E:$E,'Disbursements Summary'!$C:$C,$C31,'Disbursements Summary'!$A:$A,"DCJS")</f>
        <v>0</v>
      </c>
      <c r="BP31" s="55">
        <f>SUMIFS('Awards Summary'!$H:$H,'Awards Summary'!$B:$B,$C31,'Awards Summary'!$J:$J,"DHSES")</f>
        <v>0</v>
      </c>
      <c r="BQ31" s="55">
        <f>SUMIFS('Disbursements Summary'!$E:$E,'Disbursements Summary'!$C:$C,$C31,'Disbursements Summary'!$A:$A,"DHSES")</f>
        <v>0</v>
      </c>
      <c r="BR31" s="55">
        <f>SUMIFS('Awards Summary'!$H:$H,'Awards Summary'!$B:$B,$C31,'Awards Summary'!$J:$J,"DHR")</f>
        <v>0</v>
      </c>
      <c r="BS31" s="55">
        <f>SUMIFS('Disbursements Summary'!$E:$E,'Disbursements Summary'!$C:$C,$C31,'Disbursements Summary'!$A:$A,"DHR")</f>
        <v>0</v>
      </c>
      <c r="BT31" s="55">
        <f>SUMIFS('Awards Summary'!$H:$H,'Awards Summary'!$B:$B,$C31,'Awards Summary'!$J:$J,"DMNA")</f>
        <v>0</v>
      </c>
      <c r="BU31" s="55">
        <f>SUMIFS('Disbursements Summary'!$E:$E,'Disbursements Summary'!$C:$C,$C31,'Disbursements Summary'!$A:$A,"DMNA")</f>
        <v>0</v>
      </c>
      <c r="BV31" s="55">
        <f>SUMIFS('Awards Summary'!$H:$H,'Awards Summary'!$B:$B,$C31,'Awards Summary'!$J:$J,"TROOPERS")</f>
        <v>0</v>
      </c>
      <c r="BW31" s="55">
        <f>SUMIFS('Disbursements Summary'!$E:$E,'Disbursements Summary'!$C:$C,$C31,'Disbursements Summary'!$A:$A,"TROOPERS")</f>
        <v>0</v>
      </c>
      <c r="BX31" s="55">
        <f>SUMIFS('Awards Summary'!$H:$H,'Awards Summary'!$B:$B,$C31,'Awards Summary'!$J:$J,"DVA")</f>
        <v>0</v>
      </c>
      <c r="BY31" s="55">
        <f>SUMIFS('Disbursements Summary'!$E:$E,'Disbursements Summary'!$C:$C,$C31,'Disbursements Summary'!$A:$A,"DVA")</f>
        <v>0</v>
      </c>
      <c r="BZ31" s="55">
        <f>SUMIFS('Awards Summary'!$H:$H,'Awards Summary'!$B:$B,$C31,'Awards Summary'!$J:$J,"DASNY")</f>
        <v>0</v>
      </c>
      <c r="CA31" s="55">
        <f>SUMIFS('Disbursements Summary'!$E:$E,'Disbursements Summary'!$C:$C,$C31,'Disbursements Summary'!$A:$A,"DASNY")</f>
        <v>0</v>
      </c>
      <c r="CB31" s="55">
        <f>SUMIFS('Awards Summary'!$H:$H,'Awards Summary'!$B:$B,$C31,'Awards Summary'!$J:$J,"EGG")</f>
        <v>0</v>
      </c>
      <c r="CC31" s="55">
        <f>SUMIFS('Disbursements Summary'!$E:$E,'Disbursements Summary'!$C:$C,$C31,'Disbursements Summary'!$A:$A,"EGG")</f>
        <v>0</v>
      </c>
      <c r="CD31" s="55">
        <f>SUMIFS('Awards Summary'!$H:$H,'Awards Summary'!$B:$B,$C31,'Awards Summary'!$J:$J,"ESD")</f>
        <v>0</v>
      </c>
      <c r="CE31" s="55">
        <f>SUMIFS('Disbursements Summary'!$E:$E,'Disbursements Summary'!$C:$C,$C31,'Disbursements Summary'!$A:$A,"ESD")</f>
        <v>0</v>
      </c>
      <c r="CF31" s="55">
        <f>SUMIFS('Awards Summary'!$H:$H,'Awards Summary'!$B:$B,$C31,'Awards Summary'!$J:$J,"EFC")</f>
        <v>0</v>
      </c>
      <c r="CG31" s="55">
        <f>SUMIFS('Disbursements Summary'!$E:$E,'Disbursements Summary'!$C:$C,$C31,'Disbursements Summary'!$A:$A,"EFC")</f>
        <v>0</v>
      </c>
      <c r="CH31" s="55">
        <f>SUMIFS('Awards Summary'!$H:$H,'Awards Summary'!$B:$B,$C31,'Awards Summary'!$J:$J,"ECFSA")</f>
        <v>0</v>
      </c>
      <c r="CI31" s="55">
        <f>SUMIFS('Disbursements Summary'!$E:$E,'Disbursements Summary'!$C:$C,$C31,'Disbursements Summary'!$A:$A,"ECFSA")</f>
        <v>0</v>
      </c>
      <c r="CJ31" s="55">
        <f>SUMIFS('Awards Summary'!$H:$H,'Awards Summary'!$B:$B,$C31,'Awards Summary'!$J:$J,"ECMC")</f>
        <v>0</v>
      </c>
      <c r="CK31" s="55">
        <f>SUMIFS('Disbursements Summary'!$E:$E,'Disbursements Summary'!$C:$C,$C31,'Disbursements Summary'!$A:$A,"ECMC")</f>
        <v>0</v>
      </c>
      <c r="CL31" s="55">
        <f>SUMIFS('Awards Summary'!$H:$H,'Awards Summary'!$B:$B,$C31,'Awards Summary'!$J:$J,"CHAMBER")</f>
        <v>0</v>
      </c>
      <c r="CM31" s="55">
        <f>SUMIFS('Disbursements Summary'!$E:$E,'Disbursements Summary'!$C:$C,$C31,'Disbursements Summary'!$A:$A,"CHAMBER")</f>
        <v>0</v>
      </c>
      <c r="CN31" s="55">
        <f>SUMIFS('Awards Summary'!$H:$H,'Awards Summary'!$B:$B,$C31,'Awards Summary'!$J:$J,"GAMING")</f>
        <v>0</v>
      </c>
      <c r="CO31" s="55">
        <f>SUMIFS('Disbursements Summary'!$E:$E,'Disbursements Summary'!$C:$C,$C31,'Disbursements Summary'!$A:$A,"GAMING")</f>
        <v>0</v>
      </c>
      <c r="CP31" s="55">
        <f>SUMIFS('Awards Summary'!$H:$H,'Awards Summary'!$B:$B,$C31,'Awards Summary'!$J:$J,"GOER")</f>
        <v>0</v>
      </c>
      <c r="CQ31" s="55">
        <f>SUMIFS('Disbursements Summary'!$E:$E,'Disbursements Summary'!$C:$C,$C31,'Disbursements Summary'!$A:$A,"GOER")</f>
        <v>0</v>
      </c>
      <c r="CR31" s="55">
        <f>SUMIFS('Awards Summary'!$H:$H,'Awards Summary'!$B:$B,$C31,'Awards Summary'!$J:$J,"HESC")</f>
        <v>0</v>
      </c>
      <c r="CS31" s="55">
        <f>SUMIFS('Disbursements Summary'!$E:$E,'Disbursements Summary'!$C:$C,$C31,'Disbursements Summary'!$A:$A,"HESC")</f>
        <v>0</v>
      </c>
      <c r="CT31" s="55">
        <f>SUMIFS('Awards Summary'!$H:$H,'Awards Summary'!$B:$B,$C31,'Awards Summary'!$J:$J,"GOSR")</f>
        <v>0</v>
      </c>
      <c r="CU31" s="55">
        <f>SUMIFS('Disbursements Summary'!$E:$E,'Disbursements Summary'!$C:$C,$C31,'Disbursements Summary'!$A:$A,"GOSR")</f>
        <v>0</v>
      </c>
      <c r="CV31" s="55">
        <f>SUMIFS('Awards Summary'!$H:$H,'Awards Summary'!$B:$B,$C31,'Awards Summary'!$J:$J,"HRPT")</f>
        <v>0</v>
      </c>
      <c r="CW31" s="55">
        <f>SUMIFS('Disbursements Summary'!$E:$E,'Disbursements Summary'!$C:$C,$C31,'Disbursements Summary'!$A:$A,"HRPT")</f>
        <v>0</v>
      </c>
      <c r="CX31" s="55">
        <f>SUMIFS('Awards Summary'!$H:$H,'Awards Summary'!$B:$B,$C31,'Awards Summary'!$J:$J,"HRBRRD")</f>
        <v>0</v>
      </c>
      <c r="CY31" s="55">
        <f>SUMIFS('Disbursements Summary'!$E:$E,'Disbursements Summary'!$C:$C,$C31,'Disbursements Summary'!$A:$A,"HRBRRD")</f>
        <v>0</v>
      </c>
      <c r="CZ31" s="55">
        <f>SUMIFS('Awards Summary'!$H:$H,'Awards Summary'!$B:$B,$C31,'Awards Summary'!$J:$J,"ITS")</f>
        <v>0</v>
      </c>
      <c r="DA31" s="55">
        <f>SUMIFS('Disbursements Summary'!$E:$E,'Disbursements Summary'!$C:$C,$C31,'Disbursements Summary'!$A:$A,"ITS")</f>
        <v>0</v>
      </c>
      <c r="DB31" s="55">
        <f>SUMIFS('Awards Summary'!$H:$H,'Awards Summary'!$B:$B,$C31,'Awards Summary'!$J:$J,"JAVITS")</f>
        <v>0</v>
      </c>
      <c r="DC31" s="55">
        <f>SUMIFS('Disbursements Summary'!$E:$E,'Disbursements Summary'!$C:$C,$C31,'Disbursements Summary'!$A:$A,"JAVITS")</f>
        <v>0</v>
      </c>
      <c r="DD31" s="55">
        <f>SUMIFS('Awards Summary'!$H:$H,'Awards Summary'!$B:$B,$C31,'Awards Summary'!$J:$J,"JCOPE")</f>
        <v>0</v>
      </c>
      <c r="DE31" s="55">
        <f>SUMIFS('Disbursements Summary'!$E:$E,'Disbursements Summary'!$C:$C,$C31,'Disbursements Summary'!$A:$A,"JCOPE")</f>
        <v>0</v>
      </c>
      <c r="DF31" s="55">
        <f>SUMIFS('Awards Summary'!$H:$H,'Awards Summary'!$B:$B,$C31,'Awards Summary'!$J:$J,"JUSTICE")</f>
        <v>0</v>
      </c>
      <c r="DG31" s="55">
        <f>SUMIFS('Disbursements Summary'!$E:$E,'Disbursements Summary'!$C:$C,$C31,'Disbursements Summary'!$A:$A,"JUSTICE")</f>
        <v>0</v>
      </c>
      <c r="DH31" s="55">
        <f>SUMIFS('Awards Summary'!$H:$H,'Awards Summary'!$B:$B,$C31,'Awards Summary'!$J:$J,"LCWSA")</f>
        <v>0</v>
      </c>
      <c r="DI31" s="55">
        <f>SUMIFS('Disbursements Summary'!$E:$E,'Disbursements Summary'!$C:$C,$C31,'Disbursements Summary'!$A:$A,"LCWSA")</f>
        <v>0</v>
      </c>
      <c r="DJ31" s="55">
        <f>SUMIFS('Awards Summary'!$H:$H,'Awards Summary'!$B:$B,$C31,'Awards Summary'!$J:$J,"LIPA")</f>
        <v>0</v>
      </c>
      <c r="DK31" s="55">
        <f>SUMIFS('Disbursements Summary'!$E:$E,'Disbursements Summary'!$C:$C,$C31,'Disbursements Summary'!$A:$A,"LIPA")</f>
        <v>0</v>
      </c>
      <c r="DL31" s="55">
        <f>SUMIFS('Awards Summary'!$H:$H,'Awards Summary'!$B:$B,$C31,'Awards Summary'!$J:$J,"MTA")</f>
        <v>0</v>
      </c>
      <c r="DM31" s="55">
        <f>SUMIFS('Disbursements Summary'!$E:$E,'Disbursements Summary'!$C:$C,$C31,'Disbursements Summary'!$A:$A,"MTA")</f>
        <v>0</v>
      </c>
      <c r="DN31" s="55">
        <f>SUMIFS('Awards Summary'!$H:$H,'Awards Summary'!$B:$B,$C31,'Awards Summary'!$J:$J,"NIFA")</f>
        <v>0</v>
      </c>
      <c r="DO31" s="55">
        <f>SUMIFS('Disbursements Summary'!$E:$E,'Disbursements Summary'!$C:$C,$C31,'Disbursements Summary'!$A:$A,"NIFA")</f>
        <v>0</v>
      </c>
      <c r="DP31" s="55">
        <f>SUMIFS('Awards Summary'!$H:$H,'Awards Summary'!$B:$B,$C31,'Awards Summary'!$J:$J,"NHCC")</f>
        <v>0</v>
      </c>
      <c r="DQ31" s="55">
        <f>SUMIFS('Disbursements Summary'!$E:$E,'Disbursements Summary'!$C:$C,$C31,'Disbursements Summary'!$A:$A,"NHCC")</f>
        <v>0</v>
      </c>
      <c r="DR31" s="55">
        <f>SUMIFS('Awards Summary'!$H:$H,'Awards Summary'!$B:$B,$C31,'Awards Summary'!$J:$J,"NHT")</f>
        <v>0</v>
      </c>
      <c r="DS31" s="55">
        <f>SUMIFS('Disbursements Summary'!$E:$E,'Disbursements Summary'!$C:$C,$C31,'Disbursements Summary'!$A:$A,"NHT")</f>
        <v>0</v>
      </c>
      <c r="DT31" s="55">
        <f>SUMIFS('Awards Summary'!$H:$H,'Awards Summary'!$B:$B,$C31,'Awards Summary'!$J:$J,"NYPA")</f>
        <v>0</v>
      </c>
      <c r="DU31" s="55">
        <f>SUMIFS('Disbursements Summary'!$E:$E,'Disbursements Summary'!$C:$C,$C31,'Disbursements Summary'!$A:$A,"NYPA")</f>
        <v>0</v>
      </c>
      <c r="DV31" s="55">
        <f>SUMIFS('Awards Summary'!$H:$H,'Awards Summary'!$B:$B,$C31,'Awards Summary'!$J:$J,"NYSBA")</f>
        <v>0</v>
      </c>
      <c r="DW31" s="55">
        <f>SUMIFS('Disbursements Summary'!$E:$E,'Disbursements Summary'!$C:$C,$C31,'Disbursements Summary'!$A:$A,"NYSBA")</f>
        <v>0</v>
      </c>
      <c r="DX31" s="55">
        <f>SUMIFS('Awards Summary'!$H:$H,'Awards Summary'!$B:$B,$C31,'Awards Summary'!$J:$J,"NYSERDA")</f>
        <v>0</v>
      </c>
      <c r="DY31" s="55">
        <f>SUMIFS('Disbursements Summary'!$E:$E,'Disbursements Summary'!$C:$C,$C31,'Disbursements Summary'!$A:$A,"NYSERDA")</f>
        <v>0</v>
      </c>
      <c r="DZ31" s="55">
        <f>SUMIFS('Awards Summary'!$H:$H,'Awards Summary'!$B:$B,$C31,'Awards Summary'!$J:$J,"DHCR")</f>
        <v>0</v>
      </c>
      <c r="EA31" s="55">
        <f>SUMIFS('Disbursements Summary'!$E:$E,'Disbursements Summary'!$C:$C,$C31,'Disbursements Summary'!$A:$A,"DHCR")</f>
        <v>0</v>
      </c>
      <c r="EB31" s="55">
        <f>SUMIFS('Awards Summary'!$H:$H,'Awards Summary'!$B:$B,$C31,'Awards Summary'!$J:$J,"HFA")</f>
        <v>0</v>
      </c>
      <c r="EC31" s="55">
        <f>SUMIFS('Disbursements Summary'!$E:$E,'Disbursements Summary'!$C:$C,$C31,'Disbursements Summary'!$A:$A,"HFA")</f>
        <v>0</v>
      </c>
      <c r="ED31" s="55">
        <f>SUMIFS('Awards Summary'!$H:$H,'Awards Summary'!$B:$B,$C31,'Awards Summary'!$J:$J,"NYSIF")</f>
        <v>0</v>
      </c>
      <c r="EE31" s="55">
        <f>SUMIFS('Disbursements Summary'!$E:$E,'Disbursements Summary'!$C:$C,$C31,'Disbursements Summary'!$A:$A,"NYSIF")</f>
        <v>0</v>
      </c>
      <c r="EF31" s="55">
        <f>SUMIFS('Awards Summary'!$H:$H,'Awards Summary'!$B:$B,$C31,'Awards Summary'!$J:$J,"NYBREDS")</f>
        <v>0</v>
      </c>
      <c r="EG31" s="55">
        <f>SUMIFS('Disbursements Summary'!$E:$E,'Disbursements Summary'!$C:$C,$C31,'Disbursements Summary'!$A:$A,"NYBREDS")</f>
        <v>0</v>
      </c>
      <c r="EH31" s="55">
        <f>SUMIFS('Awards Summary'!$H:$H,'Awards Summary'!$B:$B,$C31,'Awards Summary'!$J:$J,"NYSTA")</f>
        <v>0</v>
      </c>
      <c r="EI31" s="55">
        <f>SUMIFS('Disbursements Summary'!$E:$E,'Disbursements Summary'!$C:$C,$C31,'Disbursements Summary'!$A:$A,"NYSTA")</f>
        <v>0</v>
      </c>
      <c r="EJ31" s="55">
        <f>SUMIFS('Awards Summary'!$H:$H,'Awards Summary'!$B:$B,$C31,'Awards Summary'!$J:$J,"NFWB")</f>
        <v>0</v>
      </c>
      <c r="EK31" s="55">
        <f>SUMIFS('Disbursements Summary'!$E:$E,'Disbursements Summary'!$C:$C,$C31,'Disbursements Summary'!$A:$A,"NFWB")</f>
        <v>0</v>
      </c>
      <c r="EL31" s="55">
        <f>SUMIFS('Awards Summary'!$H:$H,'Awards Summary'!$B:$B,$C31,'Awards Summary'!$J:$J,"NFTA")</f>
        <v>0</v>
      </c>
      <c r="EM31" s="55">
        <f>SUMIFS('Disbursements Summary'!$E:$E,'Disbursements Summary'!$C:$C,$C31,'Disbursements Summary'!$A:$A,"NFTA")</f>
        <v>0</v>
      </c>
      <c r="EN31" s="55">
        <f>SUMIFS('Awards Summary'!$H:$H,'Awards Summary'!$B:$B,$C31,'Awards Summary'!$J:$J,"OPWDD")</f>
        <v>0</v>
      </c>
      <c r="EO31" s="55">
        <f>SUMIFS('Disbursements Summary'!$E:$E,'Disbursements Summary'!$C:$C,$C31,'Disbursements Summary'!$A:$A,"OPWDD")</f>
        <v>0</v>
      </c>
      <c r="EP31" s="55">
        <f>SUMIFS('Awards Summary'!$H:$H,'Awards Summary'!$B:$B,$C31,'Awards Summary'!$J:$J,"AGING")</f>
        <v>0</v>
      </c>
      <c r="EQ31" s="55">
        <f>SUMIFS('Disbursements Summary'!$E:$E,'Disbursements Summary'!$C:$C,$C31,'Disbursements Summary'!$A:$A,"AGING")</f>
        <v>0</v>
      </c>
      <c r="ER31" s="55">
        <f>SUMIFS('Awards Summary'!$H:$H,'Awards Summary'!$B:$B,$C31,'Awards Summary'!$J:$J,"OPDV")</f>
        <v>0</v>
      </c>
      <c r="ES31" s="55">
        <f>SUMIFS('Disbursements Summary'!$E:$E,'Disbursements Summary'!$C:$C,$C31,'Disbursements Summary'!$A:$A,"OPDV")</f>
        <v>0</v>
      </c>
      <c r="ET31" s="55">
        <f>SUMIFS('Awards Summary'!$H:$H,'Awards Summary'!$B:$B,$C31,'Awards Summary'!$J:$J,"OVS")</f>
        <v>0</v>
      </c>
      <c r="EU31" s="55">
        <f>SUMIFS('Disbursements Summary'!$E:$E,'Disbursements Summary'!$C:$C,$C31,'Disbursements Summary'!$A:$A,"OVS")</f>
        <v>0</v>
      </c>
      <c r="EV31" s="55">
        <f>SUMIFS('Awards Summary'!$H:$H,'Awards Summary'!$B:$B,$C31,'Awards Summary'!$J:$J,"OASAS")</f>
        <v>0</v>
      </c>
      <c r="EW31" s="55">
        <f>SUMIFS('Disbursements Summary'!$E:$E,'Disbursements Summary'!$C:$C,$C31,'Disbursements Summary'!$A:$A,"OASAS")</f>
        <v>0</v>
      </c>
      <c r="EX31" s="55">
        <f>SUMIFS('Awards Summary'!$H:$H,'Awards Summary'!$B:$B,$C31,'Awards Summary'!$J:$J,"OCFS")</f>
        <v>0</v>
      </c>
      <c r="EY31" s="55">
        <f>SUMIFS('Disbursements Summary'!$E:$E,'Disbursements Summary'!$C:$C,$C31,'Disbursements Summary'!$A:$A,"OCFS")</f>
        <v>0</v>
      </c>
      <c r="EZ31" s="55">
        <f>SUMIFS('Awards Summary'!$H:$H,'Awards Summary'!$B:$B,$C31,'Awards Summary'!$J:$J,"OGS")</f>
        <v>0</v>
      </c>
      <c r="FA31" s="55">
        <f>SUMIFS('Disbursements Summary'!$E:$E,'Disbursements Summary'!$C:$C,$C31,'Disbursements Summary'!$A:$A,"OGS")</f>
        <v>0</v>
      </c>
      <c r="FB31" s="55">
        <f>SUMIFS('Awards Summary'!$H:$H,'Awards Summary'!$B:$B,$C31,'Awards Summary'!$J:$J,"OMH")</f>
        <v>0</v>
      </c>
      <c r="FC31" s="55">
        <f>SUMIFS('Disbursements Summary'!$E:$E,'Disbursements Summary'!$C:$C,$C31,'Disbursements Summary'!$A:$A,"OMH")</f>
        <v>0</v>
      </c>
      <c r="FD31" s="55">
        <f>SUMIFS('Awards Summary'!$H:$H,'Awards Summary'!$B:$B,$C31,'Awards Summary'!$J:$J,"PARKS")</f>
        <v>0</v>
      </c>
      <c r="FE31" s="55">
        <f>SUMIFS('Disbursements Summary'!$E:$E,'Disbursements Summary'!$C:$C,$C31,'Disbursements Summary'!$A:$A,"PARKS")</f>
        <v>0</v>
      </c>
      <c r="FF31" s="55">
        <f>SUMIFS('Awards Summary'!$H:$H,'Awards Summary'!$B:$B,$C31,'Awards Summary'!$J:$J,"OTDA")</f>
        <v>0</v>
      </c>
      <c r="FG31" s="55">
        <f>SUMIFS('Disbursements Summary'!$E:$E,'Disbursements Summary'!$C:$C,$C31,'Disbursements Summary'!$A:$A,"OTDA")</f>
        <v>0</v>
      </c>
      <c r="FH31" s="55">
        <f>SUMIFS('Awards Summary'!$H:$H,'Awards Summary'!$B:$B,$C31,'Awards Summary'!$J:$J,"OIG")</f>
        <v>0</v>
      </c>
      <c r="FI31" s="55">
        <f>SUMIFS('Disbursements Summary'!$E:$E,'Disbursements Summary'!$C:$C,$C31,'Disbursements Summary'!$A:$A,"OIG")</f>
        <v>0</v>
      </c>
      <c r="FJ31" s="55">
        <f>SUMIFS('Awards Summary'!$H:$H,'Awards Summary'!$B:$B,$C31,'Awards Summary'!$J:$J,"OMIG")</f>
        <v>0</v>
      </c>
      <c r="FK31" s="55">
        <f>SUMIFS('Disbursements Summary'!$E:$E,'Disbursements Summary'!$C:$C,$C31,'Disbursements Summary'!$A:$A,"OMIG")</f>
        <v>0</v>
      </c>
      <c r="FL31" s="55">
        <f>SUMIFS('Awards Summary'!$H:$H,'Awards Summary'!$B:$B,$C31,'Awards Summary'!$J:$J,"OSC")</f>
        <v>0</v>
      </c>
      <c r="FM31" s="55">
        <f>SUMIFS('Disbursements Summary'!$E:$E,'Disbursements Summary'!$C:$C,$C31,'Disbursements Summary'!$A:$A,"OSC")</f>
        <v>0</v>
      </c>
      <c r="FN31" s="55">
        <f>SUMIFS('Awards Summary'!$H:$H,'Awards Summary'!$B:$B,$C31,'Awards Summary'!$J:$J,"OWIG")</f>
        <v>0</v>
      </c>
      <c r="FO31" s="55">
        <f>SUMIFS('Disbursements Summary'!$E:$E,'Disbursements Summary'!$C:$C,$C31,'Disbursements Summary'!$A:$A,"OWIG")</f>
        <v>0</v>
      </c>
      <c r="FP31" s="55">
        <f>SUMIFS('Awards Summary'!$H:$H,'Awards Summary'!$B:$B,$C31,'Awards Summary'!$J:$J,"OGDEN")</f>
        <v>0</v>
      </c>
      <c r="FQ31" s="55">
        <f>SUMIFS('Disbursements Summary'!$E:$E,'Disbursements Summary'!$C:$C,$C31,'Disbursements Summary'!$A:$A,"OGDEN")</f>
        <v>0</v>
      </c>
      <c r="FR31" s="55">
        <f>SUMIFS('Awards Summary'!$H:$H,'Awards Summary'!$B:$B,$C31,'Awards Summary'!$J:$J,"ORDA")</f>
        <v>0</v>
      </c>
      <c r="FS31" s="55">
        <f>SUMIFS('Disbursements Summary'!$E:$E,'Disbursements Summary'!$C:$C,$C31,'Disbursements Summary'!$A:$A,"ORDA")</f>
        <v>0</v>
      </c>
      <c r="FT31" s="55">
        <f>SUMIFS('Awards Summary'!$H:$H,'Awards Summary'!$B:$B,$C31,'Awards Summary'!$J:$J,"OSWEGO")</f>
        <v>0</v>
      </c>
      <c r="FU31" s="55">
        <f>SUMIFS('Disbursements Summary'!$E:$E,'Disbursements Summary'!$C:$C,$C31,'Disbursements Summary'!$A:$A,"OSWEGO")</f>
        <v>0</v>
      </c>
      <c r="FV31" s="55">
        <f>SUMIFS('Awards Summary'!$H:$H,'Awards Summary'!$B:$B,$C31,'Awards Summary'!$J:$J,"PERB")</f>
        <v>0</v>
      </c>
      <c r="FW31" s="55">
        <f>SUMIFS('Disbursements Summary'!$E:$E,'Disbursements Summary'!$C:$C,$C31,'Disbursements Summary'!$A:$A,"PERB")</f>
        <v>0</v>
      </c>
      <c r="FX31" s="55">
        <f>SUMIFS('Awards Summary'!$H:$H,'Awards Summary'!$B:$B,$C31,'Awards Summary'!$J:$J,"RGRTA")</f>
        <v>0</v>
      </c>
      <c r="FY31" s="55">
        <f>SUMIFS('Disbursements Summary'!$E:$E,'Disbursements Summary'!$C:$C,$C31,'Disbursements Summary'!$A:$A,"RGRTA")</f>
        <v>0</v>
      </c>
      <c r="FZ31" s="55">
        <f>SUMIFS('Awards Summary'!$H:$H,'Awards Summary'!$B:$B,$C31,'Awards Summary'!$J:$J,"RIOC")</f>
        <v>0</v>
      </c>
      <c r="GA31" s="55">
        <f>SUMIFS('Disbursements Summary'!$E:$E,'Disbursements Summary'!$C:$C,$C31,'Disbursements Summary'!$A:$A,"RIOC")</f>
        <v>0</v>
      </c>
      <c r="GB31" s="55">
        <f>SUMIFS('Awards Summary'!$H:$H,'Awards Summary'!$B:$B,$C31,'Awards Summary'!$J:$J,"RPCI")</f>
        <v>0</v>
      </c>
      <c r="GC31" s="55">
        <f>SUMIFS('Disbursements Summary'!$E:$E,'Disbursements Summary'!$C:$C,$C31,'Disbursements Summary'!$A:$A,"RPCI")</f>
        <v>0</v>
      </c>
      <c r="GD31" s="55">
        <f>SUMIFS('Awards Summary'!$H:$H,'Awards Summary'!$B:$B,$C31,'Awards Summary'!$J:$J,"SMDA")</f>
        <v>0</v>
      </c>
      <c r="GE31" s="55">
        <f>SUMIFS('Disbursements Summary'!$E:$E,'Disbursements Summary'!$C:$C,$C31,'Disbursements Summary'!$A:$A,"SMDA")</f>
        <v>0</v>
      </c>
      <c r="GF31" s="55">
        <f>SUMIFS('Awards Summary'!$H:$H,'Awards Summary'!$B:$B,$C31,'Awards Summary'!$J:$J,"SCOC")</f>
        <v>0</v>
      </c>
      <c r="GG31" s="55">
        <f>SUMIFS('Disbursements Summary'!$E:$E,'Disbursements Summary'!$C:$C,$C31,'Disbursements Summary'!$A:$A,"SCOC")</f>
        <v>0</v>
      </c>
      <c r="GH31" s="55">
        <f>SUMIFS('Awards Summary'!$H:$H,'Awards Summary'!$B:$B,$C31,'Awards Summary'!$J:$J,"SUCF")</f>
        <v>0</v>
      </c>
      <c r="GI31" s="55">
        <f>SUMIFS('Disbursements Summary'!$E:$E,'Disbursements Summary'!$C:$C,$C31,'Disbursements Summary'!$A:$A,"SUCF")</f>
        <v>0</v>
      </c>
      <c r="GJ31" s="55">
        <f>SUMIFS('Awards Summary'!$H:$H,'Awards Summary'!$B:$B,$C31,'Awards Summary'!$J:$J,"SUNY")</f>
        <v>0</v>
      </c>
      <c r="GK31" s="55">
        <f>SUMIFS('Disbursements Summary'!$E:$E,'Disbursements Summary'!$C:$C,$C31,'Disbursements Summary'!$A:$A,"SUNY")</f>
        <v>0</v>
      </c>
      <c r="GL31" s="55">
        <f>SUMIFS('Awards Summary'!$H:$H,'Awards Summary'!$B:$B,$C31,'Awards Summary'!$J:$J,"SRAA")</f>
        <v>0</v>
      </c>
      <c r="GM31" s="55">
        <f>SUMIFS('Disbursements Summary'!$E:$E,'Disbursements Summary'!$C:$C,$C31,'Disbursements Summary'!$A:$A,"SRAA")</f>
        <v>0</v>
      </c>
      <c r="GN31" s="55">
        <f>SUMIFS('Awards Summary'!$H:$H,'Awards Summary'!$B:$B,$C31,'Awards Summary'!$J:$J,"UNDC")</f>
        <v>0</v>
      </c>
      <c r="GO31" s="55">
        <f>SUMIFS('Disbursements Summary'!$E:$E,'Disbursements Summary'!$C:$C,$C31,'Disbursements Summary'!$A:$A,"UNDC")</f>
        <v>0</v>
      </c>
      <c r="GP31" s="55">
        <f>SUMIFS('Awards Summary'!$H:$H,'Awards Summary'!$B:$B,$C31,'Awards Summary'!$J:$J,"MVWA")</f>
        <v>0</v>
      </c>
      <c r="GQ31" s="55">
        <f>SUMIFS('Disbursements Summary'!$E:$E,'Disbursements Summary'!$C:$C,$C31,'Disbursements Summary'!$A:$A,"MVWA")</f>
        <v>0</v>
      </c>
      <c r="GR31" s="55">
        <f>SUMIFS('Awards Summary'!$H:$H,'Awards Summary'!$B:$B,$C31,'Awards Summary'!$J:$J,"WMC")</f>
        <v>0</v>
      </c>
      <c r="GS31" s="55">
        <f>SUMIFS('Disbursements Summary'!$E:$E,'Disbursements Summary'!$C:$C,$C31,'Disbursements Summary'!$A:$A,"WMC")</f>
        <v>0</v>
      </c>
      <c r="GT31" s="55">
        <f>SUMIFS('Awards Summary'!$H:$H,'Awards Summary'!$B:$B,$C31,'Awards Summary'!$J:$J,"WCB")</f>
        <v>0</v>
      </c>
      <c r="GU31" s="55">
        <f>SUMIFS('Disbursements Summary'!$E:$E,'Disbursements Summary'!$C:$C,$C31,'Disbursements Summary'!$A:$A,"WCB")</f>
        <v>0</v>
      </c>
      <c r="GV31" s="32">
        <f t="shared" si="5"/>
        <v>0</v>
      </c>
      <c r="GW31" s="32">
        <f t="shared" si="6"/>
        <v>0</v>
      </c>
      <c r="GX31" s="30" t="b">
        <f t="shared" si="7"/>
        <v>1</v>
      </c>
      <c r="GY31" s="30" t="b">
        <f t="shared" si="8"/>
        <v>1</v>
      </c>
    </row>
    <row r="32" spans="1:207" s="30" customFormat="1">
      <c r="A32" s="22" t="str">
        <f t="shared" si="0"/>
        <v/>
      </c>
      <c r="B32" s="40" t="s">
        <v>104</v>
      </c>
      <c r="C32" s="16">
        <v>141055</v>
      </c>
      <c r="D32" s="26">
        <f>COUNTIF('Awards Summary'!B:B,"141055")</f>
        <v>0</v>
      </c>
      <c r="E32" s="45">
        <f>SUMIFS('Awards Summary'!H:H,'Awards Summary'!B:B,"141055")</f>
        <v>0</v>
      </c>
      <c r="F32" s="46">
        <f>SUMIFS('Disbursements Summary'!E:E,'Disbursements Summary'!C:C, "141055")</f>
        <v>0</v>
      </c>
      <c r="H32" s="55">
        <f>SUMIFS('Awards Summary'!$H:$H,'Awards Summary'!$B:$B,$C32,'Awards Summary'!$J:$J,"APA")</f>
        <v>0</v>
      </c>
      <c r="I32" s="55">
        <f>SUMIFS('Disbursements Summary'!$E:$E,'Disbursements Summary'!$C:$C,$C32,'Disbursements Summary'!$A:$A,"APA")</f>
        <v>0</v>
      </c>
      <c r="J32" s="55">
        <f>SUMIFS('Awards Summary'!$H:$H,'Awards Summary'!$B:$B,$C32,'Awards Summary'!$J:$J,"Ag&amp;Horse")</f>
        <v>0</v>
      </c>
      <c r="K32" s="55">
        <f>SUMIFS('Disbursements Summary'!$E:$E,'Disbursements Summary'!$C:$C,$C32,'Disbursements Summary'!$A:$A,"Ag&amp;Horse")</f>
        <v>0</v>
      </c>
      <c r="L32" s="55">
        <f>SUMIFS('Awards Summary'!$H:$H,'Awards Summary'!$B:$B,$C32,'Awards Summary'!$J:$J,"ACAA")</f>
        <v>0</v>
      </c>
      <c r="M32" s="55">
        <f>SUMIFS('Disbursements Summary'!$E:$E,'Disbursements Summary'!$C:$C,$C32,'Disbursements Summary'!$A:$A,"ACAA")</f>
        <v>0</v>
      </c>
      <c r="N32" s="55">
        <f>SUMIFS('Awards Summary'!$H:$H,'Awards Summary'!$B:$B,$C32,'Awards Summary'!$J:$J,"PortAlbany")</f>
        <v>0</v>
      </c>
      <c r="O32" s="55">
        <f>SUMIFS('Disbursements Summary'!$E:$E,'Disbursements Summary'!$C:$C,$C32,'Disbursements Summary'!$A:$A,"PortAlbany")</f>
        <v>0</v>
      </c>
      <c r="P32" s="55">
        <f>SUMIFS('Awards Summary'!$H:$H,'Awards Summary'!$B:$B,$C32,'Awards Summary'!$J:$J,"SLA")</f>
        <v>0</v>
      </c>
      <c r="Q32" s="55">
        <f>SUMIFS('Disbursements Summary'!$E:$E,'Disbursements Summary'!$C:$C,$C32,'Disbursements Summary'!$A:$A,"SLA")</f>
        <v>0</v>
      </c>
      <c r="R32" s="55">
        <f>SUMIFS('Awards Summary'!$H:$H,'Awards Summary'!$B:$B,$C32,'Awards Summary'!$J:$J,"BPCA")</f>
        <v>0</v>
      </c>
      <c r="S32" s="55">
        <f>SUMIFS('Disbursements Summary'!$E:$E,'Disbursements Summary'!$C:$C,$C32,'Disbursements Summary'!$A:$A,"BPCA")</f>
        <v>0</v>
      </c>
      <c r="T32" s="55">
        <f>SUMIFS('Awards Summary'!$H:$H,'Awards Summary'!$B:$B,$C32,'Awards Summary'!$J:$J,"ELECTIONS")</f>
        <v>0</v>
      </c>
      <c r="U32" s="55">
        <f>SUMIFS('Disbursements Summary'!$E:$E,'Disbursements Summary'!$C:$C,$C32,'Disbursements Summary'!$A:$A,"ELECTIONS")</f>
        <v>0</v>
      </c>
      <c r="V32" s="55">
        <f>SUMIFS('Awards Summary'!$H:$H,'Awards Summary'!$B:$B,$C32,'Awards Summary'!$J:$J,"BFSA")</f>
        <v>0</v>
      </c>
      <c r="W32" s="55">
        <f>SUMIFS('Disbursements Summary'!$E:$E,'Disbursements Summary'!$C:$C,$C32,'Disbursements Summary'!$A:$A,"BFSA")</f>
        <v>0</v>
      </c>
      <c r="X32" s="55">
        <f>SUMIFS('Awards Summary'!$H:$H,'Awards Summary'!$B:$B,$C32,'Awards Summary'!$J:$J,"CDTA")</f>
        <v>0</v>
      </c>
      <c r="Y32" s="55">
        <f>SUMIFS('Disbursements Summary'!$E:$E,'Disbursements Summary'!$C:$C,$C32,'Disbursements Summary'!$A:$A,"CDTA")</f>
        <v>0</v>
      </c>
      <c r="Z32" s="55">
        <f>SUMIFS('Awards Summary'!$H:$H,'Awards Summary'!$B:$B,$C32,'Awards Summary'!$J:$J,"CCWSA")</f>
        <v>0</v>
      </c>
      <c r="AA32" s="55">
        <f>SUMIFS('Disbursements Summary'!$E:$E,'Disbursements Summary'!$C:$C,$C32,'Disbursements Summary'!$A:$A,"CCWSA")</f>
        <v>0</v>
      </c>
      <c r="AB32" s="55">
        <f>SUMIFS('Awards Summary'!$H:$H,'Awards Summary'!$B:$B,$C32,'Awards Summary'!$J:$J,"CNYRTA")</f>
        <v>0</v>
      </c>
      <c r="AC32" s="55">
        <f>SUMIFS('Disbursements Summary'!$E:$E,'Disbursements Summary'!$C:$C,$C32,'Disbursements Summary'!$A:$A,"CNYRTA")</f>
        <v>0</v>
      </c>
      <c r="AD32" s="55">
        <f>SUMIFS('Awards Summary'!$H:$H,'Awards Summary'!$B:$B,$C32,'Awards Summary'!$J:$J,"CUCF")</f>
        <v>0</v>
      </c>
      <c r="AE32" s="55">
        <f>SUMIFS('Disbursements Summary'!$E:$E,'Disbursements Summary'!$C:$C,$C32,'Disbursements Summary'!$A:$A,"CUCF")</f>
        <v>0</v>
      </c>
      <c r="AF32" s="55">
        <f>SUMIFS('Awards Summary'!$H:$H,'Awards Summary'!$B:$B,$C32,'Awards Summary'!$J:$J,"CUNY")</f>
        <v>0</v>
      </c>
      <c r="AG32" s="55">
        <f>SUMIFS('Disbursements Summary'!$E:$E,'Disbursements Summary'!$C:$C,$C32,'Disbursements Summary'!$A:$A,"CUNY")</f>
        <v>0</v>
      </c>
      <c r="AH32" s="55">
        <f>SUMIFS('Awards Summary'!$H:$H,'Awards Summary'!$B:$B,$C32,'Awards Summary'!$J:$J,"ARTS")</f>
        <v>0</v>
      </c>
      <c r="AI32" s="55">
        <f>SUMIFS('Disbursements Summary'!$E:$E,'Disbursements Summary'!$C:$C,$C32,'Disbursements Summary'!$A:$A,"ARTS")</f>
        <v>0</v>
      </c>
      <c r="AJ32" s="55">
        <f>SUMIFS('Awards Summary'!$H:$H,'Awards Summary'!$B:$B,$C32,'Awards Summary'!$J:$J,"AG&amp;MKTS")</f>
        <v>0</v>
      </c>
      <c r="AK32" s="55">
        <f>SUMIFS('Disbursements Summary'!$E:$E,'Disbursements Summary'!$C:$C,$C32,'Disbursements Summary'!$A:$A,"AG&amp;MKTS")</f>
        <v>0</v>
      </c>
      <c r="AL32" s="55">
        <f>SUMIFS('Awards Summary'!$H:$H,'Awards Summary'!$B:$B,$C32,'Awards Summary'!$J:$J,"CS")</f>
        <v>0</v>
      </c>
      <c r="AM32" s="55">
        <f>SUMIFS('Disbursements Summary'!$E:$E,'Disbursements Summary'!$C:$C,$C32,'Disbursements Summary'!$A:$A,"CS")</f>
        <v>0</v>
      </c>
      <c r="AN32" s="55">
        <f>SUMIFS('Awards Summary'!$H:$H,'Awards Summary'!$B:$B,$C32,'Awards Summary'!$J:$J,"DOCCS")</f>
        <v>0</v>
      </c>
      <c r="AO32" s="55">
        <f>SUMIFS('Disbursements Summary'!$E:$E,'Disbursements Summary'!$C:$C,$C32,'Disbursements Summary'!$A:$A,"DOCCS")</f>
        <v>0</v>
      </c>
      <c r="AP32" s="55">
        <f>SUMIFS('Awards Summary'!$H:$H,'Awards Summary'!$B:$B,$C32,'Awards Summary'!$J:$J,"DED")</f>
        <v>0</v>
      </c>
      <c r="AQ32" s="55">
        <f>SUMIFS('Disbursements Summary'!$E:$E,'Disbursements Summary'!$C:$C,$C32,'Disbursements Summary'!$A:$A,"DED")</f>
        <v>0</v>
      </c>
      <c r="AR32" s="55">
        <f>SUMIFS('Awards Summary'!$H:$H,'Awards Summary'!$B:$B,$C32,'Awards Summary'!$J:$J,"DEC")</f>
        <v>0</v>
      </c>
      <c r="AS32" s="55">
        <f>SUMIFS('Disbursements Summary'!$E:$E,'Disbursements Summary'!$C:$C,$C32,'Disbursements Summary'!$A:$A,"DEC")</f>
        <v>0</v>
      </c>
      <c r="AT32" s="55">
        <f>SUMIFS('Awards Summary'!$H:$H,'Awards Summary'!$B:$B,$C32,'Awards Summary'!$J:$J,"DFS")</f>
        <v>0</v>
      </c>
      <c r="AU32" s="55">
        <f>SUMIFS('Disbursements Summary'!$E:$E,'Disbursements Summary'!$C:$C,$C32,'Disbursements Summary'!$A:$A,"DFS")</f>
        <v>0</v>
      </c>
      <c r="AV32" s="55">
        <f>SUMIFS('Awards Summary'!$H:$H,'Awards Summary'!$B:$B,$C32,'Awards Summary'!$J:$J,"DOH")</f>
        <v>0</v>
      </c>
      <c r="AW32" s="55">
        <f>SUMIFS('Disbursements Summary'!$E:$E,'Disbursements Summary'!$C:$C,$C32,'Disbursements Summary'!$A:$A,"DOH")</f>
        <v>0</v>
      </c>
      <c r="AX32" s="55">
        <f>SUMIFS('Awards Summary'!$H:$H,'Awards Summary'!$B:$B,$C32,'Awards Summary'!$J:$J,"DOL")</f>
        <v>0</v>
      </c>
      <c r="AY32" s="55">
        <f>SUMIFS('Disbursements Summary'!$E:$E,'Disbursements Summary'!$C:$C,$C32,'Disbursements Summary'!$A:$A,"DOL")</f>
        <v>0</v>
      </c>
      <c r="AZ32" s="55">
        <f>SUMIFS('Awards Summary'!$H:$H,'Awards Summary'!$B:$B,$C32,'Awards Summary'!$J:$J,"DMV")</f>
        <v>0</v>
      </c>
      <c r="BA32" s="55">
        <f>SUMIFS('Disbursements Summary'!$E:$E,'Disbursements Summary'!$C:$C,$C32,'Disbursements Summary'!$A:$A,"DMV")</f>
        <v>0</v>
      </c>
      <c r="BB32" s="55">
        <f>SUMIFS('Awards Summary'!$H:$H,'Awards Summary'!$B:$B,$C32,'Awards Summary'!$J:$J,"DPS")</f>
        <v>0</v>
      </c>
      <c r="BC32" s="55">
        <f>SUMIFS('Disbursements Summary'!$E:$E,'Disbursements Summary'!$C:$C,$C32,'Disbursements Summary'!$A:$A,"DPS")</f>
        <v>0</v>
      </c>
      <c r="BD32" s="55">
        <f>SUMIFS('Awards Summary'!$H:$H,'Awards Summary'!$B:$B,$C32,'Awards Summary'!$J:$J,"DOS")</f>
        <v>0</v>
      </c>
      <c r="BE32" s="55">
        <f>SUMIFS('Disbursements Summary'!$E:$E,'Disbursements Summary'!$C:$C,$C32,'Disbursements Summary'!$A:$A,"DOS")</f>
        <v>0</v>
      </c>
      <c r="BF32" s="55">
        <f>SUMIFS('Awards Summary'!$H:$H,'Awards Summary'!$B:$B,$C32,'Awards Summary'!$J:$J,"TAX")</f>
        <v>0</v>
      </c>
      <c r="BG32" s="55">
        <f>SUMIFS('Disbursements Summary'!$E:$E,'Disbursements Summary'!$C:$C,$C32,'Disbursements Summary'!$A:$A,"TAX")</f>
        <v>0</v>
      </c>
      <c r="BH32" s="55">
        <f>SUMIFS('Awards Summary'!$H:$H,'Awards Summary'!$B:$B,$C32,'Awards Summary'!$J:$J,"DOT")</f>
        <v>0</v>
      </c>
      <c r="BI32" s="55">
        <f>SUMIFS('Disbursements Summary'!$E:$E,'Disbursements Summary'!$C:$C,$C32,'Disbursements Summary'!$A:$A,"DOT")</f>
        <v>0</v>
      </c>
      <c r="BJ32" s="55">
        <f>SUMIFS('Awards Summary'!$H:$H,'Awards Summary'!$B:$B,$C32,'Awards Summary'!$J:$J,"DANC")</f>
        <v>0</v>
      </c>
      <c r="BK32" s="55">
        <f>SUMIFS('Disbursements Summary'!$E:$E,'Disbursements Summary'!$C:$C,$C32,'Disbursements Summary'!$A:$A,"DANC")</f>
        <v>0</v>
      </c>
      <c r="BL32" s="55">
        <f>SUMIFS('Awards Summary'!$H:$H,'Awards Summary'!$B:$B,$C32,'Awards Summary'!$J:$J,"DOB")</f>
        <v>0</v>
      </c>
      <c r="BM32" s="55">
        <f>SUMIFS('Disbursements Summary'!$E:$E,'Disbursements Summary'!$C:$C,$C32,'Disbursements Summary'!$A:$A,"DOB")</f>
        <v>0</v>
      </c>
      <c r="BN32" s="55">
        <f>SUMIFS('Awards Summary'!$H:$H,'Awards Summary'!$B:$B,$C32,'Awards Summary'!$J:$J,"DCJS")</f>
        <v>0</v>
      </c>
      <c r="BO32" s="55">
        <f>SUMIFS('Disbursements Summary'!$E:$E,'Disbursements Summary'!$C:$C,$C32,'Disbursements Summary'!$A:$A,"DCJS")</f>
        <v>0</v>
      </c>
      <c r="BP32" s="55">
        <f>SUMIFS('Awards Summary'!$H:$H,'Awards Summary'!$B:$B,$C32,'Awards Summary'!$J:$J,"DHSES")</f>
        <v>0</v>
      </c>
      <c r="BQ32" s="55">
        <f>SUMIFS('Disbursements Summary'!$E:$E,'Disbursements Summary'!$C:$C,$C32,'Disbursements Summary'!$A:$A,"DHSES")</f>
        <v>0</v>
      </c>
      <c r="BR32" s="55">
        <f>SUMIFS('Awards Summary'!$H:$H,'Awards Summary'!$B:$B,$C32,'Awards Summary'!$J:$J,"DHR")</f>
        <v>0</v>
      </c>
      <c r="BS32" s="55">
        <f>SUMIFS('Disbursements Summary'!$E:$E,'Disbursements Summary'!$C:$C,$C32,'Disbursements Summary'!$A:$A,"DHR")</f>
        <v>0</v>
      </c>
      <c r="BT32" s="55">
        <f>SUMIFS('Awards Summary'!$H:$H,'Awards Summary'!$B:$B,$C32,'Awards Summary'!$J:$J,"DMNA")</f>
        <v>0</v>
      </c>
      <c r="BU32" s="55">
        <f>SUMIFS('Disbursements Summary'!$E:$E,'Disbursements Summary'!$C:$C,$C32,'Disbursements Summary'!$A:$A,"DMNA")</f>
        <v>0</v>
      </c>
      <c r="BV32" s="55">
        <f>SUMIFS('Awards Summary'!$H:$H,'Awards Summary'!$B:$B,$C32,'Awards Summary'!$J:$J,"TROOPERS")</f>
        <v>0</v>
      </c>
      <c r="BW32" s="55">
        <f>SUMIFS('Disbursements Summary'!$E:$E,'Disbursements Summary'!$C:$C,$C32,'Disbursements Summary'!$A:$A,"TROOPERS")</f>
        <v>0</v>
      </c>
      <c r="BX32" s="55">
        <f>SUMIFS('Awards Summary'!$H:$H,'Awards Summary'!$B:$B,$C32,'Awards Summary'!$J:$J,"DVA")</f>
        <v>0</v>
      </c>
      <c r="BY32" s="55">
        <f>SUMIFS('Disbursements Summary'!$E:$E,'Disbursements Summary'!$C:$C,$C32,'Disbursements Summary'!$A:$A,"DVA")</f>
        <v>0</v>
      </c>
      <c r="BZ32" s="55">
        <f>SUMIFS('Awards Summary'!$H:$H,'Awards Summary'!$B:$B,$C32,'Awards Summary'!$J:$J,"DASNY")</f>
        <v>0</v>
      </c>
      <c r="CA32" s="55">
        <f>SUMIFS('Disbursements Summary'!$E:$E,'Disbursements Summary'!$C:$C,$C32,'Disbursements Summary'!$A:$A,"DASNY")</f>
        <v>0</v>
      </c>
      <c r="CB32" s="55">
        <f>SUMIFS('Awards Summary'!$H:$H,'Awards Summary'!$B:$B,$C32,'Awards Summary'!$J:$J,"EGG")</f>
        <v>0</v>
      </c>
      <c r="CC32" s="55">
        <f>SUMIFS('Disbursements Summary'!$E:$E,'Disbursements Summary'!$C:$C,$C32,'Disbursements Summary'!$A:$A,"EGG")</f>
        <v>0</v>
      </c>
      <c r="CD32" s="55">
        <f>SUMIFS('Awards Summary'!$H:$H,'Awards Summary'!$B:$B,$C32,'Awards Summary'!$J:$J,"ESD")</f>
        <v>0</v>
      </c>
      <c r="CE32" s="55">
        <f>SUMIFS('Disbursements Summary'!$E:$E,'Disbursements Summary'!$C:$C,$C32,'Disbursements Summary'!$A:$A,"ESD")</f>
        <v>0</v>
      </c>
      <c r="CF32" s="55">
        <f>SUMIFS('Awards Summary'!$H:$H,'Awards Summary'!$B:$B,$C32,'Awards Summary'!$J:$J,"EFC")</f>
        <v>0</v>
      </c>
      <c r="CG32" s="55">
        <f>SUMIFS('Disbursements Summary'!$E:$E,'Disbursements Summary'!$C:$C,$C32,'Disbursements Summary'!$A:$A,"EFC")</f>
        <v>0</v>
      </c>
      <c r="CH32" s="55">
        <f>SUMIFS('Awards Summary'!$H:$H,'Awards Summary'!$B:$B,$C32,'Awards Summary'!$J:$J,"ECFSA")</f>
        <v>0</v>
      </c>
      <c r="CI32" s="55">
        <f>SUMIFS('Disbursements Summary'!$E:$E,'Disbursements Summary'!$C:$C,$C32,'Disbursements Summary'!$A:$A,"ECFSA")</f>
        <v>0</v>
      </c>
      <c r="CJ32" s="55">
        <f>SUMIFS('Awards Summary'!$H:$H,'Awards Summary'!$B:$B,$C32,'Awards Summary'!$J:$J,"ECMC")</f>
        <v>0</v>
      </c>
      <c r="CK32" s="55">
        <f>SUMIFS('Disbursements Summary'!$E:$E,'Disbursements Summary'!$C:$C,$C32,'Disbursements Summary'!$A:$A,"ECMC")</f>
        <v>0</v>
      </c>
      <c r="CL32" s="55">
        <f>SUMIFS('Awards Summary'!$H:$H,'Awards Summary'!$B:$B,$C32,'Awards Summary'!$J:$J,"CHAMBER")</f>
        <v>0</v>
      </c>
      <c r="CM32" s="55">
        <f>SUMIFS('Disbursements Summary'!$E:$E,'Disbursements Summary'!$C:$C,$C32,'Disbursements Summary'!$A:$A,"CHAMBER")</f>
        <v>0</v>
      </c>
      <c r="CN32" s="55">
        <f>SUMIFS('Awards Summary'!$H:$H,'Awards Summary'!$B:$B,$C32,'Awards Summary'!$J:$J,"GAMING")</f>
        <v>0</v>
      </c>
      <c r="CO32" s="55">
        <f>SUMIFS('Disbursements Summary'!$E:$E,'Disbursements Summary'!$C:$C,$C32,'Disbursements Summary'!$A:$A,"GAMING")</f>
        <v>0</v>
      </c>
      <c r="CP32" s="55">
        <f>SUMIFS('Awards Summary'!$H:$H,'Awards Summary'!$B:$B,$C32,'Awards Summary'!$J:$J,"GOER")</f>
        <v>0</v>
      </c>
      <c r="CQ32" s="55">
        <f>SUMIFS('Disbursements Summary'!$E:$E,'Disbursements Summary'!$C:$C,$C32,'Disbursements Summary'!$A:$A,"GOER")</f>
        <v>0</v>
      </c>
      <c r="CR32" s="55">
        <f>SUMIFS('Awards Summary'!$H:$H,'Awards Summary'!$B:$B,$C32,'Awards Summary'!$J:$J,"HESC")</f>
        <v>0</v>
      </c>
      <c r="CS32" s="55">
        <f>SUMIFS('Disbursements Summary'!$E:$E,'Disbursements Summary'!$C:$C,$C32,'Disbursements Summary'!$A:$A,"HESC")</f>
        <v>0</v>
      </c>
      <c r="CT32" s="55">
        <f>SUMIFS('Awards Summary'!$H:$H,'Awards Summary'!$B:$B,$C32,'Awards Summary'!$J:$J,"GOSR")</f>
        <v>0</v>
      </c>
      <c r="CU32" s="55">
        <f>SUMIFS('Disbursements Summary'!$E:$E,'Disbursements Summary'!$C:$C,$C32,'Disbursements Summary'!$A:$A,"GOSR")</f>
        <v>0</v>
      </c>
      <c r="CV32" s="55">
        <f>SUMIFS('Awards Summary'!$H:$H,'Awards Summary'!$B:$B,$C32,'Awards Summary'!$J:$J,"HRPT")</f>
        <v>0</v>
      </c>
      <c r="CW32" s="55">
        <f>SUMIFS('Disbursements Summary'!$E:$E,'Disbursements Summary'!$C:$C,$C32,'Disbursements Summary'!$A:$A,"HRPT")</f>
        <v>0</v>
      </c>
      <c r="CX32" s="55">
        <f>SUMIFS('Awards Summary'!$H:$H,'Awards Summary'!$B:$B,$C32,'Awards Summary'!$J:$J,"HRBRRD")</f>
        <v>0</v>
      </c>
      <c r="CY32" s="55">
        <f>SUMIFS('Disbursements Summary'!$E:$E,'Disbursements Summary'!$C:$C,$C32,'Disbursements Summary'!$A:$A,"HRBRRD")</f>
        <v>0</v>
      </c>
      <c r="CZ32" s="55">
        <f>SUMIFS('Awards Summary'!$H:$H,'Awards Summary'!$B:$B,$C32,'Awards Summary'!$J:$J,"ITS")</f>
        <v>0</v>
      </c>
      <c r="DA32" s="55">
        <f>SUMIFS('Disbursements Summary'!$E:$E,'Disbursements Summary'!$C:$C,$C32,'Disbursements Summary'!$A:$A,"ITS")</f>
        <v>0</v>
      </c>
      <c r="DB32" s="55">
        <f>SUMIFS('Awards Summary'!$H:$H,'Awards Summary'!$B:$B,$C32,'Awards Summary'!$J:$J,"JAVITS")</f>
        <v>0</v>
      </c>
      <c r="DC32" s="55">
        <f>SUMIFS('Disbursements Summary'!$E:$E,'Disbursements Summary'!$C:$C,$C32,'Disbursements Summary'!$A:$A,"JAVITS")</f>
        <v>0</v>
      </c>
      <c r="DD32" s="55">
        <f>SUMIFS('Awards Summary'!$H:$H,'Awards Summary'!$B:$B,$C32,'Awards Summary'!$J:$J,"JCOPE")</f>
        <v>0</v>
      </c>
      <c r="DE32" s="55">
        <f>SUMIFS('Disbursements Summary'!$E:$E,'Disbursements Summary'!$C:$C,$C32,'Disbursements Summary'!$A:$A,"JCOPE")</f>
        <v>0</v>
      </c>
      <c r="DF32" s="55">
        <f>SUMIFS('Awards Summary'!$H:$H,'Awards Summary'!$B:$B,$C32,'Awards Summary'!$J:$J,"JUSTICE")</f>
        <v>0</v>
      </c>
      <c r="DG32" s="55">
        <f>SUMIFS('Disbursements Summary'!$E:$E,'Disbursements Summary'!$C:$C,$C32,'Disbursements Summary'!$A:$A,"JUSTICE")</f>
        <v>0</v>
      </c>
      <c r="DH32" s="55">
        <f>SUMIFS('Awards Summary'!$H:$H,'Awards Summary'!$B:$B,$C32,'Awards Summary'!$J:$J,"LCWSA")</f>
        <v>0</v>
      </c>
      <c r="DI32" s="55">
        <f>SUMIFS('Disbursements Summary'!$E:$E,'Disbursements Summary'!$C:$C,$C32,'Disbursements Summary'!$A:$A,"LCWSA")</f>
        <v>0</v>
      </c>
      <c r="DJ32" s="55">
        <f>SUMIFS('Awards Summary'!$H:$H,'Awards Summary'!$B:$B,$C32,'Awards Summary'!$J:$J,"LIPA")</f>
        <v>0</v>
      </c>
      <c r="DK32" s="55">
        <f>SUMIFS('Disbursements Summary'!$E:$E,'Disbursements Summary'!$C:$C,$C32,'Disbursements Summary'!$A:$A,"LIPA")</f>
        <v>0</v>
      </c>
      <c r="DL32" s="55">
        <f>SUMIFS('Awards Summary'!$H:$H,'Awards Summary'!$B:$B,$C32,'Awards Summary'!$J:$J,"MTA")</f>
        <v>0</v>
      </c>
      <c r="DM32" s="55">
        <f>SUMIFS('Disbursements Summary'!$E:$E,'Disbursements Summary'!$C:$C,$C32,'Disbursements Summary'!$A:$A,"MTA")</f>
        <v>0</v>
      </c>
      <c r="DN32" s="55">
        <f>SUMIFS('Awards Summary'!$H:$H,'Awards Summary'!$B:$B,$C32,'Awards Summary'!$J:$J,"NIFA")</f>
        <v>0</v>
      </c>
      <c r="DO32" s="55">
        <f>SUMIFS('Disbursements Summary'!$E:$E,'Disbursements Summary'!$C:$C,$C32,'Disbursements Summary'!$A:$A,"NIFA")</f>
        <v>0</v>
      </c>
      <c r="DP32" s="55">
        <f>SUMIFS('Awards Summary'!$H:$H,'Awards Summary'!$B:$B,$C32,'Awards Summary'!$J:$J,"NHCC")</f>
        <v>0</v>
      </c>
      <c r="DQ32" s="55">
        <f>SUMIFS('Disbursements Summary'!$E:$E,'Disbursements Summary'!$C:$C,$C32,'Disbursements Summary'!$A:$A,"NHCC")</f>
        <v>0</v>
      </c>
      <c r="DR32" s="55">
        <f>SUMIFS('Awards Summary'!$H:$H,'Awards Summary'!$B:$B,$C32,'Awards Summary'!$J:$J,"NHT")</f>
        <v>0</v>
      </c>
      <c r="DS32" s="55">
        <f>SUMIFS('Disbursements Summary'!$E:$E,'Disbursements Summary'!$C:$C,$C32,'Disbursements Summary'!$A:$A,"NHT")</f>
        <v>0</v>
      </c>
      <c r="DT32" s="55">
        <f>SUMIFS('Awards Summary'!$H:$H,'Awards Summary'!$B:$B,$C32,'Awards Summary'!$J:$J,"NYPA")</f>
        <v>0</v>
      </c>
      <c r="DU32" s="55">
        <f>SUMIFS('Disbursements Summary'!$E:$E,'Disbursements Summary'!$C:$C,$C32,'Disbursements Summary'!$A:$A,"NYPA")</f>
        <v>0</v>
      </c>
      <c r="DV32" s="55">
        <f>SUMIFS('Awards Summary'!$H:$H,'Awards Summary'!$B:$B,$C32,'Awards Summary'!$J:$J,"NYSBA")</f>
        <v>0</v>
      </c>
      <c r="DW32" s="55">
        <f>SUMIFS('Disbursements Summary'!$E:$E,'Disbursements Summary'!$C:$C,$C32,'Disbursements Summary'!$A:$A,"NYSBA")</f>
        <v>0</v>
      </c>
      <c r="DX32" s="55">
        <f>SUMIFS('Awards Summary'!$H:$H,'Awards Summary'!$B:$B,$C32,'Awards Summary'!$J:$J,"NYSERDA")</f>
        <v>0</v>
      </c>
      <c r="DY32" s="55">
        <f>SUMIFS('Disbursements Summary'!$E:$E,'Disbursements Summary'!$C:$C,$C32,'Disbursements Summary'!$A:$A,"NYSERDA")</f>
        <v>0</v>
      </c>
      <c r="DZ32" s="55">
        <f>SUMIFS('Awards Summary'!$H:$H,'Awards Summary'!$B:$B,$C32,'Awards Summary'!$J:$J,"DHCR")</f>
        <v>0</v>
      </c>
      <c r="EA32" s="55">
        <f>SUMIFS('Disbursements Summary'!$E:$E,'Disbursements Summary'!$C:$C,$C32,'Disbursements Summary'!$A:$A,"DHCR")</f>
        <v>0</v>
      </c>
      <c r="EB32" s="55">
        <f>SUMIFS('Awards Summary'!$H:$H,'Awards Summary'!$B:$B,$C32,'Awards Summary'!$J:$J,"HFA")</f>
        <v>0</v>
      </c>
      <c r="EC32" s="55">
        <f>SUMIFS('Disbursements Summary'!$E:$E,'Disbursements Summary'!$C:$C,$C32,'Disbursements Summary'!$A:$A,"HFA")</f>
        <v>0</v>
      </c>
      <c r="ED32" s="55">
        <f>SUMIFS('Awards Summary'!$H:$H,'Awards Summary'!$B:$B,$C32,'Awards Summary'!$J:$J,"NYSIF")</f>
        <v>0</v>
      </c>
      <c r="EE32" s="55">
        <f>SUMIFS('Disbursements Summary'!$E:$E,'Disbursements Summary'!$C:$C,$C32,'Disbursements Summary'!$A:$A,"NYSIF")</f>
        <v>0</v>
      </c>
      <c r="EF32" s="55">
        <f>SUMIFS('Awards Summary'!$H:$H,'Awards Summary'!$B:$B,$C32,'Awards Summary'!$J:$J,"NYBREDS")</f>
        <v>0</v>
      </c>
      <c r="EG32" s="55">
        <f>SUMIFS('Disbursements Summary'!$E:$E,'Disbursements Summary'!$C:$C,$C32,'Disbursements Summary'!$A:$A,"NYBREDS")</f>
        <v>0</v>
      </c>
      <c r="EH32" s="55">
        <f>SUMIFS('Awards Summary'!$H:$H,'Awards Summary'!$B:$B,$C32,'Awards Summary'!$J:$J,"NYSTA")</f>
        <v>0</v>
      </c>
      <c r="EI32" s="55">
        <f>SUMIFS('Disbursements Summary'!$E:$E,'Disbursements Summary'!$C:$C,$C32,'Disbursements Summary'!$A:$A,"NYSTA")</f>
        <v>0</v>
      </c>
      <c r="EJ32" s="55">
        <f>SUMIFS('Awards Summary'!$H:$H,'Awards Summary'!$B:$B,$C32,'Awards Summary'!$J:$J,"NFWB")</f>
        <v>0</v>
      </c>
      <c r="EK32" s="55">
        <f>SUMIFS('Disbursements Summary'!$E:$E,'Disbursements Summary'!$C:$C,$C32,'Disbursements Summary'!$A:$A,"NFWB")</f>
        <v>0</v>
      </c>
      <c r="EL32" s="55">
        <f>SUMIFS('Awards Summary'!$H:$H,'Awards Summary'!$B:$B,$C32,'Awards Summary'!$J:$J,"NFTA")</f>
        <v>0</v>
      </c>
      <c r="EM32" s="55">
        <f>SUMIFS('Disbursements Summary'!$E:$E,'Disbursements Summary'!$C:$C,$C32,'Disbursements Summary'!$A:$A,"NFTA")</f>
        <v>0</v>
      </c>
      <c r="EN32" s="55">
        <f>SUMIFS('Awards Summary'!$H:$H,'Awards Summary'!$B:$B,$C32,'Awards Summary'!$J:$J,"OPWDD")</f>
        <v>0</v>
      </c>
      <c r="EO32" s="55">
        <f>SUMIFS('Disbursements Summary'!$E:$E,'Disbursements Summary'!$C:$C,$C32,'Disbursements Summary'!$A:$A,"OPWDD")</f>
        <v>0</v>
      </c>
      <c r="EP32" s="55">
        <f>SUMIFS('Awards Summary'!$H:$H,'Awards Summary'!$B:$B,$C32,'Awards Summary'!$J:$J,"AGING")</f>
        <v>0</v>
      </c>
      <c r="EQ32" s="55">
        <f>SUMIFS('Disbursements Summary'!$E:$E,'Disbursements Summary'!$C:$C,$C32,'Disbursements Summary'!$A:$A,"AGING")</f>
        <v>0</v>
      </c>
      <c r="ER32" s="55">
        <f>SUMIFS('Awards Summary'!$H:$H,'Awards Summary'!$B:$B,$C32,'Awards Summary'!$J:$J,"OPDV")</f>
        <v>0</v>
      </c>
      <c r="ES32" s="55">
        <f>SUMIFS('Disbursements Summary'!$E:$E,'Disbursements Summary'!$C:$C,$C32,'Disbursements Summary'!$A:$A,"OPDV")</f>
        <v>0</v>
      </c>
      <c r="ET32" s="55">
        <f>SUMIFS('Awards Summary'!$H:$H,'Awards Summary'!$B:$B,$C32,'Awards Summary'!$J:$J,"OVS")</f>
        <v>0</v>
      </c>
      <c r="EU32" s="55">
        <f>SUMIFS('Disbursements Summary'!$E:$E,'Disbursements Summary'!$C:$C,$C32,'Disbursements Summary'!$A:$A,"OVS")</f>
        <v>0</v>
      </c>
      <c r="EV32" s="55">
        <f>SUMIFS('Awards Summary'!$H:$H,'Awards Summary'!$B:$B,$C32,'Awards Summary'!$J:$J,"OASAS")</f>
        <v>0</v>
      </c>
      <c r="EW32" s="55">
        <f>SUMIFS('Disbursements Summary'!$E:$E,'Disbursements Summary'!$C:$C,$C32,'Disbursements Summary'!$A:$A,"OASAS")</f>
        <v>0</v>
      </c>
      <c r="EX32" s="55">
        <f>SUMIFS('Awards Summary'!$H:$H,'Awards Summary'!$B:$B,$C32,'Awards Summary'!$J:$J,"OCFS")</f>
        <v>0</v>
      </c>
      <c r="EY32" s="55">
        <f>SUMIFS('Disbursements Summary'!$E:$E,'Disbursements Summary'!$C:$C,$C32,'Disbursements Summary'!$A:$A,"OCFS")</f>
        <v>0</v>
      </c>
      <c r="EZ32" s="55">
        <f>SUMIFS('Awards Summary'!$H:$H,'Awards Summary'!$B:$B,$C32,'Awards Summary'!$J:$J,"OGS")</f>
        <v>0</v>
      </c>
      <c r="FA32" s="55">
        <f>SUMIFS('Disbursements Summary'!$E:$E,'Disbursements Summary'!$C:$C,$C32,'Disbursements Summary'!$A:$A,"OGS")</f>
        <v>0</v>
      </c>
      <c r="FB32" s="55">
        <f>SUMIFS('Awards Summary'!$H:$H,'Awards Summary'!$B:$B,$C32,'Awards Summary'!$J:$J,"OMH")</f>
        <v>0</v>
      </c>
      <c r="FC32" s="55">
        <f>SUMIFS('Disbursements Summary'!$E:$E,'Disbursements Summary'!$C:$C,$C32,'Disbursements Summary'!$A:$A,"OMH")</f>
        <v>0</v>
      </c>
      <c r="FD32" s="55">
        <f>SUMIFS('Awards Summary'!$H:$H,'Awards Summary'!$B:$B,$C32,'Awards Summary'!$J:$J,"PARKS")</f>
        <v>0</v>
      </c>
      <c r="FE32" s="55">
        <f>SUMIFS('Disbursements Summary'!$E:$E,'Disbursements Summary'!$C:$C,$C32,'Disbursements Summary'!$A:$A,"PARKS")</f>
        <v>0</v>
      </c>
      <c r="FF32" s="55">
        <f>SUMIFS('Awards Summary'!$H:$H,'Awards Summary'!$B:$B,$C32,'Awards Summary'!$J:$J,"OTDA")</f>
        <v>0</v>
      </c>
      <c r="FG32" s="55">
        <f>SUMIFS('Disbursements Summary'!$E:$E,'Disbursements Summary'!$C:$C,$C32,'Disbursements Summary'!$A:$A,"OTDA")</f>
        <v>0</v>
      </c>
      <c r="FH32" s="55">
        <f>SUMIFS('Awards Summary'!$H:$H,'Awards Summary'!$B:$B,$C32,'Awards Summary'!$J:$J,"OIG")</f>
        <v>0</v>
      </c>
      <c r="FI32" s="55">
        <f>SUMIFS('Disbursements Summary'!$E:$E,'Disbursements Summary'!$C:$C,$C32,'Disbursements Summary'!$A:$A,"OIG")</f>
        <v>0</v>
      </c>
      <c r="FJ32" s="55">
        <f>SUMIFS('Awards Summary'!$H:$H,'Awards Summary'!$B:$B,$C32,'Awards Summary'!$J:$J,"OMIG")</f>
        <v>0</v>
      </c>
      <c r="FK32" s="55">
        <f>SUMIFS('Disbursements Summary'!$E:$E,'Disbursements Summary'!$C:$C,$C32,'Disbursements Summary'!$A:$A,"OMIG")</f>
        <v>0</v>
      </c>
      <c r="FL32" s="55">
        <f>SUMIFS('Awards Summary'!$H:$H,'Awards Summary'!$B:$B,$C32,'Awards Summary'!$J:$J,"OSC")</f>
        <v>0</v>
      </c>
      <c r="FM32" s="55">
        <f>SUMIFS('Disbursements Summary'!$E:$E,'Disbursements Summary'!$C:$C,$C32,'Disbursements Summary'!$A:$A,"OSC")</f>
        <v>0</v>
      </c>
      <c r="FN32" s="55">
        <f>SUMIFS('Awards Summary'!$H:$H,'Awards Summary'!$B:$B,$C32,'Awards Summary'!$J:$J,"OWIG")</f>
        <v>0</v>
      </c>
      <c r="FO32" s="55">
        <f>SUMIFS('Disbursements Summary'!$E:$E,'Disbursements Summary'!$C:$C,$C32,'Disbursements Summary'!$A:$A,"OWIG")</f>
        <v>0</v>
      </c>
      <c r="FP32" s="55">
        <f>SUMIFS('Awards Summary'!$H:$H,'Awards Summary'!$B:$B,$C32,'Awards Summary'!$J:$J,"OGDEN")</f>
        <v>0</v>
      </c>
      <c r="FQ32" s="55">
        <f>SUMIFS('Disbursements Summary'!$E:$E,'Disbursements Summary'!$C:$C,$C32,'Disbursements Summary'!$A:$A,"OGDEN")</f>
        <v>0</v>
      </c>
      <c r="FR32" s="55">
        <f>SUMIFS('Awards Summary'!$H:$H,'Awards Summary'!$B:$B,$C32,'Awards Summary'!$J:$J,"ORDA")</f>
        <v>0</v>
      </c>
      <c r="FS32" s="55">
        <f>SUMIFS('Disbursements Summary'!$E:$E,'Disbursements Summary'!$C:$C,$C32,'Disbursements Summary'!$A:$A,"ORDA")</f>
        <v>0</v>
      </c>
      <c r="FT32" s="55">
        <f>SUMIFS('Awards Summary'!$H:$H,'Awards Summary'!$B:$B,$C32,'Awards Summary'!$J:$J,"OSWEGO")</f>
        <v>0</v>
      </c>
      <c r="FU32" s="55">
        <f>SUMIFS('Disbursements Summary'!$E:$E,'Disbursements Summary'!$C:$C,$C32,'Disbursements Summary'!$A:$A,"OSWEGO")</f>
        <v>0</v>
      </c>
      <c r="FV32" s="55">
        <f>SUMIFS('Awards Summary'!$H:$H,'Awards Summary'!$B:$B,$C32,'Awards Summary'!$J:$J,"PERB")</f>
        <v>0</v>
      </c>
      <c r="FW32" s="55">
        <f>SUMIFS('Disbursements Summary'!$E:$E,'Disbursements Summary'!$C:$C,$C32,'Disbursements Summary'!$A:$A,"PERB")</f>
        <v>0</v>
      </c>
      <c r="FX32" s="55">
        <f>SUMIFS('Awards Summary'!$H:$H,'Awards Summary'!$B:$B,$C32,'Awards Summary'!$J:$J,"RGRTA")</f>
        <v>0</v>
      </c>
      <c r="FY32" s="55">
        <f>SUMIFS('Disbursements Summary'!$E:$E,'Disbursements Summary'!$C:$C,$C32,'Disbursements Summary'!$A:$A,"RGRTA")</f>
        <v>0</v>
      </c>
      <c r="FZ32" s="55">
        <f>SUMIFS('Awards Summary'!$H:$H,'Awards Summary'!$B:$B,$C32,'Awards Summary'!$J:$J,"RIOC")</f>
        <v>0</v>
      </c>
      <c r="GA32" s="55">
        <f>SUMIFS('Disbursements Summary'!$E:$E,'Disbursements Summary'!$C:$C,$C32,'Disbursements Summary'!$A:$A,"RIOC")</f>
        <v>0</v>
      </c>
      <c r="GB32" s="55">
        <f>SUMIFS('Awards Summary'!$H:$H,'Awards Summary'!$B:$B,$C32,'Awards Summary'!$J:$J,"RPCI")</f>
        <v>0</v>
      </c>
      <c r="GC32" s="55">
        <f>SUMIFS('Disbursements Summary'!$E:$E,'Disbursements Summary'!$C:$C,$C32,'Disbursements Summary'!$A:$A,"RPCI")</f>
        <v>0</v>
      </c>
      <c r="GD32" s="55">
        <f>SUMIFS('Awards Summary'!$H:$H,'Awards Summary'!$B:$B,$C32,'Awards Summary'!$J:$J,"SMDA")</f>
        <v>0</v>
      </c>
      <c r="GE32" s="55">
        <f>SUMIFS('Disbursements Summary'!$E:$E,'Disbursements Summary'!$C:$C,$C32,'Disbursements Summary'!$A:$A,"SMDA")</f>
        <v>0</v>
      </c>
      <c r="GF32" s="55">
        <f>SUMIFS('Awards Summary'!$H:$H,'Awards Summary'!$B:$B,$C32,'Awards Summary'!$J:$J,"SCOC")</f>
        <v>0</v>
      </c>
      <c r="GG32" s="55">
        <f>SUMIFS('Disbursements Summary'!$E:$E,'Disbursements Summary'!$C:$C,$C32,'Disbursements Summary'!$A:$A,"SCOC")</f>
        <v>0</v>
      </c>
      <c r="GH32" s="55">
        <f>SUMIFS('Awards Summary'!$H:$H,'Awards Summary'!$B:$B,$C32,'Awards Summary'!$J:$J,"SUCF")</f>
        <v>0</v>
      </c>
      <c r="GI32" s="55">
        <f>SUMIFS('Disbursements Summary'!$E:$E,'Disbursements Summary'!$C:$C,$C32,'Disbursements Summary'!$A:$A,"SUCF")</f>
        <v>0</v>
      </c>
      <c r="GJ32" s="55">
        <f>SUMIFS('Awards Summary'!$H:$H,'Awards Summary'!$B:$B,$C32,'Awards Summary'!$J:$J,"SUNY")</f>
        <v>0</v>
      </c>
      <c r="GK32" s="55">
        <f>SUMIFS('Disbursements Summary'!$E:$E,'Disbursements Summary'!$C:$C,$C32,'Disbursements Summary'!$A:$A,"SUNY")</f>
        <v>0</v>
      </c>
      <c r="GL32" s="55">
        <f>SUMIFS('Awards Summary'!$H:$H,'Awards Summary'!$B:$B,$C32,'Awards Summary'!$J:$J,"SRAA")</f>
        <v>0</v>
      </c>
      <c r="GM32" s="55">
        <f>SUMIFS('Disbursements Summary'!$E:$E,'Disbursements Summary'!$C:$C,$C32,'Disbursements Summary'!$A:$A,"SRAA")</f>
        <v>0</v>
      </c>
      <c r="GN32" s="55">
        <f>SUMIFS('Awards Summary'!$H:$H,'Awards Summary'!$B:$B,$C32,'Awards Summary'!$J:$J,"UNDC")</f>
        <v>0</v>
      </c>
      <c r="GO32" s="55">
        <f>SUMIFS('Disbursements Summary'!$E:$E,'Disbursements Summary'!$C:$C,$C32,'Disbursements Summary'!$A:$A,"UNDC")</f>
        <v>0</v>
      </c>
      <c r="GP32" s="55">
        <f>SUMIFS('Awards Summary'!$H:$H,'Awards Summary'!$B:$B,$C32,'Awards Summary'!$J:$J,"MVWA")</f>
        <v>0</v>
      </c>
      <c r="GQ32" s="55">
        <f>SUMIFS('Disbursements Summary'!$E:$E,'Disbursements Summary'!$C:$C,$C32,'Disbursements Summary'!$A:$A,"MVWA")</f>
        <v>0</v>
      </c>
      <c r="GR32" s="55">
        <f>SUMIFS('Awards Summary'!$H:$H,'Awards Summary'!$B:$B,$C32,'Awards Summary'!$J:$J,"WMC")</f>
        <v>0</v>
      </c>
      <c r="GS32" s="55">
        <f>SUMIFS('Disbursements Summary'!$E:$E,'Disbursements Summary'!$C:$C,$C32,'Disbursements Summary'!$A:$A,"WMC")</f>
        <v>0</v>
      </c>
      <c r="GT32" s="55">
        <f>SUMIFS('Awards Summary'!$H:$H,'Awards Summary'!$B:$B,$C32,'Awards Summary'!$J:$J,"WCB")</f>
        <v>0</v>
      </c>
      <c r="GU32" s="55">
        <f>SUMIFS('Disbursements Summary'!$E:$E,'Disbursements Summary'!$C:$C,$C32,'Disbursements Summary'!$A:$A,"WCB")</f>
        <v>0</v>
      </c>
      <c r="GV32" s="32">
        <f t="shared" si="5"/>
        <v>0</v>
      </c>
      <c r="GW32" s="32">
        <f t="shared" si="6"/>
        <v>0</v>
      </c>
      <c r="GX32" s="30" t="b">
        <f t="shared" si="7"/>
        <v>1</v>
      </c>
      <c r="GY32" s="30" t="b">
        <f t="shared" si="8"/>
        <v>1</v>
      </c>
    </row>
    <row r="33" spans="1:207" s="30" customFormat="1">
      <c r="A33" s="22" t="str">
        <f t="shared" si="0"/>
        <v/>
      </c>
      <c r="B33" s="40" t="s">
        <v>91</v>
      </c>
      <c r="C33" s="16">
        <v>141056</v>
      </c>
      <c r="D33" s="26">
        <f>COUNTIF('Awards Summary'!B:B,"141056")</f>
        <v>0</v>
      </c>
      <c r="E33" s="45">
        <f>SUMIFS('Awards Summary'!H:H,'Awards Summary'!B:B,"141056")</f>
        <v>0</v>
      </c>
      <c r="F33" s="46">
        <f>SUMIFS('Disbursements Summary'!E:E,'Disbursements Summary'!C:C, "141056")</f>
        <v>0</v>
      </c>
      <c r="H33" s="55">
        <f>SUMIFS('Awards Summary'!$H:$H,'Awards Summary'!$B:$B,$C33,'Awards Summary'!$J:$J,"APA")</f>
        <v>0</v>
      </c>
      <c r="I33" s="55">
        <f>SUMIFS('Disbursements Summary'!$E:$E,'Disbursements Summary'!$C:$C,$C33,'Disbursements Summary'!$A:$A,"APA")</f>
        <v>0</v>
      </c>
      <c r="J33" s="55">
        <f>SUMIFS('Awards Summary'!$H:$H,'Awards Summary'!$B:$B,$C33,'Awards Summary'!$J:$J,"Ag&amp;Horse")</f>
        <v>0</v>
      </c>
      <c r="K33" s="55">
        <f>SUMIFS('Disbursements Summary'!$E:$E,'Disbursements Summary'!$C:$C,$C33,'Disbursements Summary'!$A:$A,"Ag&amp;Horse")</f>
        <v>0</v>
      </c>
      <c r="L33" s="55">
        <f>SUMIFS('Awards Summary'!$H:$H,'Awards Summary'!$B:$B,$C33,'Awards Summary'!$J:$J,"ACAA")</f>
        <v>0</v>
      </c>
      <c r="M33" s="55">
        <f>SUMIFS('Disbursements Summary'!$E:$E,'Disbursements Summary'!$C:$C,$C33,'Disbursements Summary'!$A:$A,"ACAA")</f>
        <v>0</v>
      </c>
      <c r="N33" s="55">
        <f>SUMIFS('Awards Summary'!$H:$H,'Awards Summary'!$B:$B,$C33,'Awards Summary'!$J:$J,"PortAlbany")</f>
        <v>0</v>
      </c>
      <c r="O33" s="55">
        <f>SUMIFS('Disbursements Summary'!$E:$E,'Disbursements Summary'!$C:$C,$C33,'Disbursements Summary'!$A:$A,"PortAlbany")</f>
        <v>0</v>
      </c>
      <c r="P33" s="55">
        <f>SUMIFS('Awards Summary'!$H:$H,'Awards Summary'!$B:$B,$C33,'Awards Summary'!$J:$J,"SLA")</f>
        <v>0</v>
      </c>
      <c r="Q33" s="55">
        <f>SUMIFS('Disbursements Summary'!$E:$E,'Disbursements Summary'!$C:$C,$C33,'Disbursements Summary'!$A:$A,"SLA")</f>
        <v>0</v>
      </c>
      <c r="R33" s="55">
        <f>SUMIFS('Awards Summary'!$H:$H,'Awards Summary'!$B:$B,$C33,'Awards Summary'!$J:$J,"BPCA")</f>
        <v>0</v>
      </c>
      <c r="S33" s="55">
        <f>SUMIFS('Disbursements Summary'!$E:$E,'Disbursements Summary'!$C:$C,$C33,'Disbursements Summary'!$A:$A,"BPCA")</f>
        <v>0</v>
      </c>
      <c r="T33" s="55">
        <f>SUMIFS('Awards Summary'!$H:$H,'Awards Summary'!$B:$B,$C33,'Awards Summary'!$J:$J,"ELECTIONS")</f>
        <v>0</v>
      </c>
      <c r="U33" s="55">
        <f>SUMIFS('Disbursements Summary'!$E:$E,'Disbursements Summary'!$C:$C,$C33,'Disbursements Summary'!$A:$A,"ELECTIONS")</f>
        <v>0</v>
      </c>
      <c r="V33" s="55">
        <f>SUMIFS('Awards Summary'!$H:$H,'Awards Summary'!$B:$B,$C33,'Awards Summary'!$J:$J,"BFSA")</f>
        <v>0</v>
      </c>
      <c r="W33" s="55">
        <f>SUMIFS('Disbursements Summary'!$E:$E,'Disbursements Summary'!$C:$C,$C33,'Disbursements Summary'!$A:$A,"BFSA")</f>
        <v>0</v>
      </c>
      <c r="X33" s="55">
        <f>SUMIFS('Awards Summary'!$H:$H,'Awards Summary'!$B:$B,$C33,'Awards Summary'!$J:$J,"CDTA")</f>
        <v>0</v>
      </c>
      <c r="Y33" s="55">
        <f>SUMIFS('Disbursements Summary'!$E:$E,'Disbursements Summary'!$C:$C,$C33,'Disbursements Summary'!$A:$A,"CDTA")</f>
        <v>0</v>
      </c>
      <c r="Z33" s="55">
        <f>SUMIFS('Awards Summary'!$H:$H,'Awards Summary'!$B:$B,$C33,'Awards Summary'!$J:$J,"CCWSA")</f>
        <v>0</v>
      </c>
      <c r="AA33" s="55">
        <f>SUMIFS('Disbursements Summary'!$E:$E,'Disbursements Summary'!$C:$C,$C33,'Disbursements Summary'!$A:$A,"CCWSA")</f>
        <v>0</v>
      </c>
      <c r="AB33" s="55">
        <f>SUMIFS('Awards Summary'!$H:$H,'Awards Summary'!$B:$B,$C33,'Awards Summary'!$J:$J,"CNYRTA")</f>
        <v>0</v>
      </c>
      <c r="AC33" s="55">
        <f>SUMIFS('Disbursements Summary'!$E:$E,'Disbursements Summary'!$C:$C,$C33,'Disbursements Summary'!$A:$A,"CNYRTA")</f>
        <v>0</v>
      </c>
      <c r="AD33" s="55">
        <f>SUMIFS('Awards Summary'!$H:$H,'Awards Summary'!$B:$B,$C33,'Awards Summary'!$J:$J,"CUCF")</f>
        <v>0</v>
      </c>
      <c r="AE33" s="55">
        <f>SUMIFS('Disbursements Summary'!$E:$E,'Disbursements Summary'!$C:$C,$C33,'Disbursements Summary'!$A:$A,"CUCF")</f>
        <v>0</v>
      </c>
      <c r="AF33" s="55">
        <f>SUMIFS('Awards Summary'!$H:$H,'Awards Summary'!$B:$B,$C33,'Awards Summary'!$J:$J,"CUNY")</f>
        <v>0</v>
      </c>
      <c r="AG33" s="55">
        <f>SUMIFS('Disbursements Summary'!$E:$E,'Disbursements Summary'!$C:$C,$C33,'Disbursements Summary'!$A:$A,"CUNY")</f>
        <v>0</v>
      </c>
      <c r="AH33" s="55">
        <f>SUMIFS('Awards Summary'!$H:$H,'Awards Summary'!$B:$B,$C33,'Awards Summary'!$J:$J,"ARTS")</f>
        <v>0</v>
      </c>
      <c r="AI33" s="55">
        <f>SUMIFS('Disbursements Summary'!$E:$E,'Disbursements Summary'!$C:$C,$C33,'Disbursements Summary'!$A:$A,"ARTS")</f>
        <v>0</v>
      </c>
      <c r="AJ33" s="55">
        <f>SUMIFS('Awards Summary'!$H:$H,'Awards Summary'!$B:$B,$C33,'Awards Summary'!$J:$J,"AG&amp;MKTS")</f>
        <v>0</v>
      </c>
      <c r="AK33" s="55">
        <f>SUMIFS('Disbursements Summary'!$E:$E,'Disbursements Summary'!$C:$C,$C33,'Disbursements Summary'!$A:$A,"AG&amp;MKTS")</f>
        <v>0</v>
      </c>
      <c r="AL33" s="55">
        <f>SUMIFS('Awards Summary'!$H:$H,'Awards Summary'!$B:$B,$C33,'Awards Summary'!$J:$J,"CS")</f>
        <v>0</v>
      </c>
      <c r="AM33" s="55">
        <f>SUMIFS('Disbursements Summary'!$E:$E,'Disbursements Summary'!$C:$C,$C33,'Disbursements Summary'!$A:$A,"CS")</f>
        <v>0</v>
      </c>
      <c r="AN33" s="55">
        <f>SUMIFS('Awards Summary'!$H:$H,'Awards Summary'!$B:$B,$C33,'Awards Summary'!$J:$J,"DOCCS")</f>
        <v>0</v>
      </c>
      <c r="AO33" s="55">
        <f>SUMIFS('Disbursements Summary'!$E:$E,'Disbursements Summary'!$C:$C,$C33,'Disbursements Summary'!$A:$A,"DOCCS")</f>
        <v>0</v>
      </c>
      <c r="AP33" s="55">
        <f>SUMIFS('Awards Summary'!$H:$H,'Awards Summary'!$B:$B,$C33,'Awards Summary'!$J:$J,"DED")</f>
        <v>0</v>
      </c>
      <c r="AQ33" s="55">
        <f>SUMIFS('Disbursements Summary'!$E:$E,'Disbursements Summary'!$C:$C,$C33,'Disbursements Summary'!$A:$A,"DED")</f>
        <v>0</v>
      </c>
      <c r="AR33" s="55">
        <f>SUMIFS('Awards Summary'!$H:$H,'Awards Summary'!$B:$B,$C33,'Awards Summary'!$J:$J,"DEC")</f>
        <v>0</v>
      </c>
      <c r="AS33" s="55">
        <f>SUMIFS('Disbursements Summary'!$E:$E,'Disbursements Summary'!$C:$C,$C33,'Disbursements Summary'!$A:$A,"DEC")</f>
        <v>0</v>
      </c>
      <c r="AT33" s="55">
        <f>SUMIFS('Awards Summary'!$H:$H,'Awards Summary'!$B:$B,$C33,'Awards Summary'!$J:$J,"DFS")</f>
        <v>0</v>
      </c>
      <c r="AU33" s="55">
        <f>SUMIFS('Disbursements Summary'!$E:$E,'Disbursements Summary'!$C:$C,$C33,'Disbursements Summary'!$A:$A,"DFS")</f>
        <v>0</v>
      </c>
      <c r="AV33" s="55">
        <f>SUMIFS('Awards Summary'!$H:$H,'Awards Summary'!$B:$B,$C33,'Awards Summary'!$J:$J,"DOH")</f>
        <v>0</v>
      </c>
      <c r="AW33" s="55">
        <f>SUMIFS('Disbursements Summary'!$E:$E,'Disbursements Summary'!$C:$C,$C33,'Disbursements Summary'!$A:$A,"DOH")</f>
        <v>0</v>
      </c>
      <c r="AX33" s="55">
        <f>SUMIFS('Awards Summary'!$H:$H,'Awards Summary'!$B:$B,$C33,'Awards Summary'!$J:$J,"DOL")</f>
        <v>0</v>
      </c>
      <c r="AY33" s="55">
        <f>SUMIFS('Disbursements Summary'!$E:$E,'Disbursements Summary'!$C:$C,$C33,'Disbursements Summary'!$A:$A,"DOL")</f>
        <v>0</v>
      </c>
      <c r="AZ33" s="55">
        <f>SUMIFS('Awards Summary'!$H:$H,'Awards Summary'!$B:$B,$C33,'Awards Summary'!$J:$J,"DMV")</f>
        <v>0</v>
      </c>
      <c r="BA33" s="55">
        <f>SUMIFS('Disbursements Summary'!$E:$E,'Disbursements Summary'!$C:$C,$C33,'Disbursements Summary'!$A:$A,"DMV")</f>
        <v>0</v>
      </c>
      <c r="BB33" s="55">
        <f>SUMIFS('Awards Summary'!$H:$H,'Awards Summary'!$B:$B,$C33,'Awards Summary'!$J:$J,"DPS")</f>
        <v>0</v>
      </c>
      <c r="BC33" s="55">
        <f>SUMIFS('Disbursements Summary'!$E:$E,'Disbursements Summary'!$C:$C,$C33,'Disbursements Summary'!$A:$A,"DPS")</f>
        <v>0</v>
      </c>
      <c r="BD33" s="55">
        <f>SUMIFS('Awards Summary'!$H:$H,'Awards Summary'!$B:$B,$C33,'Awards Summary'!$J:$J,"DOS")</f>
        <v>0</v>
      </c>
      <c r="BE33" s="55">
        <f>SUMIFS('Disbursements Summary'!$E:$E,'Disbursements Summary'!$C:$C,$C33,'Disbursements Summary'!$A:$A,"DOS")</f>
        <v>0</v>
      </c>
      <c r="BF33" s="55">
        <f>SUMIFS('Awards Summary'!$H:$H,'Awards Summary'!$B:$B,$C33,'Awards Summary'!$J:$J,"TAX")</f>
        <v>0</v>
      </c>
      <c r="BG33" s="55">
        <f>SUMIFS('Disbursements Summary'!$E:$E,'Disbursements Summary'!$C:$C,$C33,'Disbursements Summary'!$A:$A,"TAX")</f>
        <v>0</v>
      </c>
      <c r="BH33" s="55">
        <f>SUMIFS('Awards Summary'!$H:$H,'Awards Summary'!$B:$B,$C33,'Awards Summary'!$J:$J,"DOT")</f>
        <v>0</v>
      </c>
      <c r="BI33" s="55">
        <f>SUMIFS('Disbursements Summary'!$E:$E,'Disbursements Summary'!$C:$C,$C33,'Disbursements Summary'!$A:$A,"DOT")</f>
        <v>0</v>
      </c>
      <c r="BJ33" s="55">
        <f>SUMIFS('Awards Summary'!$H:$H,'Awards Summary'!$B:$B,$C33,'Awards Summary'!$J:$J,"DANC")</f>
        <v>0</v>
      </c>
      <c r="BK33" s="55">
        <f>SUMIFS('Disbursements Summary'!$E:$E,'Disbursements Summary'!$C:$C,$C33,'Disbursements Summary'!$A:$A,"DANC")</f>
        <v>0</v>
      </c>
      <c r="BL33" s="55">
        <f>SUMIFS('Awards Summary'!$H:$H,'Awards Summary'!$B:$B,$C33,'Awards Summary'!$J:$J,"DOB")</f>
        <v>0</v>
      </c>
      <c r="BM33" s="55">
        <f>SUMIFS('Disbursements Summary'!$E:$E,'Disbursements Summary'!$C:$C,$C33,'Disbursements Summary'!$A:$A,"DOB")</f>
        <v>0</v>
      </c>
      <c r="BN33" s="55">
        <f>SUMIFS('Awards Summary'!$H:$H,'Awards Summary'!$B:$B,$C33,'Awards Summary'!$J:$J,"DCJS")</f>
        <v>0</v>
      </c>
      <c r="BO33" s="55">
        <f>SUMIFS('Disbursements Summary'!$E:$E,'Disbursements Summary'!$C:$C,$C33,'Disbursements Summary'!$A:$A,"DCJS")</f>
        <v>0</v>
      </c>
      <c r="BP33" s="55">
        <f>SUMIFS('Awards Summary'!$H:$H,'Awards Summary'!$B:$B,$C33,'Awards Summary'!$J:$J,"DHSES")</f>
        <v>0</v>
      </c>
      <c r="BQ33" s="55">
        <f>SUMIFS('Disbursements Summary'!$E:$E,'Disbursements Summary'!$C:$C,$C33,'Disbursements Summary'!$A:$A,"DHSES")</f>
        <v>0</v>
      </c>
      <c r="BR33" s="55">
        <f>SUMIFS('Awards Summary'!$H:$H,'Awards Summary'!$B:$B,$C33,'Awards Summary'!$J:$J,"DHR")</f>
        <v>0</v>
      </c>
      <c r="BS33" s="55">
        <f>SUMIFS('Disbursements Summary'!$E:$E,'Disbursements Summary'!$C:$C,$C33,'Disbursements Summary'!$A:$A,"DHR")</f>
        <v>0</v>
      </c>
      <c r="BT33" s="55">
        <f>SUMIFS('Awards Summary'!$H:$H,'Awards Summary'!$B:$B,$C33,'Awards Summary'!$J:$J,"DMNA")</f>
        <v>0</v>
      </c>
      <c r="BU33" s="55">
        <f>SUMIFS('Disbursements Summary'!$E:$E,'Disbursements Summary'!$C:$C,$C33,'Disbursements Summary'!$A:$A,"DMNA")</f>
        <v>0</v>
      </c>
      <c r="BV33" s="55">
        <f>SUMIFS('Awards Summary'!$H:$H,'Awards Summary'!$B:$B,$C33,'Awards Summary'!$J:$J,"TROOPERS")</f>
        <v>0</v>
      </c>
      <c r="BW33" s="55">
        <f>SUMIFS('Disbursements Summary'!$E:$E,'Disbursements Summary'!$C:$C,$C33,'Disbursements Summary'!$A:$A,"TROOPERS")</f>
        <v>0</v>
      </c>
      <c r="BX33" s="55">
        <f>SUMIFS('Awards Summary'!$H:$H,'Awards Summary'!$B:$B,$C33,'Awards Summary'!$J:$J,"DVA")</f>
        <v>0</v>
      </c>
      <c r="BY33" s="55">
        <f>SUMIFS('Disbursements Summary'!$E:$E,'Disbursements Summary'!$C:$C,$C33,'Disbursements Summary'!$A:$A,"DVA")</f>
        <v>0</v>
      </c>
      <c r="BZ33" s="55">
        <f>SUMIFS('Awards Summary'!$H:$H,'Awards Summary'!$B:$B,$C33,'Awards Summary'!$J:$J,"DASNY")</f>
        <v>0</v>
      </c>
      <c r="CA33" s="55">
        <f>SUMIFS('Disbursements Summary'!$E:$E,'Disbursements Summary'!$C:$C,$C33,'Disbursements Summary'!$A:$A,"DASNY")</f>
        <v>0</v>
      </c>
      <c r="CB33" s="55">
        <f>SUMIFS('Awards Summary'!$H:$H,'Awards Summary'!$B:$B,$C33,'Awards Summary'!$J:$J,"EGG")</f>
        <v>0</v>
      </c>
      <c r="CC33" s="55">
        <f>SUMIFS('Disbursements Summary'!$E:$E,'Disbursements Summary'!$C:$C,$C33,'Disbursements Summary'!$A:$A,"EGG")</f>
        <v>0</v>
      </c>
      <c r="CD33" s="55">
        <f>SUMIFS('Awards Summary'!$H:$H,'Awards Summary'!$B:$B,$C33,'Awards Summary'!$J:$J,"ESD")</f>
        <v>0</v>
      </c>
      <c r="CE33" s="55">
        <f>SUMIFS('Disbursements Summary'!$E:$E,'Disbursements Summary'!$C:$C,$C33,'Disbursements Summary'!$A:$A,"ESD")</f>
        <v>0</v>
      </c>
      <c r="CF33" s="55">
        <f>SUMIFS('Awards Summary'!$H:$H,'Awards Summary'!$B:$B,$C33,'Awards Summary'!$J:$J,"EFC")</f>
        <v>0</v>
      </c>
      <c r="CG33" s="55">
        <f>SUMIFS('Disbursements Summary'!$E:$E,'Disbursements Summary'!$C:$C,$C33,'Disbursements Summary'!$A:$A,"EFC")</f>
        <v>0</v>
      </c>
      <c r="CH33" s="55">
        <f>SUMIFS('Awards Summary'!$H:$H,'Awards Summary'!$B:$B,$C33,'Awards Summary'!$J:$J,"ECFSA")</f>
        <v>0</v>
      </c>
      <c r="CI33" s="55">
        <f>SUMIFS('Disbursements Summary'!$E:$E,'Disbursements Summary'!$C:$C,$C33,'Disbursements Summary'!$A:$A,"ECFSA")</f>
        <v>0</v>
      </c>
      <c r="CJ33" s="55">
        <f>SUMIFS('Awards Summary'!$H:$H,'Awards Summary'!$B:$B,$C33,'Awards Summary'!$J:$J,"ECMC")</f>
        <v>0</v>
      </c>
      <c r="CK33" s="55">
        <f>SUMIFS('Disbursements Summary'!$E:$E,'Disbursements Summary'!$C:$C,$C33,'Disbursements Summary'!$A:$A,"ECMC")</f>
        <v>0</v>
      </c>
      <c r="CL33" s="55">
        <f>SUMIFS('Awards Summary'!$H:$H,'Awards Summary'!$B:$B,$C33,'Awards Summary'!$J:$J,"CHAMBER")</f>
        <v>0</v>
      </c>
      <c r="CM33" s="55">
        <f>SUMIFS('Disbursements Summary'!$E:$E,'Disbursements Summary'!$C:$C,$C33,'Disbursements Summary'!$A:$A,"CHAMBER")</f>
        <v>0</v>
      </c>
      <c r="CN33" s="55">
        <f>SUMIFS('Awards Summary'!$H:$H,'Awards Summary'!$B:$B,$C33,'Awards Summary'!$J:$J,"GAMING")</f>
        <v>0</v>
      </c>
      <c r="CO33" s="55">
        <f>SUMIFS('Disbursements Summary'!$E:$E,'Disbursements Summary'!$C:$C,$C33,'Disbursements Summary'!$A:$A,"GAMING")</f>
        <v>0</v>
      </c>
      <c r="CP33" s="55">
        <f>SUMIFS('Awards Summary'!$H:$H,'Awards Summary'!$B:$B,$C33,'Awards Summary'!$J:$J,"GOER")</f>
        <v>0</v>
      </c>
      <c r="CQ33" s="55">
        <f>SUMIFS('Disbursements Summary'!$E:$E,'Disbursements Summary'!$C:$C,$C33,'Disbursements Summary'!$A:$A,"GOER")</f>
        <v>0</v>
      </c>
      <c r="CR33" s="55">
        <f>SUMIFS('Awards Summary'!$H:$H,'Awards Summary'!$B:$B,$C33,'Awards Summary'!$J:$J,"HESC")</f>
        <v>0</v>
      </c>
      <c r="CS33" s="55">
        <f>SUMIFS('Disbursements Summary'!$E:$E,'Disbursements Summary'!$C:$C,$C33,'Disbursements Summary'!$A:$A,"HESC")</f>
        <v>0</v>
      </c>
      <c r="CT33" s="55">
        <f>SUMIFS('Awards Summary'!$H:$H,'Awards Summary'!$B:$B,$C33,'Awards Summary'!$J:$J,"GOSR")</f>
        <v>0</v>
      </c>
      <c r="CU33" s="55">
        <f>SUMIFS('Disbursements Summary'!$E:$E,'Disbursements Summary'!$C:$C,$C33,'Disbursements Summary'!$A:$A,"GOSR")</f>
        <v>0</v>
      </c>
      <c r="CV33" s="55">
        <f>SUMIFS('Awards Summary'!$H:$H,'Awards Summary'!$B:$B,$C33,'Awards Summary'!$J:$J,"HRPT")</f>
        <v>0</v>
      </c>
      <c r="CW33" s="55">
        <f>SUMIFS('Disbursements Summary'!$E:$E,'Disbursements Summary'!$C:$C,$C33,'Disbursements Summary'!$A:$A,"HRPT")</f>
        <v>0</v>
      </c>
      <c r="CX33" s="55">
        <f>SUMIFS('Awards Summary'!$H:$H,'Awards Summary'!$B:$B,$C33,'Awards Summary'!$J:$J,"HRBRRD")</f>
        <v>0</v>
      </c>
      <c r="CY33" s="55">
        <f>SUMIFS('Disbursements Summary'!$E:$E,'Disbursements Summary'!$C:$C,$C33,'Disbursements Summary'!$A:$A,"HRBRRD")</f>
        <v>0</v>
      </c>
      <c r="CZ33" s="55">
        <f>SUMIFS('Awards Summary'!$H:$H,'Awards Summary'!$B:$B,$C33,'Awards Summary'!$J:$J,"ITS")</f>
        <v>0</v>
      </c>
      <c r="DA33" s="55">
        <f>SUMIFS('Disbursements Summary'!$E:$E,'Disbursements Summary'!$C:$C,$C33,'Disbursements Summary'!$A:$A,"ITS")</f>
        <v>0</v>
      </c>
      <c r="DB33" s="55">
        <f>SUMIFS('Awards Summary'!$H:$H,'Awards Summary'!$B:$B,$C33,'Awards Summary'!$J:$J,"JAVITS")</f>
        <v>0</v>
      </c>
      <c r="DC33" s="55">
        <f>SUMIFS('Disbursements Summary'!$E:$E,'Disbursements Summary'!$C:$C,$C33,'Disbursements Summary'!$A:$A,"JAVITS")</f>
        <v>0</v>
      </c>
      <c r="DD33" s="55">
        <f>SUMIFS('Awards Summary'!$H:$H,'Awards Summary'!$B:$B,$C33,'Awards Summary'!$J:$J,"JCOPE")</f>
        <v>0</v>
      </c>
      <c r="DE33" s="55">
        <f>SUMIFS('Disbursements Summary'!$E:$E,'Disbursements Summary'!$C:$C,$C33,'Disbursements Summary'!$A:$A,"JCOPE")</f>
        <v>0</v>
      </c>
      <c r="DF33" s="55">
        <f>SUMIFS('Awards Summary'!$H:$H,'Awards Summary'!$B:$B,$C33,'Awards Summary'!$J:$J,"JUSTICE")</f>
        <v>0</v>
      </c>
      <c r="DG33" s="55">
        <f>SUMIFS('Disbursements Summary'!$E:$E,'Disbursements Summary'!$C:$C,$C33,'Disbursements Summary'!$A:$A,"JUSTICE")</f>
        <v>0</v>
      </c>
      <c r="DH33" s="55">
        <f>SUMIFS('Awards Summary'!$H:$H,'Awards Summary'!$B:$B,$C33,'Awards Summary'!$J:$J,"LCWSA")</f>
        <v>0</v>
      </c>
      <c r="DI33" s="55">
        <f>SUMIFS('Disbursements Summary'!$E:$E,'Disbursements Summary'!$C:$C,$C33,'Disbursements Summary'!$A:$A,"LCWSA")</f>
        <v>0</v>
      </c>
      <c r="DJ33" s="55">
        <f>SUMIFS('Awards Summary'!$H:$H,'Awards Summary'!$B:$B,$C33,'Awards Summary'!$J:$J,"LIPA")</f>
        <v>0</v>
      </c>
      <c r="DK33" s="55">
        <f>SUMIFS('Disbursements Summary'!$E:$E,'Disbursements Summary'!$C:$C,$C33,'Disbursements Summary'!$A:$A,"LIPA")</f>
        <v>0</v>
      </c>
      <c r="DL33" s="55">
        <f>SUMIFS('Awards Summary'!$H:$H,'Awards Summary'!$B:$B,$C33,'Awards Summary'!$J:$J,"MTA")</f>
        <v>0</v>
      </c>
      <c r="DM33" s="55">
        <f>SUMIFS('Disbursements Summary'!$E:$E,'Disbursements Summary'!$C:$C,$C33,'Disbursements Summary'!$A:$A,"MTA")</f>
        <v>0</v>
      </c>
      <c r="DN33" s="55">
        <f>SUMIFS('Awards Summary'!$H:$H,'Awards Summary'!$B:$B,$C33,'Awards Summary'!$J:$J,"NIFA")</f>
        <v>0</v>
      </c>
      <c r="DO33" s="55">
        <f>SUMIFS('Disbursements Summary'!$E:$E,'Disbursements Summary'!$C:$C,$C33,'Disbursements Summary'!$A:$A,"NIFA")</f>
        <v>0</v>
      </c>
      <c r="DP33" s="55">
        <f>SUMIFS('Awards Summary'!$H:$H,'Awards Summary'!$B:$B,$C33,'Awards Summary'!$J:$J,"NHCC")</f>
        <v>0</v>
      </c>
      <c r="DQ33" s="55">
        <f>SUMIFS('Disbursements Summary'!$E:$E,'Disbursements Summary'!$C:$C,$C33,'Disbursements Summary'!$A:$A,"NHCC")</f>
        <v>0</v>
      </c>
      <c r="DR33" s="55">
        <f>SUMIFS('Awards Summary'!$H:$H,'Awards Summary'!$B:$B,$C33,'Awards Summary'!$J:$J,"NHT")</f>
        <v>0</v>
      </c>
      <c r="DS33" s="55">
        <f>SUMIFS('Disbursements Summary'!$E:$E,'Disbursements Summary'!$C:$C,$C33,'Disbursements Summary'!$A:$A,"NHT")</f>
        <v>0</v>
      </c>
      <c r="DT33" s="55">
        <f>SUMIFS('Awards Summary'!$H:$H,'Awards Summary'!$B:$B,$C33,'Awards Summary'!$J:$J,"NYPA")</f>
        <v>0</v>
      </c>
      <c r="DU33" s="55">
        <f>SUMIFS('Disbursements Summary'!$E:$E,'Disbursements Summary'!$C:$C,$C33,'Disbursements Summary'!$A:$A,"NYPA")</f>
        <v>0</v>
      </c>
      <c r="DV33" s="55">
        <f>SUMIFS('Awards Summary'!$H:$H,'Awards Summary'!$B:$B,$C33,'Awards Summary'!$J:$J,"NYSBA")</f>
        <v>0</v>
      </c>
      <c r="DW33" s="55">
        <f>SUMIFS('Disbursements Summary'!$E:$E,'Disbursements Summary'!$C:$C,$C33,'Disbursements Summary'!$A:$A,"NYSBA")</f>
        <v>0</v>
      </c>
      <c r="DX33" s="55">
        <f>SUMIFS('Awards Summary'!$H:$H,'Awards Summary'!$B:$B,$C33,'Awards Summary'!$J:$J,"NYSERDA")</f>
        <v>0</v>
      </c>
      <c r="DY33" s="55">
        <f>SUMIFS('Disbursements Summary'!$E:$E,'Disbursements Summary'!$C:$C,$C33,'Disbursements Summary'!$A:$A,"NYSERDA")</f>
        <v>0</v>
      </c>
      <c r="DZ33" s="55">
        <f>SUMIFS('Awards Summary'!$H:$H,'Awards Summary'!$B:$B,$C33,'Awards Summary'!$J:$J,"DHCR")</f>
        <v>0</v>
      </c>
      <c r="EA33" s="55">
        <f>SUMIFS('Disbursements Summary'!$E:$E,'Disbursements Summary'!$C:$C,$C33,'Disbursements Summary'!$A:$A,"DHCR")</f>
        <v>0</v>
      </c>
      <c r="EB33" s="55">
        <f>SUMIFS('Awards Summary'!$H:$H,'Awards Summary'!$B:$B,$C33,'Awards Summary'!$J:$J,"HFA")</f>
        <v>0</v>
      </c>
      <c r="EC33" s="55">
        <f>SUMIFS('Disbursements Summary'!$E:$E,'Disbursements Summary'!$C:$C,$C33,'Disbursements Summary'!$A:$A,"HFA")</f>
        <v>0</v>
      </c>
      <c r="ED33" s="55">
        <f>SUMIFS('Awards Summary'!$H:$H,'Awards Summary'!$B:$B,$C33,'Awards Summary'!$J:$J,"NYSIF")</f>
        <v>0</v>
      </c>
      <c r="EE33" s="55">
        <f>SUMIFS('Disbursements Summary'!$E:$E,'Disbursements Summary'!$C:$C,$C33,'Disbursements Summary'!$A:$A,"NYSIF")</f>
        <v>0</v>
      </c>
      <c r="EF33" s="55">
        <f>SUMIFS('Awards Summary'!$H:$H,'Awards Summary'!$B:$B,$C33,'Awards Summary'!$J:$J,"NYBREDS")</f>
        <v>0</v>
      </c>
      <c r="EG33" s="55">
        <f>SUMIFS('Disbursements Summary'!$E:$E,'Disbursements Summary'!$C:$C,$C33,'Disbursements Summary'!$A:$A,"NYBREDS")</f>
        <v>0</v>
      </c>
      <c r="EH33" s="55">
        <f>SUMIFS('Awards Summary'!$H:$H,'Awards Summary'!$B:$B,$C33,'Awards Summary'!$J:$J,"NYSTA")</f>
        <v>0</v>
      </c>
      <c r="EI33" s="55">
        <f>SUMIFS('Disbursements Summary'!$E:$E,'Disbursements Summary'!$C:$C,$C33,'Disbursements Summary'!$A:$A,"NYSTA")</f>
        <v>0</v>
      </c>
      <c r="EJ33" s="55">
        <f>SUMIFS('Awards Summary'!$H:$H,'Awards Summary'!$B:$B,$C33,'Awards Summary'!$J:$J,"NFWB")</f>
        <v>0</v>
      </c>
      <c r="EK33" s="55">
        <f>SUMIFS('Disbursements Summary'!$E:$E,'Disbursements Summary'!$C:$C,$C33,'Disbursements Summary'!$A:$A,"NFWB")</f>
        <v>0</v>
      </c>
      <c r="EL33" s="55">
        <f>SUMIFS('Awards Summary'!$H:$H,'Awards Summary'!$B:$B,$C33,'Awards Summary'!$J:$J,"NFTA")</f>
        <v>0</v>
      </c>
      <c r="EM33" s="55">
        <f>SUMIFS('Disbursements Summary'!$E:$E,'Disbursements Summary'!$C:$C,$C33,'Disbursements Summary'!$A:$A,"NFTA")</f>
        <v>0</v>
      </c>
      <c r="EN33" s="55">
        <f>SUMIFS('Awards Summary'!$H:$H,'Awards Summary'!$B:$B,$C33,'Awards Summary'!$J:$J,"OPWDD")</f>
        <v>0</v>
      </c>
      <c r="EO33" s="55">
        <f>SUMIFS('Disbursements Summary'!$E:$E,'Disbursements Summary'!$C:$C,$C33,'Disbursements Summary'!$A:$A,"OPWDD")</f>
        <v>0</v>
      </c>
      <c r="EP33" s="55">
        <f>SUMIFS('Awards Summary'!$H:$H,'Awards Summary'!$B:$B,$C33,'Awards Summary'!$J:$J,"AGING")</f>
        <v>0</v>
      </c>
      <c r="EQ33" s="55">
        <f>SUMIFS('Disbursements Summary'!$E:$E,'Disbursements Summary'!$C:$C,$C33,'Disbursements Summary'!$A:$A,"AGING")</f>
        <v>0</v>
      </c>
      <c r="ER33" s="55">
        <f>SUMIFS('Awards Summary'!$H:$H,'Awards Summary'!$B:$B,$C33,'Awards Summary'!$J:$J,"OPDV")</f>
        <v>0</v>
      </c>
      <c r="ES33" s="55">
        <f>SUMIFS('Disbursements Summary'!$E:$E,'Disbursements Summary'!$C:$C,$C33,'Disbursements Summary'!$A:$A,"OPDV")</f>
        <v>0</v>
      </c>
      <c r="ET33" s="55">
        <f>SUMIFS('Awards Summary'!$H:$H,'Awards Summary'!$B:$B,$C33,'Awards Summary'!$J:$J,"OVS")</f>
        <v>0</v>
      </c>
      <c r="EU33" s="55">
        <f>SUMIFS('Disbursements Summary'!$E:$E,'Disbursements Summary'!$C:$C,$C33,'Disbursements Summary'!$A:$A,"OVS")</f>
        <v>0</v>
      </c>
      <c r="EV33" s="55">
        <f>SUMIFS('Awards Summary'!$H:$H,'Awards Summary'!$B:$B,$C33,'Awards Summary'!$J:$J,"OASAS")</f>
        <v>0</v>
      </c>
      <c r="EW33" s="55">
        <f>SUMIFS('Disbursements Summary'!$E:$E,'Disbursements Summary'!$C:$C,$C33,'Disbursements Summary'!$A:$A,"OASAS")</f>
        <v>0</v>
      </c>
      <c r="EX33" s="55">
        <f>SUMIFS('Awards Summary'!$H:$H,'Awards Summary'!$B:$B,$C33,'Awards Summary'!$J:$J,"OCFS")</f>
        <v>0</v>
      </c>
      <c r="EY33" s="55">
        <f>SUMIFS('Disbursements Summary'!$E:$E,'Disbursements Summary'!$C:$C,$C33,'Disbursements Summary'!$A:$A,"OCFS")</f>
        <v>0</v>
      </c>
      <c r="EZ33" s="55">
        <f>SUMIFS('Awards Summary'!$H:$H,'Awards Summary'!$B:$B,$C33,'Awards Summary'!$J:$J,"OGS")</f>
        <v>0</v>
      </c>
      <c r="FA33" s="55">
        <f>SUMIFS('Disbursements Summary'!$E:$E,'Disbursements Summary'!$C:$C,$C33,'Disbursements Summary'!$A:$A,"OGS")</f>
        <v>0</v>
      </c>
      <c r="FB33" s="55">
        <f>SUMIFS('Awards Summary'!$H:$H,'Awards Summary'!$B:$B,$C33,'Awards Summary'!$J:$J,"OMH")</f>
        <v>0</v>
      </c>
      <c r="FC33" s="55">
        <f>SUMIFS('Disbursements Summary'!$E:$E,'Disbursements Summary'!$C:$C,$C33,'Disbursements Summary'!$A:$A,"OMH")</f>
        <v>0</v>
      </c>
      <c r="FD33" s="55">
        <f>SUMIFS('Awards Summary'!$H:$H,'Awards Summary'!$B:$B,$C33,'Awards Summary'!$J:$J,"PARKS")</f>
        <v>0</v>
      </c>
      <c r="FE33" s="55">
        <f>SUMIFS('Disbursements Summary'!$E:$E,'Disbursements Summary'!$C:$C,$C33,'Disbursements Summary'!$A:$A,"PARKS")</f>
        <v>0</v>
      </c>
      <c r="FF33" s="55">
        <f>SUMIFS('Awards Summary'!$H:$H,'Awards Summary'!$B:$B,$C33,'Awards Summary'!$J:$J,"OTDA")</f>
        <v>0</v>
      </c>
      <c r="FG33" s="55">
        <f>SUMIFS('Disbursements Summary'!$E:$E,'Disbursements Summary'!$C:$C,$C33,'Disbursements Summary'!$A:$A,"OTDA")</f>
        <v>0</v>
      </c>
      <c r="FH33" s="55">
        <f>SUMIFS('Awards Summary'!$H:$H,'Awards Summary'!$B:$B,$C33,'Awards Summary'!$J:$J,"OIG")</f>
        <v>0</v>
      </c>
      <c r="FI33" s="55">
        <f>SUMIFS('Disbursements Summary'!$E:$E,'Disbursements Summary'!$C:$C,$C33,'Disbursements Summary'!$A:$A,"OIG")</f>
        <v>0</v>
      </c>
      <c r="FJ33" s="55">
        <f>SUMIFS('Awards Summary'!$H:$H,'Awards Summary'!$B:$B,$C33,'Awards Summary'!$J:$J,"OMIG")</f>
        <v>0</v>
      </c>
      <c r="FK33" s="55">
        <f>SUMIFS('Disbursements Summary'!$E:$E,'Disbursements Summary'!$C:$C,$C33,'Disbursements Summary'!$A:$A,"OMIG")</f>
        <v>0</v>
      </c>
      <c r="FL33" s="55">
        <f>SUMIFS('Awards Summary'!$H:$H,'Awards Summary'!$B:$B,$C33,'Awards Summary'!$J:$J,"OSC")</f>
        <v>0</v>
      </c>
      <c r="FM33" s="55">
        <f>SUMIFS('Disbursements Summary'!$E:$E,'Disbursements Summary'!$C:$C,$C33,'Disbursements Summary'!$A:$A,"OSC")</f>
        <v>0</v>
      </c>
      <c r="FN33" s="55">
        <f>SUMIFS('Awards Summary'!$H:$H,'Awards Summary'!$B:$B,$C33,'Awards Summary'!$J:$J,"OWIG")</f>
        <v>0</v>
      </c>
      <c r="FO33" s="55">
        <f>SUMIFS('Disbursements Summary'!$E:$E,'Disbursements Summary'!$C:$C,$C33,'Disbursements Summary'!$A:$A,"OWIG")</f>
        <v>0</v>
      </c>
      <c r="FP33" s="55">
        <f>SUMIFS('Awards Summary'!$H:$H,'Awards Summary'!$B:$B,$C33,'Awards Summary'!$J:$J,"OGDEN")</f>
        <v>0</v>
      </c>
      <c r="FQ33" s="55">
        <f>SUMIFS('Disbursements Summary'!$E:$E,'Disbursements Summary'!$C:$C,$C33,'Disbursements Summary'!$A:$A,"OGDEN")</f>
        <v>0</v>
      </c>
      <c r="FR33" s="55">
        <f>SUMIFS('Awards Summary'!$H:$H,'Awards Summary'!$B:$B,$C33,'Awards Summary'!$J:$J,"ORDA")</f>
        <v>0</v>
      </c>
      <c r="FS33" s="55">
        <f>SUMIFS('Disbursements Summary'!$E:$E,'Disbursements Summary'!$C:$C,$C33,'Disbursements Summary'!$A:$A,"ORDA")</f>
        <v>0</v>
      </c>
      <c r="FT33" s="55">
        <f>SUMIFS('Awards Summary'!$H:$H,'Awards Summary'!$B:$B,$C33,'Awards Summary'!$J:$J,"OSWEGO")</f>
        <v>0</v>
      </c>
      <c r="FU33" s="55">
        <f>SUMIFS('Disbursements Summary'!$E:$E,'Disbursements Summary'!$C:$C,$C33,'Disbursements Summary'!$A:$A,"OSWEGO")</f>
        <v>0</v>
      </c>
      <c r="FV33" s="55">
        <f>SUMIFS('Awards Summary'!$H:$H,'Awards Summary'!$B:$B,$C33,'Awards Summary'!$J:$J,"PERB")</f>
        <v>0</v>
      </c>
      <c r="FW33" s="55">
        <f>SUMIFS('Disbursements Summary'!$E:$E,'Disbursements Summary'!$C:$C,$C33,'Disbursements Summary'!$A:$A,"PERB")</f>
        <v>0</v>
      </c>
      <c r="FX33" s="55">
        <f>SUMIFS('Awards Summary'!$H:$H,'Awards Summary'!$B:$B,$C33,'Awards Summary'!$J:$J,"RGRTA")</f>
        <v>0</v>
      </c>
      <c r="FY33" s="55">
        <f>SUMIFS('Disbursements Summary'!$E:$E,'Disbursements Summary'!$C:$C,$C33,'Disbursements Summary'!$A:$A,"RGRTA")</f>
        <v>0</v>
      </c>
      <c r="FZ33" s="55">
        <f>SUMIFS('Awards Summary'!$H:$H,'Awards Summary'!$B:$B,$C33,'Awards Summary'!$J:$J,"RIOC")</f>
        <v>0</v>
      </c>
      <c r="GA33" s="55">
        <f>SUMIFS('Disbursements Summary'!$E:$E,'Disbursements Summary'!$C:$C,$C33,'Disbursements Summary'!$A:$A,"RIOC")</f>
        <v>0</v>
      </c>
      <c r="GB33" s="55">
        <f>SUMIFS('Awards Summary'!$H:$H,'Awards Summary'!$B:$B,$C33,'Awards Summary'!$J:$J,"RPCI")</f>
        <v>0</v>
      </c>
      <c r="GC33" s="55">
        <f>SUMIFS('Disbursements Summary'!$E:$E,'Disbursements Summary'!$C:$C,$C33,'Disbursements Summary'!$A:$A,"RPCI")</f>
        <v>0</v>
      </c>
      <c r="GD33" s="55">
        <f>SUMIFS('Awards Summary'!$H:$H,'Awards Summary'!$B:$B,$C33,'Awards Summary'!$J:$J,"SMDA")</f>
        <v>0</v>
      </c>
      <c r="GE33" s="55">
        <f>SUMIFS('Disbursements Summary'!$E:$E,'Disbursements Summary'!$C:$C,$C33,'Disbursements Summary'!$A:$A,"SMDA")</f>
        <v>0</v>
      </c>
      <c r="GF33" s="55">
        <f>SUMIFS('Awards Summary'!$H:$H,'Awards Summary'!$B:$B,$C33,'Awards Summary'!$J:$J,"SCOC")</f>
        <v>0</v>
      </c>
      <c r="GG33" s="55">
        <f>SUMIFS('Disbursements Summary'!$E:$E,'Disbursements Summary'!$C:$C,$C33,'Disbursements Summary'!$A:$A,"SCOC")</f>
        <v>0</v>
      </c>
      <c r="GH33" s="55">
        <f>SUMIFS('Awards Summary'!$H:$H,'Awards Summary'!$B:$B,$C33,'Awards Summary'!$J:$J,"SUCF")</f>
        <v>0</v>
      </c>
      <c r="GI33" s="55">
        <f>SUMIFS('Disbursements Summary'!$E:$E,'Disbursements Summary'!$C:$C,$C33,'Disbursements Summary'!$A:$A,"SUCF")</f>
        <v>0</v>
      </c>
      <c r="GJ33" s="55">
        <f>SUMIFS('Awards Summary'!$H:$H,'Awards Summary'!$B:$B,$C33,'Awards Summary'!$J:$J,"SUNY")</f>
        <v>0</v>
      </c>
      <c r="GK33" s="55">
        <f>SUMIFS('Disbursements Summary'!$E:$E,'Disbursements Summary'!$C:$C,$C33,'Disbursements Summary'!$A:$A,"SUNY")</f>
        <v>0</v>
      </c>
      <c r="GL33" s="55">
        <f>SUMIFS('Awards Summary'!$H:$H,'Awards Summary'!$B:$B,$C33,'Awards Summary'!$J:$J,"SRAA")</f>
        <v>0</v>
      </c>
      <c r="GM33" s="55">
        <f>SUMIFS('Disbursements Summary'!$E:$E,'Disbursements Summary'!$C:$C,$C33,'Disbursements Summary'!$A:$A,"SRAA")</f>
        <v>0</v>
      </c>
      <c r="GN33" s="55">
        <f>SUMIFS('Awards Summary'!$H:$H,'Awards Summary'!$B:$B,$C33,'Awards Summary'!$J:$J,"UNDC")</f>
        <v>0</v>
      </c>
      <c r="GO33" s="55">
        <f>SUMIFS('Disbursements Summary'!$E:$E,'Disbursements Summary'!$C:$C,$C33,'Disbursements Summary'!$A:$A,"UNDC")</f>
        <v>0</v>
      </c>
      <c r="GP33" s="55">
        <f>SUMIFS('Awards Summary'!$H:$H,'Awards Summary'!$B:$B,$C33,'Awards Summary'!$J:$J,"MVWA")</f>
        <v>0</v>
      </c>
      <c r="GQ33" s="55">
        <f>SUMIFS('Disbursements Summary'!$E:$E,'Disbursements Summary'!$C:$C,$C33,'Disbursements Summary'!$A:$A,"MVWA")</f>
        <v>0</v>
      </c>
      <c r="GR33" s="55">
        <f>SUMIFS('Awards Summary'!$H:$H,'Awards Summary'!$B:$B,$C33,'Awards Summary'!$J:$J,"WMC")</f>
        <v>0</v>
      </c>
      <c r="GS33" s="55">
        <f>SUMIFS('Disbursements Summary'!$E:$E,'Disbursements Summary'!$C:$C,$C33,'Disbursements Summary'!$A:$A,"WMC")</f>
        <v>0</v>
      </c>
      <c r="GT33" s="55">
        <f>SUMIFS('Awards Summary'!$H:$H,'Awards Summary'!$B:$B,$C33,'Awards Summary'!$J:$J,"WCB")</f>
        <v>0</v>
      </c>
      <c r="GU33" s="55">
        <f>SUMIFS('Disbursements Summary'!$E:$E,'Disbursements Summary'!$C:$C,$C33,'Disbursements Summary'!$A:$A,"WCB")</f>
        <v>0</v>
      </c>
      <c r="GV33" s="32">
        <f t="shared" si="5"/>
        <v>0</v>
      </c>
      <c r="GW33" s="32">
        <f t="shared" si="6"/>
        <v>0</v>
      </c>
      <c r="GX33" s="30" t="b">
        <f t="shared" si="7"/>
        <v>1</v>
      </c>
      <c r="GY33" s="30" t="b">
        <f t="shared" si="8"/>
        <v>1</v>
      </c>
    </row>
    <row r="34" spans="1:207" s="30" customFormat="1">
      <c r="A34" s="22" t="str">
        <f t="shared" si="0"/>
        <v/>
      </c>
      <c r="B34" s="40" t="s">
        <v>47</v>
      </c>
      <c r="C34" s="16">
        <v>141058</v>
      </c>
      <c r="D34" s="26">
        <f>COUNTIF('Awards Summary'!B:B,"141058")</f>
        <v>0</v>
      </c>
      <c r="E34" s="45">
        <f>SUMIFS('Awards Summary'!H:H,'Awards Summary'!B:B,"141058")</f>
        <v>0</v>
      </c>
      <c r="F34" s="46">
        <f>SUMIFS('Disbursements Summary'!E:E,'Disbursements Summary'!C:C, "141058")</f>
        <v>0</v>
      </c>
      <c r="H34" s="55">
        <f>SUMIFS('Awards Summary'!$H:$H,'Awards Summary'!$B:$B,$C34,'Awards Summary'!$J:$J,"APA")</f>
        <v>0</v>
      </c>
      <c r="I34" s="55">
        <f>SUMIFS('Disbursements Summary'!$E:$E,'Disbursements Summary'!$C:$C,$C34,'Disbursements Summary'!$A:$A,"APA")</f>
        <v>0</v>
      </c>
      <c r="J34" s="55">
        <f>SUMIFS('Awards Summary'!$H:$H,'Awards Summary'!$B:$B,$C34,'Awards Summary'!$J:$J,"Ag&amp;Horse")</f>
        <v>0</v>
      </c>
      <c r="K34" s="55">
        <f>SUMIFS('Disbursements Summary'!$E:$E,'Disbursements Summary'!$C:$C,$C34,'Disbursements Summary'!$A:$A,"Ag&amp;Horse")</f>
        <v>0</v>
      </c>
      <c r="L34" s="55">
        <f>SUMIFS('Awards Summary'!$H:$H,'Awards Summary'!$B:$B,$C34,'Awards Summary'!$J:$J,"ACAA")</f>
        <v>0</v>
      </c>
      <c r="M34" s="55">
        <f>SUMIFS('Disbursements Summary'!$E:$E,'Disbursements Summary'!$C:$C,$C34,'Disbursements Summary'!$A:$A,"ACAA")</f>
        <v>0</v>
      </c>
      <c r="N34" s="55">
        <f>SUMIFS('Awards Summary'!$H:$H,'Awards Summary'!$B:$B,$C34,'Awards Summary'!$J:$J,"PortAlbany")</f>
        <v>0</v>
      </c>
      <c r="O34" s="55">
        <f>SUMIFS('Disbursements Summary'!$E:$E,'Disbursements Summary'!$C:$C,$C34,'Disbursements Summary'!$A:$A,"PortAlbany")</f>
        <v>0</v>
      </c>
      <c r="P34" s="55">
        <f>SUMIFS('Awards Summary'!$H:$H,'Awards Summary'!$B:$B,$C34,'Awards Summary'!$J:$J,"SLA")</f>
        <v>0</v>
      </c>
      <c r="Q34" s="55">
        <f>SUMIFS('Disbursements Summary'!$E:$E,'Disbursements Summary'!$C:$C,$C34,'Disbursements Summary'!$A:$A,"SLA")</f>
        <v>0</v>
      </c>
      <c r="R34" s="55">
        <f>SUMIFS('Awards Summary'!$H:$H,'Awards Summary'!$B:$B,$C34,'Awards Summary'!$J:$J,"BPCA")</f>
        <v>0</v>
      </c>
      <c r="S34" s="55">
        <f>SUMIFS('Disbursements Summary'!$E:$E,'Disbursements Summary'!$C:$C,$C34,'Disbursements Summary'!$A:$A,"BPCA")</f>
        <v>0</v>
      </c>
      <c r="T34" s="55">
        <f>SUMIFS('Awards Summary'!$H:$H,'Awards Summary'!$B:$B,$C34,'Awards Summary'!$J:$J,"ELECTIONS")</f>
        <v>0</v>
      </c>
      <c r="U34" s="55">
        <f>SUMIFS('Disbursements Summary'!$E:$E,'Disbursements Summary'!$C:$C,$C34,'Disbursements Summary'!$A:$A,"ELECTIONS")</f>
        <v>0</v>
      </c>
      <c r="V34" s="55">
        <f>SUMIFS('Awards Summary'!$H:$H,'Awards Summary'!$B:$B,$C34,'Awards Summary'!$J:$J,"BFSA")</f>
        <v>0</v>
      </c>
      <c r="W34" s="55">
        <f>SUMIFS('Disbursements Summary'!$E:$E,'Disbursements Summary'!$C:$C,$C34,'Disbursements Summary'!$A:$A,"BFSA")</f>
        <v>0</v>
      </c>
      <c r="X34" s="55">
        <f>SUMIFS('Awards Summary'!$H:$H,'Awards Summary'!$B:$B,$C34,'Awards Summary'!$J:$J,"CDTA")</f>
        <v>0</v>
      </c>
      <c r="Y34" s="55">
        <f>SUMIFS('Disbursements Summary'!$E:$E,'Disbursements Summary'!$C:$C,$C34,'Disbursements Summary'!$A:$A,"CDTA")</f>
        <v>0</v>
      </c>
      <c r="Z34" s="55">
        <f>SUMIFS('Awards Summary'!$H:$H,'Awards Summary'!$B:$B,$C34,'Awards Summary'!$J:$J,"CCWSA")</f>
        <v>0</v>
      </c>
      <c r="AA34" s="55">
        <f>SUMIFS('Disbursements Summary'!$E:$E,'Disbursements Summary'!$C:$C,$C34,'Disbursements Summary'!$A:$A,"CCWSA")</f>
        <v>0</v>
      </c>
      <c r="AB34" s="55">
        <f>SUMIFS('Awards Summary'!$H:$H,'Awards Summary'!$B:$B,$C34,'Awards Summary'!$J:$J,"CNYRTA")</f>
        <v>0</v>
      </c>
      <c r="AC34" s="55">
        <f>SUMIFS('Disbursements Summary'!$E:$E,'Disbursements Summary'!$C:$C,$C34,'Disbursements Summary'!$A:$A,"CNYRTA")</f>
        <v>0</v>
      </c>
      <c r="AD34" s="55">
        <f>SUMIFS('Awards Summary'!$H:$H,'Awards Summary'!$B:$B,$C34,'Awards Summary'!$J:$J,"CUCF")</f>
        <v>0</v>
      </c>
      <c r="AE34" s="55">
        <f>SUMIFS('Disbursements Summary'!$E:$E,'Disbursements Summary'!$C:$C,$C34,'Disbursements Summary'!$A:$A,"CUCF")</f>
        <v>0</v>
      </c>
      <c r="AF34" s="55">
        <f>SUMIFS('Awards Summary'!$H:$H,'Awards Summary'!$B:$B,$C34,'Awards Summary'!$J:$J,"CUNY")</f>
        <v>0</v>
      </c>
      <c r="AG34" s="55">
        <f>SUMIFS('Disbursements Summary'!$E:$E,'Disbursements Summary'!$C:$C,$C34,'Disbursements Summary'!$A:$A,"CUNY")</f>
        <v>0</v>
      </c>
      <c r="AH34" s="55">
        <f>SUMIFS('Awards Summary'!$H:$H,'Awards Summary'!$B:$B,$C34,'Awards Summary'!$J:$J,"ARTS")</f>
        <v>0</v>
      </c>
      <c r="AI34" s="55">
        <f>SUMIFS('Disbursements Summary'!$E:$E,'Disbursements Summary'!$C:$C,$C34,'Disbursements Summary'!$A:$A,"ARTS")</f>
        <v>0</v>
      </c>
      <c r="AJ34" s="55">
        <f>SUMIFS('Awards Summary'!$H:$H,'Awards Summary'!$B:$B,$C34,'Awards Summary'!$J:$J,"AG&amp;MKTS")</f>
        <v>0</v>
      </c>
      <c r="AK34" s="55">
        <f>SUMIFS('Disbursements Summary'!$E:$E,'Disbursements Summary'!$C:$C,$C34,'Disbursements Summary'!$A:$A,"AG&amp;MKTS")</f>
        <v>0</v>
      </c>
      <c r="AL34" s="55">
        <f>SUMIFS('Awards Summary'!$H:$H,'Awards Summary'!$B:$B,$C34,'Awards Summary'!$J:$J,"CS")</f>
        <v>0</v>
      </c>
      <c r="AM34" s="55">
        <f>SUMIFS('Disbursements Summary'!$E:$E,'Disbursements Summary'!$C:$C,$C34,'Disbursements Summary'!$A:$A,"CS")</f>
        <v>0</v>
      </c>
      <c r="AN34" s="55">
        <f>SUMIFS('Awards Summary'!$H:$H,'Awards Summary'!$B:$B,$C34,'Awards Summary'!$J:$J,"DOCCS")</f>
        <v>0</v>
      </c>
      <c r="AO34" s="55">
        <f>SUMIFS('Disbursements Summary'!$E:$E,'Disbursements Summary'!$C:$C,$C34,'Disbursements Summary'!$A:$A,"DOCCS")</f>
        <v>0</v>
      </c>
      <c r="AP34" s="55">
        <f>SUMIFS('Awards Summary'!$H:$H,'Awards Summary'!$B:$B,$C34,'Awards Summary'!$J:$J,"DED")</f>
        <v>0</v>
      </c>
      <c r="AQ34" s="55">
        <f>SUMIFS('Disbursements Summary'!$E:$E,'Disbursements Summary'!$C:$C,$C34,'Disbursements Summary'!$A:$A,"DED")</f>
        <v>0</v>
      </c>
      <c r="AR34" s="55">
        <f>SUMIFS('Awards Summary'!$H:$H,'Awards Summary'!$B:$B,$C34,'Awards Summary'!$J:$J,"DEC")</f>
        <v>0</v>
      </c>
      <c r="AS34" s="55">
        <f>SUMIFS('Disbursements Summary'!$E:$E,'Disbursements Summary'!$C:$C,$C34,'Disbursements Summary'!$A:$A,"DEC")</f>
        <v>0</v>
      </c>
      <c r="AT34" s="55">
        <f>SUMIFS('Awards Summary'!$H:$H,'Awards Summary'!$B:$B,$C34,'Awards Summary'!$J:$J,"DFS")</f>
        <v>0</v>
      </c>
      <c r="AU34" s="55">
        <f>SUMIFS('Disbursements Summary'!$E:$E,'Disbursements Summary'!$C:$C,$C34,'Disbursements Summary'!$A:$A,"DFS")</f>
        <v>0</v>
      </c>
      <c r="AV34" s="55">
        <f>SUMIFS('Awards Summary'!$H:$H,'Awards Summary'!$B:$B,$C34,'Awards Summary'!$J:$J,"DOH")</f>
        <v>0</v>
      </c>
      <c r="AW34" s="55">
        <f>SUMIFS('Disbursements Summary'!$E:$E,'Disbursements Summary'!$C:$C,$C34,'Disbursements Summary'!$A:$A,"DOH")</f>
        <v>0</v>
      </c>
      <c r="AX34" s="55">
        <f>SUMIFS('Awards Summary'!$H:$H,'Awards Summary'!$B:$B,$C34,'Awards Summary'!$J:$J,"DOL")</f>
        <v>0</v>
      </c>
      <c r="AY34" s="55">
        <f>SUMIFS('Disbursements Summary'!$E:$E,'Disbursements Summary'!$C:$C,$C34,'Disbursements Summary'!$A:$A,"DOL")</f>
        <v>0</v>
      </c>
      <c r="AZ34" s="55">
        <f>SUMIFS('Awards Summary'!$H:$H,'Awards Summary'!$B:$B,$C34,'Awards Summary'!$J:$J,"DMV")</f>
        <v>0</v>
      </c>
      <c r="BA34" s="55">
        <f>SUMIFS('Disbursements Summary'!$E:$E,'Disbursements Summary'!$C:$C,$C34,'Disbursements Summary'!$A:$A,"DMV")</f>
        <v>0</v>
      </c>
      <c r="BB34" s="55">
        <f>SUMIFS('Awards Summary'!$H:$H,'Awards Summary'!$B:$B,$C34,'Awards Summary'!$J:$J,"DPS")</f>
        <v>0</v>
      </c>
      <c r="BC34" s="55">
        <f>SUMIFS('Disbursements Summary'!$E:$E,'Disbursements Summary'!$C:$C,$C34,'Disbursements Summary'!$A:$A,"DPS")</f>
        <v>0</v>
      </c>
      <c r="BD34" s="55">
        <f>SUMIFS('Awards Summary'!$H:$H,'Awards Summary'!$B:$B,$C34,'Awards Summary'!$J:$J,"DOS")</f>
        <v>0</v>
      </c>
      <c r="BE34" s="55">
        <f>SUMIFS('Disbursements Summary'!$E:$E,'Disbursements Summary'!$C:$C,$C34,'Disbursements Summary'!$A:$A,"DOS")</f>
        <v>0</v>
      </c>
      <c r="BF34" s="55">
        <f>SUMIFS('Awards Summary'!$H:$H,'Awards Summary'!$B:$B,$C34,'Awards Summary'!$J:$J,"TAX")</f>
        <v>0</v>
      </c>
      <c r="BG34" s="55">
        <f>SUMIFS('Disbursements Summary'!$E:$E,'Disbursements Summary'!$C:$C,$C34,'Disbursements Summary'!$A:$A,"TAX")</f>
        <v>0</v>
      </c>
      <c r="BH34" s="55">
        <f>SUMIFS('Awards Summary'!$H:$H,'Awards Summary'!$B:$B,$C34,'Awards Summary'!$J:$J,"DOT")</f>
        <v>0</v>
      </c>
      <c r="BI34" s="55">
        <f>SUMIFS('Disbursements Summary'!$E:$E,'Disbursements Summary'!$C:$C,$C34,'Disbursements Summary'!$A:$A,"DOT")</f>
        <v>0</v>
      </c>
      <c r="BJ34" s="55">
        <f>SUMIFS('Awards Summary'!$H:$H,'Awards Summary'!$B:$B,$C34,'Awards Summary'!$J:$J,"DANC")</f>
        <v>0</v>
      </c>
      <c r="BK34" s="55">
        <f>SUMIFS('Disbursements Summary'!$E:$E,'Disbursements Summary'!$C:$C,$C34,'Disbursements Summary'!$A:$A,"DANC")</f>
        <v>0</v>
      </c>
      <c r="BL34" s="55">
        <f>SUMIFS('Awards Summary'!$H:$H,'Awards Summary'!$B:$B,$C34,'Awards Summary'!$J:$J,"DOB")</f>
        <v>0</v>
      </c>
      <c r="BM34" s="55">
        <f>SUMIFS('Disbursements Summary'!$E:$E,'Disbursements Summary'!$C:$C,$C34,'Disbursements Summary'!$A:$A,"DOB")</f>
        <v>0</v>
      </c>
      <c r="BN34" s="55">
        <f>SUMIFS('Awards Summary'!$H:$H,'Awards Summary'!$B:$B,$C34,'Awards Summary'!$J:$J,"DCJS")</f>
        <v>0</v>
      </c>
      <c r="BO34" s="55">
        <f>SUMIFS('Disbursements Summary'!$E:$E,'Disbursements Summary'!$C:$C,$C34,'Disbursements Summary'!$A:$A,"DCJS")</f>
        <v>0</v>
      </c>
      <c r="BP34" s="55">
        <f>SUMIFS('Awards Summary'!$H:$H,'Awards Summary'!$B:$B,$C34,'Awards Summary'!$J:$J,"DHSES")</f>
        <v>0</v>
      </c>
      <c r="BQ34" s="55">
        <f>SUMIFS('Disbursements Summary'!$E:$E,'Disbursements Summary'!$C:$C,$C34,'Disbursements Summary'!$A:$A,"DHSES")</f>
        <v>0</v>
      </c>
      <c r="BR34" s="55">
        <f>SUMIFS('Awards Summary'!$H:$H,'Awards Summary'!$B:$B,$C34,'Awards Summary'!$J:$J,"DHR")</f>
        <v>0</v>
      </c>
      <c r="BS34" s="55">
        <f>SUMIFS('Disbursements Summary'!$E:$E,'Disbursements Summary'!$C:$C,$C34,'Disbursements Summary'!$A:$A,"DHR")</f>
        <v>0</v>
      </c>
      <c r="BT34" s="55">
        <f>SUMIFS('Awards Summary'!$H:$H,'Awards Summary'!$B:$B,$C34,'Awards Summary'!$J:$J,"DMNA")</f>
        <v>0</v>
      </c>
      <c r="BU34" s="55">
        <f>SUMIFS('Disbursements Summary'!$E:$E,'Disbursements Summary'!$C:$C,$C34,'Disbursements Summary'!$A:$A,"DMNA")</f>
        <v>0</v>
      </c>
      <c r="BV34" s="55">
        <f>SUMIFS('Awards Summary'!$H:$H,'Awards Summary'!$B:$B,$C34,'Awards Summary'!$J:$J,"TROOPERS")</f>
        <v>0</v>
      </c>
      <c r="BW34" s="55">
        <f>SUMIFS('Disbursements Summary'!$E:$E,'Disbursements Summary'!$C:$C,$C34,'Disbursements Summary'!$A:$A,"TROOPERS")</f>
        <v>0</v>
      </c>
      <c r="BX34" s="55">
        <f>SUMIFS('Awards Summary'!$H:$H,'Awards Summary'!$B:$B,$C34,'Awards Summary'!$J:$J,"DVA")</f>
        <v>0</v>
      </c>
      <c r="BY34" s="55">
        <f>SUMIFS('Disbursements Summary'!$E:$E,'Disbursements Summary'!$C:$C,$C34,'Disbursements Summary'!$A:$A,"DVA")</f>
        <v>0</v>
      </c>
      <c r="BZ34" s="55">
        <f>SUMIFS('Awards Summary'!$H:$H,'Awards Summary'!$B:$B,$C34,'Awards Summary'!$J:$J,"DASNY")</f>
        <v>0</v>
      </c>
      <c r="CA34" s="55">
        <f>SUMIFS('Disbursements Summary'!$E:$E,'Disbursements Summary'!$C:$C,$C34,'Disbursements Summary'!$A:$A,"DASNY")</f>
        <v>0</v>
      </c>
      <c r="CB34" s="55">
        <f>SUMIFS('Awards Summary'!$H:$H,'Awards Summary'!$B:$B,$C34,'Awards Summary'!$J:$J,"EGG")</f>
        <v>0</v>
      </c>
      <c r="CC34" s="55">
        <f>SUMIFS('Disbursements Summary'!$E:$E,'Disbursements Summary'!$C:$C,$C34,'Disbursements Summary'!$A:$A,"EGG")</f>
        <v>0</v>
      </c>
      <c r="CD34" s="55">
        <f>SUMIFS('Awards Summary'!$H:$H,'Awards Summary'!$B:$B,$C34,'Awards Summary'!$J:$J,"ESD")</f>
        <v>0</v>
      </c>
      <c r="CE34" s="55">
        <f>SUMIFS('Disbursements Summary'!$E:$E,'Disbursements Summary'!$C:$C,$C34,'Disbursements Summary'!$A:$A,"ESD")</f>
        <v>0</v>
      </c>
      <c r="CF34" s="55">
        <f>SUMIFS('Awards Summary'!$H:$H,'Awards Summary'!$B:$B,$C34,'Awards Summary'!$J:$J,"EFC")</f>
        <v>0</v>
      </c>
      <c r="CG34" s="55">
        <f>SUMIFS('Disbursements Summary'!$E:$E,'Disbursements Summary'!$C:$C,$C34,'Disbursements Summary'!$A:$A,"EFC")</f>
        <v>0</v>
      </c>
      <c r="CH34" s="55">
        <f>SUMIFS('Awards Summary'!$H:$H,'Awards Summary'!$B:$B,$C34,'Awards Summary'!$J:$J,"ECFSA")</f>
        <v>0</v>
      </c>
      <c r="CI34" s="55">
        <f>SUMIFS('Disbursements Summary'!$E:$E,'Disbursements Summary'!$C:$C,$C34,'Disbursements Summary'!$A:$A,"ECFSA")</f>
        <v>0</v>
      </c>
      <c r="CJ34" s="55">
        <f>SUMIFS('Awards Summary'!$H:$H,'Awards Summary'!$B:$B,$C34,'Awards Summary'!$J:$J,"ECMC")</f>
        <v>0</v>
      </c>
      <c r="CK34" s="55">
        <f>SUMIFS('Disbursements Summary'!$E:$E,'Disbursements Summary'!$C:$C,$C34,'Disbursements Summary'!$A:$A,"ECMC")</f>
        <v>0</v>
      </c>
      <c r="CL34" s="55">
        <f>SUMIFS('Awards Summary'!$H:$H,'Awards Summary'!$B:$B,$C34,'Awards Summary'!$J:$J,"CHAMBER")</f>
        <v>0</v>
      </c>
      <c r="CM34" s="55">
        <f>SUMIFS('Disbursements Summary'!$E:$E,'Disbursements Summary'!$C:$C,$C34,'Disbursements Summary'!$A:$A,"CHAMBER")</f>
        <v>0</v>
      </c>
      <c r="CN34" s="55">
        <f>SUMIFS('Awards Summary'!$H:$H,'Awards Summary'!$B:$B,$C34,'Awards Summary'!$J:$J,"GAMING")</f>
        <v>0</v>
      </c>
      <c r="CO34" s="55">
        <f>SUMIFS('Disbursements Summary'!$E:$E,'Disbursements Summary'!$C:$C,$C34,'Disbursements Summary'!$A:$A,"GAMING")</f>
        <v>0</v>
      </c>
      <c r="CP34" s="55">
        <f>SUMIFS('Awards Summary'!$H:$H,'Awards Summary'!$B:$B,$C34,'Awards Summary'!$J:$J,"GOER")</f>
        <v>0</v>
      </c>
      <c r="CQ34" s="55">
        <f>SUMIFS('Disbursements Summary'!$E:$E,'Disbursements Summary'!$C:$C,$C34,'Disbursements Summary'!$A:$A,"GOER")</f>
        <v>0</v>
      </c>
      <c r="CR34" s="55">
        <f>SUMIFS('Awards Summary'!$H:$H,'Awards Summary'!$B:$B,$C34,'Awards Summary'!$J:$J,"HESC")</f>
        <v>0</v>
      </c>
      <c r="CS34" s="55">
        <f>SUMIFS('Disbursements Summary'!$E:$E,'Disbursements Summary'!$C:$C,$C34,'Disbursements Summary'!$A:$A,"HESC")</f>
        <v>0</v>
      </c>
      <c r="CT34" s="55">
        <f>SUMIFS('Awards Summary'!$H:$H,'Awards Summary'!$B:$B,$C34,'Awards Summary'!$J:$J,"GOSR")</f>
        <v>0</v>
      </c>
      <c r="CU34" s="55">
        <f>SUMIFS('Disbursements Summary'!$E:$E,'Disbursements Summary'!$C:$C,$C34,'Disbursements Summary'!$A:$A,"GOSR")</f>
        <v>0</v>
      </c>
      <c r="CV34" s="55">
        <f>SUMIFS('Awards Summary'!$H:$H,'Awards Summary'!$B:$B,$C34,'Awards Summary'!$J:$J,"HRPT")</f>
        <v>0</v>
      </c>
      <c r="CW34" s="55">
        <f>SUMIFS('Disbursements Summary'!$E:$E,'Disbursements Summary'!$C:$C,$C34,'Disbursements Summary'!$A:$A,"HRPT")</f>
        <v>0</v>
      </c>
      <c r="CX34" s="55">
        <f>SUMIFS('Awards Summary'!$H:$H,'Awards Summary'!$B:$B,$C34,'Awards Summary'!$J:$J,"HRBRRD")</f>
        <v>0</v>
      </c>
      <c r="CY34" s="55">
        <f>SUMIFS('Disbursements Summary'!$E:$E,'Disbursements Summary'!$C:$C,$C34,'Disbursements Summary'!$A:$A,"HRBRRD")</f>
        <v>0</v>
      </c>
      <c r="CZ34" s="55">
        <f>SUMIFS('Awards Summary'!$H:$H,'Awards Summary'!$B:$B,$C34,'Awards Summary'!$J:$J,"ITS")</f>
        <v>0</v>
      </c>
      <c r="DA34" s="55">
        <f>SUMIFS('Disbursements Summary'!$E:$E,'Disbursements Summary'!$C:$C,$C34,'Disbursements Summary'!$A:$A,"ITS")</f>
        <v>0</v>
      </c>
      <c r="DB34" s="55">
        <f>SUMIFS('Awards Summary'!$H:$H,'Awards Summary'!$B:$B,$C34,'Awards Summary'!$J:$J,"JAVITS")</f>
        <v>0</v>
      </c>
      <c r="DC34" s="55">
        <f>SUMIFS('Disbursements Summary'!$E:$E,'Disbursements Summary'!$C:$C,$C34,'Disbursements Summary'!$A:$A,"JAVITS")</f>
        <v>0</v>
      </c>
      <c r="DD34" s="55">
        <f>SUMIFS('Awards Summary'!$H:$H,'Awards Summary'!$B:$B,$C34,'Awards Summary'!$J:$J,"JCOPE")</f>
        <v>0</v>
      </c>
      <c r="DE34" s="55">
        <f>SUMIFS('Disbursements Summary'!$E:$E,'Disbursements Summary'!$C:$C,$C34,'Disbursements Summary'!$A:$A,"JCOPE")</f>
        <v>0</v>
      </c>
      <c r="DF34" s="55">
        <f>SUMIFS('Awards Summary'!$H:$H,'Awards Summary'!$B:$B,$C34,'Awards Summary'!$J:$J,"JUSTICE")</f>
        <v>0</v>
      </c>
      <c r="DG34" s="55">
        <f>SUMIFS('Disbursements Summary'!$E:$E,'Disbursements Summary'!$C:$C,$C34,'Disbursements Summary'!$A:$A,"JUSTICE")</f>
        <v>0</v>
      </c>
      <c r="DH34" s="55">
        <f>SUMIFS('Awards Summary'!$H:$H,'Awards Summary'!$B:$B,$C34,'Awards Summary'!$J:$J,"LCWSA")</f>
        <v>0</v>
      </c>
      <c r="DI34" s="55">
        <f>SUMIFS('Disbursements Summary'!$E:$E,'Disbursements Summary'!$C:$C,$C34,'Disbursements Summary'!$A:$A,"LCWSA")</f>
        <v>0</v>
      </c>
      <c r="DJ34" s="55">
        <f>SUMIFS('Awards Summary'!$H:$H,'Awards Summary'!$B:$B,$C34,'Awards Summary'!$J:$J,"LIPA")</f>
        <v>0</v>
      </c>
      <c r="DK34" s="55">
        <f>SUMIFS('Disbursements Summary'!$E:$E,'Disbursements Summary'!$C:$C,$C34,'Disbursements Summary'!$A:$A,"LIPA")</f>
        <v>0</v>
      </c>
      <c r="DL34" s="55">
        <f>SUMIFS('Awards Summary'!$H:$H,'Awards Summary'!$B:$B,$C34,'Awards Summary'!$J:$J,"MTA")</f>
        <v>0</v>
      </c>
      <c r="DM34" s="55">
        <f>SUMIFS('Disbursements Summary'!$E:$E,'Disbursements Summary'!$C:$C,$C34,'Disbursements Summary'!$A:$A,"MTA")</f>
        <v>0</v>
      </c>
      <c r="DN34" s="55">
        <f>SUMIFS('Awards Summary'!$H:$H,'Awards Summary'!$B:$B,$C34,'Awards Summary'!$J:$J,"NIFA")</f>
        <v>0</v>
      </c>
      <c r="DO34" s="55">
        <f>SUMIFS('Disbursements Summary'!$E:$E,'Disbursements Summary'!$C:$C,$C34,'Disbursements Summary'!$A:$A,"NIFA")</f>
        <v>0</v>
      </c>
      <c r="DP34" s="55">
        <f>SUMIFS('Awards Summary'!$H:$H,'Awards Summary'!$B:$B,$C34,'Awards Summary'!$J:$J,"NHCC")</f>
        <v>0</v>
      </c>
      <c r="DQ34" s="55">
        <f>SUMIFS('Disbursements Summary'!$E:$E,'Disbursements Summary'!$C:$C,$C34,'Disbursements Summary'!$A:$A,"NHCC")</f>
        <v>0</v>
      </c>
      <c r="DR34" s="55">
        <f>SUMIFS('Awards Summary'!$H:$H,'Awards Summary'!$B:$B,$C34,'Awards Summary'!$J:$J,"NHT")</f>
        <v>0</v>
      </c>
      <c r="DS34" s="55">
        <f>SUMIFS('Disbursements Summary'!$E:$E,'Disbursements Summary'!$C:$C,$C34,'Disbursements Summary'!$A:$A,"NHT")</f>
        <v>0</v>
      </c>
      <c r="DT34" s="55">
        <f>SUMIFS('Awards Summary'!$H:$H,'Awards Summary'!$B:$B,$C34,'Awards Summary'!$J:$J,"NYPA")</f>
        <v>0</v>
      </c>
      <c r="DU34" s="55">
        <f>SUMIFS('Disbursements Summary'!$E:$E,'Disbursements Summary'!$C:$C,$C34,'Disbursements Summary'!$A:$A,"NYPA")</f>
        <v>0</v>
      </c>
      <c r="DV34" s="55">
        <f>SUMIFS('Awards Summary'!$H:$H,'Awards Summary'!$B:$B,$C34,'Awards Summary'!$J:$J,"NYSBA")</f>
        <v>0</v>
      </c>
      <c r="DW34" s="55">
        <f>SUMIFS('Disbursements Summary'!$E:$E,'Disbursements Summary'!$C:$C,$C34,'Disbursements Summary'!$A:$A,"NYSBA")</f>
        <v>0</v>
      </c>
      <c r="DX34" s="55">
        <f>SUMIFS('Awards Summary'!$H:$H,'Awards Summary'!$B:$B,$C34,'Awards Summary'!$J:$J,"NYSERDA")</f>
        <v>0</v>
      </c>
      <c r="DY34" s="55">
        <f>SUMIFS('Disbursements Summary'!$E:$E,'Disbursements Summary'!$C:$C,$C34,'Disbursements Summary'!$A:$A,"NYSERDA")</f>
        <v>0</v>
      </c>
      <c r="DZ34" s="55">
        <f>SUMIFS('Awards Summary'!$H:$H,'Awards Summary'!$B:$B,$C34,'Awards Summary'!$J:$J,"DHCR")</f>
        <v>0</v>
      </c>
      <c r="EA34" s="55">
        <f>SUMIFS('Disbursements Summary'!$E:$E,'Disbursements Summary'!$C:$C,$C34,'Disbursements Summary'!$A:$A,"DHCR")</f>
        <v>0</v>
      </c>
      <c r="EB34" s="55">
        <f>SUMIFS('Awards Summary'!$H:$H,'Awards Summary'!$B:$B,$C34,'Awards Summary'!$J:$J,"HFA")</f>
        <v>0</v>
      </c>
      <c r="EC34" s="55">
        <f>SUMIFS('Disbursements Summary'!$E:$E,'Disbursements Summary'!$C:$C,$C34,'Disbursements Summary'!$A:$A,"HFA")</f>
        <v>0</v>
      </c>
      <c r="ED34" s="55">
        <f>SUMIFS('Awards Summary'!$H:$H,'Awards Summary'!$B:$B,$C34,'Awards Summary'!$J:$J,"NYSIF")</f>
        <v>0</v>
      </c>
      <c r="EE34" s="55">
        <f>SUMIFS('Disbursements Summary'!$E:$E,'Disbursements Summary'!$C:$C,$C34,'Disbursements Summary'!$A:$A,"NYSIF")</f>
        <v>0</v>
      </c>
      <c r="EF34" s="55">
        <f>SUMIFS('Awards Summary'!$H:$H,'Awards Summary'!$B:$B,$C34,'Awards Summary'!$J:$J,"NYBREDS")</f>
        <v>0</v>
      </c>
      <c r="EG34" s="55">
        <f>SUMIFS('Disbursements Summary'!$E:$E,'Disbursements Summary'!$C:$C,$C34,'Disbursements Summary'!$A:$A,"NYBREDS")</f>
        <v>0</v>
      </c>
      <c r="EH34" s="55">
        <f>SUMIFS('Awards Summary'!$H:$H,'Awards Summary'!$B:$B,$C34,'Awards Summary'!$J:$J,"NYSTA")</f>
        <v>0</v>
      </c>
      <c r="EI34" s="55">
        <f>SUMIFS('Disbursements Summary'!$E:$E,'Disbursements Summary'!$C:$C,$C34,'Disbursements Summary'!$A:$A,"NYSTA")</f>
        <v>0</v>
      </c>
      <c r="EJ34" s="55">
        <f>SUMIFS('Awards Summary'!$H:$H,'Awards Summary'!$B:$B,$C34,'Awards Summary'!$J:$J,"NFWB")</f>
        <v>0</v>
      </c>
      <c r="EK34" s="55">
        <f>SUMIFS('Disbursements Summary'!$E:$E,'Disbursements Summary'!$C:$C,$C34,'Disbursements Summary'!$A:$A,"NFWB")</f>
        <v>0</v>
      </c>
      <c r="EL34" s="55">
        <f>SUMIFS('Awards Summary'!$H:$H,'Awards Summary'!$B:$B,$C34,'Awards Summary'!$J:$J,"NFTA")</f>
        <v>0</v>
      </c>
      <c r="EM34" s="55">
        <f>SUMIFS('Disbursements Summary'!$E:$E,'Disbursements Summary'!$C:$C,$C34,'Disbursements Summary'!$A:$A,"NFTA")</f>
        <v>0</v>
      </c>
      <c r="EN34" s="55">
        <f>SUMIFS('Awards Summary'!$H:$H,'Awards Summary'!$B:$B,$C34,'Awards Summary'!$J:$J,"OPWDD")</f>
        <v>0</v>
      </c>
      <c r="EO34" s="55">
        <f>SUMIFS('Disbursements Summary'!$E:$E,'Disbursements Summary'!$C:$C,$C34,'Disbursements Summary'!$A:$A,"OPWDD")</f>
        <v>0</v>
      </c>
      <c r="EP34" s="55">
        <f>SUMIFS('Awards Summary'!$H:$H,'Awards Summary'!$B:$B,$C34,'Awards Summary'!$J:$J,"AGING")</f>
        <v>0</v>
      </c>
      <c r="EQ34" s="55">
        <f>SUMIFS('Disbursements Summary'!$E:$E,'Disbursements Summary'!$C:$C,$C34,'Disbursements Summary'!$A:$A,"AGING")</f>
        <v>0</v>
      </c>
      <c r="ER34" s="55">
        <f>SUMIFS('Awards Summary'!$H:$H,'Awards Summary'!$B:$B,$C34,'Awards Summary'!$J:$J,"OPDV")</f>
        <v>0</v>
      </c>
      <c r="ES34" s="55">
        <f>SUMIFS('Disbursements Summary'!$E:$E,'Disbursements Summary'!$C:$C,$C34,'Disbursements Summary'!$A:$A,"OPDV")</f>
        <v>0</v>
      </c>
      <c r="ET34" s="55">
        <f>SUMIFS('Awards Summary'!$H:$H,'Awards Summary'!$B:$B,$C34,'Awards Summary'!$J:$J,"OVS")</f>
        <v>0</v>
      </c>
      <c r="EU34" s="55">
        <f>SUMIFS('Disbursements Summary'!$E:$E,'Disbursements Summary'!$C:$C,$C34,'Disbursements Summary'!$A:$A,"OVS")</f>
        <v>0</v>
      </c>
      <c r="EV34" s="55">
        <f>SUMIFS('Awards Summary'!$H:$H,'Awards Summary'!$B:$B,$C34,'Awards Summary'!$J:$J,"OASAS")</f>
        <v>0</v>
      </c>
      <c r="EW34" s="55">
        <f>SUMIFS('Disbursements Summary'!$E:$E,'Disbursements Summary'!$C:$C,$C34,'Disbursements Summary'!$A:$A,"OASAS")</f>
        <v>0</v>
      </c>
      <c r="EX34" s="55">
        <f>SUMIFS('Awards Summary'!$H:$H,'Awards Summary'!$B:$B,$C34,'Awards Summary'!$J:$J,"OCFS")</f>
        <v>0</v>
      </c>
      <c r="EY34" s="55">
        <f>SUMIFS('Disbursements Summary'!$E:$E,'Disbursements Summary'!$C:$C,$C34,'Disbursements Summary'!$A:$A,"OCFS")</f>
        <v>0</v>
      </c>
      <c r="EZ34" s="55">
        <f>SUMIFS('Awards Summary'!$H:$H,'Awards Summary'!$B:$B,$C34,'Awards Summary'!$J:$J,"OGS")</f>
        <v>0</v>
      </c>
      <c r="FA34" s="55">
        <f>SUMIFS('Disbursements Summary'!$E:$E,'Disbursements Summary'!$C:$C,$C34,'Disbursements Summary'!$A:$A,"OGS")</f>
        <v>0</v>
      </c>
      <c r="FB34" s="55">
        <f>SUMIFS('Awards Summary'!$H:$H,'Awards Summary'!$B:$B,$C34,'Awards Summary'!$J:$J,"OMH")</f>
        <v>0</v>
      </c>
      <c r="FC34" s="55">
        <f>SUMIFS('Disbursements Summary'!$E:$E,'Disbursements Summary'!$C:$C,$C34,'Disbursements Summary'!$A:$A,"OMH")</f>
        <v>0</v>
      </c>
      <c r="FD34" s="55">
        <f>SUMIFS('Awards Summary'!$H:$H,'Awards Summary'!$B:$B,$C34,'Awards Summary'!$J:$J,"PARKS")</f>
        <v>0</v>
      </c>
      <c r="FE34" s="55">
        <f>SUMIFS('Disbursements Summary'!$E:$E,'Disbursements Summary'!$C:$C,$C34,'Disbursements Summary'!$A:$A,"PARKS")</f>
        <v>0</v>
      </c>
      <c r="FF34" s="55">
        <f>SUMIFS('Awards Summary'!$H:$H,'Awards Summary'!$B:$B,$C34,'Awards Summary'!$J:$J,"OTDA")</f>
        <v>0</v>
      </c>
      <c r="FG34" s="55">
        <f>SUMIFS('Disbursements Summary'!$E:$E,'Disbursements Summary'!$C:$C,$C34,'Disbursements Summary'!$A:$A,"OTDA")</f>
        <v>0</v>
      </c>
      <c r="FH34" s="55">
        <f>SUMIFS('Awards Summary'!$H:$H,'Awards Summary'!$B:$B,$C34,'Awards Summary'!$J:$J,"OIG")</f>
        <v>0</v>
      </c>
      <c r="FI34" s="55">
        <f>SUMIFS('Disbursements Summary'!$E:$E,'Disbursements Summary'!$C:$C,$C34,'Disbursements Summary'!$A:$A,"OIG")</f>
        <v>0</v>
      </c>
      <c r="FJ34" s="55">
        <f>SUMIFS('Awards Summary'!$H:$H,'Awards Summary'!$B:$B,$C34,'Awards Summary'!$J:$J,"OMIG")</f>
        <v>0</v>
      </c>
      <c r="FK34" s="55">
        <f>SUMIFS('Disbursements Summary'!$E:$E,'Disbursements Summary'!$C:$C,$C34,'Disbursements Summary'!$A:$A,"OMIG")</f>
        <v>0</v>
      </c>
      <c r="FL34" s="55">
        <f>SUMIFS('Awards Summary'!$H:$H,'Awards Summary'!$B:$B,$C34,'Awards Summary'!$J:$J,"OSC")</f>
        <v>0</v>
      </c>
      <c r="FM34" s="55">
        <f>SUMIFS('Disbursements Summary'!$E:$E,'Disbursements Summary'!$C:$C,$C34,'Disbursements Summary'!$A:$A,"OSC")</f>
        <v>0</v>
      </c>
      <c r="FN34" s="55">
        <f>SUMIFS('Awards Summary'!$H:$H,'Awards Summary'!$B:$B,$C34,'Awards Summary'!$J:$J,"OWIG")</f>
        <v>0</v>
      </c>
      <c r="FO34" s="55">
        <f>SUMIFS('Disbursements Summary'!$E:$E,'Disbursements Summary'!$C:$C,$C34,'Disbursements Summary'!$A:$A,"OWIG")</f>
        <v>0</v>
      </c>
      <c r="FP34" s="55">
        <f>SUMIFS('Awards Summary'!$H:$H,'Awards Summary'!$B:$B,$C34,'Awards Summary'!$J:$J,"OGDEN")</f>
        <v>0</v>
      </c>
      <c r="FQ34" s="55">
        <f>SUMIFS('Disbursements Summary'!$E:$E,'Disbursements Summary'!$C:$C,$C34,'Disbursements Summary'!$A:$A,"OGDEN")</f>
        <v>0</v>
      </c>
      <c r="FR34" s="55">
        <f>SUMIFS('Awards Summary'!$H:$H,'Awards Summary'!$B:$B,$C34,'Awards Summary'!$J:$J,"ORDA")</f>
        <v>0</v>
      </c>
      <c r="FS34" s="55">
        <f>SUMIFS('Disbursements Summary'!$E:$E,'Disbursements Summary'!$C:$C,$C34,'Disbursements Summary'!$A:$A,"ORDA")</f>
        <v>0</v>
      </c>
      <c r="FT34" s="55">
        <f>SUMIFS('Awards Summary'!$H:$H,'Awards Summary'!$B:$B,$C34,'Awards Summary'!$J:$J,"OSWEGO")</f>
        <v>0</v>
      </c>
      <c r="FU34" s="55">
        <f>SUMIFS('Disbursements Summary'!$E:$E,'Disbursements Summary'!$C:$C,$C34,'Disbursements Summary'!$A:$A,"OSWEGO")</f>
        <v>0</v>
      </c>
      <c r="FV34" s="55">
        <f>SUMIFS('Awards Summary'!$H:$H,'Awards Summary'!$B:$B,$C34,'Awards Summary'!$J:$J,"PERB")</f>
        <v>0</v>
      </c>
      <c r="FW34" s="55">
        <f>SUMIFS('Disbursements Summary'!$E:$E,'Disbursements Summary'!$C:$C,$C34,'Disbursements Summary'!$A:$A,"PERB")</f>
        <v>0</v>
      </c>
      <c r="FX34" s="55">
        <f>SUMIFS('Awards Summary'!$H:$H,'Awards Summary'!$B:$B,$C34,'Awards Summary'!$J:$J,"RGRTA")</f>
        <v>0</v>
      </c>
      <c r="FY34" s="55">
        <f>SUMIFS('Disbursements Summary'!$E:$E,'Disbursements Summary'!$C:$C,$C34,'Disbursements Summary'!$A:$A,"RGRTA")</f>
        <v>0</v>
      </c>
      <c r="FZ34" s="55">
        <f>SUMIFS('Awards Summary'!$H:$H,'Awards Summary'!$B:$B,$C34,'Awards Summary'!$J:$J,"RIOC")</f>
        <v>0</v>
      </c>
      <c r="GA34" s="55">
        <f>SUMIFS('Disbursements Summary'!$E:$E,'Disbursements Summary'!$C:$C,$C34,'Disbursements Summary'!$A:$A,"RIOC")</f>
        <v>0</v>
      </c>
      <c r="GB34" s="55">
        <f>SUMIFS('Awards Summary'!$H:$H,'Awards Summary'!$B:$B,$C34,'Awards Summary'!$J:$J,"RPCI")</f>
        <v>0</v>
      </c>
      <c r="GC34" s="55">
        <f>SUMIFS('Disbursements Summary'!$E:$E,'Disbursements Summary'!$C:$C,$C34,'Disbursements Summary'!$A:$A,"RPCI")</f>
        <v>0</v>
      </c>
      <c r="GD34" s="55">
        <f>SUMIFS('Awards Summary'!$H:$H,'Awards Summary'!$B:$B,$C34,'Awards Summary'!$J:$J,"SMDA")</f>
        <v>0</v>
      </c>
      <c r="GE34" s="55">
        <f>SUMIFS('Disbursements Summary'!$E:$E,'Disbursements Summary'!$C:$C,$C34,'Disbursements Summary'!$A:$A,"SMDA")</f>
        <v>0</v>
      </c>
      <c r="GF34" s="55">
        <f>SUMIFS('Awards Summary'!$H:$H,'Awards Summary'!$B:$B,$C34,'Awards Summary'!$J:$J,"SCOC")</f>
        <v>0</v>
      </c>
      <c r="GG34" s="55">
        <f>SUMIFS('Disbursements Summary'!$E:$E,'Disbursements Summary'!$C:$C,$C34,'Disbursements Summary'!$A:$A,"SCOC")</f>
        <v>0</v>
      </c>
      <c r="GH34" s="55">
        <f>SUMIFS('Awards Summary'!$H:$H,'Awards Summary'!$B:$B,$C34,'Awards Summary'!$J:$J,"SUCF")</f>
        <v>0</v>
      </c>
      <c r="GI34" s="55">
        <f>SUMIFS('Disbursements Summary'!$E:$E,'Disbursements Summary'!$C:$C,$C34,'Disbursements Summary'!$A:$A,"SUCF")</f>
        <v>0</v>
      </c>
      <c r="GJ34" s="55">
        <f>SUMIFS('Awards Summary'!$H:$H,'Awards Summary'!$B:$B,$C34,'Awards Summary'!$J:$J,"SUNY")</f>
        <v>0</v>
      </c>
      <c r="GK34" s="55">
        <f>SUMIFS('Disbursements Summary'!$E:$E,'Disbursements Summary'!$C:$C,$C34,'Disbursements Summary'!$A:$A,"SUNY")</f>
        <v>0</v>
      </c>
      <c r="GL34" s="55">
        <f>SUMIFS('Awards Summary'!$H:$H,'Awards Summary'!$B:$B,$C34,'Awards Summary'!$J:$J,"SRAA")</f>
        <v>0</v>
      </c>
      <c r="GM34" s="55">
        <f>SUMIFS('Disbursements Summary'!$E:$E,'Disbursements Summary'!$C:$C,$C34,'Disbursements Summary'!$A:$A,"SRAA")</f>
        <v>0</v>
      </c>
      <c r="GN34" s="55">
        <f>SUMIFS('Awards Summary'!$H:$H,'Awards Summary'!$B:$B,$C34,'Awards Summary'!$J:$J,"UNDC")</f>
        <v>0</v>
      </c>
      <c r="GO34" s="55">
        <f>SUMIFS('Disbursements Summary'!$E:$E,'Disbursements Summary'!$C:$C,$C34,'Disbursements Summary'!$A:$A,"UNDC")</f>
        <v>0</v>
      </c>
      <c r="GP34" s="55">
        <f>SUMIFS('Awards Summary'!$H:$H,'Awards Summary'!$B:$B,$C34,'Awards Summary'!$J:$J,"MVWA")</f>
        <v>0</v>
      </c>
      <c r="GQ34" s="55">
        <f>SUMIFS('Disbursements Summary'!$E:$E,'Disbursements Summary'!$C:$C,$C34,'Disbursements Summary'!$A:$A,"MVWA")</f>
        <v>0</v>
      </c>
      <c r="GR34" s="55">
        <f>SUMIFS('Awards Summary'!$H:$H,'Awards Summary'!$B:$B,$C34,'Awards Summary'!$J:$J,"WMC")</f>
        <v>0</v>
      </c>
      <c r="GS34" s="55">
        <f>SUMIFS('Disbursements Summary'!$E:$E,'Disbursements Summary'!$C:$C,$C34,'Disbursements Summary'!$A:$A,"WMC")</f>
        <v>0</v>
      </c>
      <c r="GT34" s="55">
        <f>SUMIFS('Awards Summary'!$H:$H,'Awards Summary'!$B:$B,$C34,'Awards Summary'!$J:$J,"WCB")</f>
        <v>0</v>
      </c>
      <c r="GU34" s="55">
        <f>SUMIFS('Disbursements Summary'!$E:$E,'Disbursements Summary'!$C:$C,$C34,'Disbursements Summary'!$A:$A,"WCB")</f>
        <v>0</v>
      </c>
      <c r="GV34" s="32">
        <f t="shared" si="5"/>
        <v>0</v>
      </c>
      <c r="GW34" s="32">
        <f t="shared" si="6"/>
        <v>0</v>
      </c>
      <c r="GX34" s="30" t="b">
        <f t="shared" si="7"/>
        <v>1</v>
      </c>
      <c r="GY34" s="30" t="b">
        <f t="shared" si="8"/>
        <v>1</v>
      </c>
    </row>
    <row r="35" spans="1:207" s="30" customFormat="1">
      <c r="A35" s="22" t="str">
        <f t="shared" si="0"/>
        <v/>
      </c>
      <c r="B35" s="40" t="s">
        <v>32</v>
      </c>
      <c r="C35" s="16">
        <v>141060</v>
      </c>
      <c r="D35" s="26">
        <f>COUNTIF('Awards Summary'!B:B,"141060")</f>
        <v>0</v>
      </c>
      <c r="E35" s="45">
        <f>SUMIFS('Awards Summary'!H:H,'Awards Summary'!B:B,"141060")</f>
        <v>0</v>
      </c>
      <c r="F35" s="46">
        <f>SUMIFS('Disbursements Summary'!E:E,'Disbursements Summary'!C:C, "141060")</f>
        <v>0</v>
      </c>
      <c r="H35" s="55">
        <f>SUMIFS('Awards Summary'!$H:$H,'Awards Summary'!$B:$B,$C35,'Awards Summary'!$J:$J,"APA")</f>
        <v>0</v>
      </c>
      <c r="I35" s="55">
        <f>SUMIFS('Disbursements Summary'!$E:$E,'Disbursements Summary'!$C:$C,$C35,'Disbursements Summary'!$A:$A,"APA")</f>
        <v>0</v>
      </c>
      <c r="J35" s="55">
        <f>SUMIFS('Awards Summary'!$H:$H,'Awards Summary'!$B:$B,$C35,'Awards Summary'!$J:$J,"Ag&amp;Horse")</f>
        <v>0</v>
      </c>
      <c r="K35" s="55">
        <f>SUMIFS('Disbursements Summary'!$E:$E,'Disbursements Summary'!$C:$C,$C35,'Disbursements Summary'!$A:$A,"Ag&amp;Horse")</f>
        <v>0</v>
      </c>
      <c r="L35" s="55">
        <f>SUMIFS('Awards Summary'!$H:$H,'Awards Summary'!$B:$B,$C35,'Awards Summary'!$J:$J,"ACAA")</f>
        <v>0</v>
      </c>
      <c r="M35" s="55">
        <f>SUMIFS('Disbursements Summary'!$E:$E,'Disbursements Summary'!$C:$C,$C35,'Disbursements Summary'!$A:$A,"ACAA")</f>
        <v>0</v>
      </c>
      <c r="N35" s="55">
        <f>SUMIFS('Awards Summary'!$H:$H,'Awards Summary'!$B:$B,$C35,'Awards Summary'!$J:$J,"PortAlbany")</f>
        <v>0</v>
      </c>
      <c r="O35" s="55">
        <f>SUMIFS('Disbursements Summary'!$E:$E,'Disbursements Summary'!$C:$C,$C35,'Disbursements Summary'!$A:$A,"PortAlbany")</f>
        <v>0</v>
      </c>
      <c r="P35" s="55">
        <f>SUMIFS('Awards Summary'!$H:$H,'Awards Summary'!$B:$B,$C35,'Awards Summary'!$J:$J,"SLA")</f>
        <v>0</v>
      </c>
      <c r="Q35" s="55">
        <f>SUMIFS('Disbursements Summary'!$E:$E,'Disbursements Summary'!$C:$C,$C35,'Disbursements Summary'!$A:$A,"SLA")</f>
        <v>0</v>
      </c>
      <c r="R35" s="55">
        <f>SUMIFS('Awards Summary'!$H:$H,'Awards Summary'!$B:$B,$C35,'Awards Summary'!$J:$J,"BPCA")</f>
        <v>0</v>
      </c>
      <c r="S35" s="55">
        <f>SUMIFS('Disbursements Summary'!$E:$E,'Disbursements Summary'!$C:$C,$C35,'Disbursements Summary'!$A:$A,"BPCA")</f>
        <v>0</v>
      </c>
      <c r="T35" s="55">
        <f>SUMIFS('Awards Summary'!$H:$H,'Awards Summary'!$B:$B,$C35,'Awards Summary'!$J:$J,"ELECTIONS")</f>
        <v>0</v>
      </c>
      <c r="U35" s="55">
        <f>SUMIFS('Disbursements Summary'!$E:$E,'Disbursements Summary'!$C:$C,$C35,'Disbursements Summary'!$A:$A,"ELECTIONS")</f>
        <v>0</v>
      </c>
      <c r="V35" s="55">
        <f>SUMIFS('Awards Summary'!$H:$H,'Awards Summary'!$B:$B,$C35,'Awards Summary'!$J:$J,"BFSA")</f>
        <v>0</v>
      </c>
      <c r="W35" s="55">
        <f>SUMIFS('Disbursements Summary'!$E:$E,'Disbursements Summary'!$C:$C,$C35,'Disbursements Summary'!$A:$A,"BFSA")</f>
        <v>0</v>
      </c>
      <c r="X35" s="55">
        <f>SUMIFS('Awards Summary'!$H:$H,'Awards Summary'!$B:$B,$C35,'Awards Summary'!$J:$J,"CDTA")</f>
        <v>0</v>
      </c>
      <c r="Y35" s="55">
        <f>SUMIFS('Disbursements Summary'!$E:$E,'Disbursements Summary'!$C:$C,$C35,'Disbursements Summary'!$A:$A,"CDTA")</f>
        <v>0</v>
      </c>
      <c r="Z35" s="55">
        <f>SUMIFS('Awards Summary'!$H:$H,'Awards Summary'!$B:$B,$C35,'Awards Summary'!$J:$J,"CCWSA")</f>
        <v>0</v>
      </c>
      <c r="AA35" s="55">
        <f>SUMIFS('Disbursements Summary'!$E:$E,'Disbursements Summary'!$C:$C,$C35,'Disbursements Summary'!$A:$A,"CCWSA")</f>
        <v>0</v>
      </c>
      <c r="AB35" s="55">
        <f>SUMIFS('Awards Summary'!$H:$H,'Awards Summary'!$B:$B,$C35,'Awards Summary'!$J:$J,"CNYRTA")</f>
        <v>0</v>
      </c>
      <c r="AC35" s="55">
        <f>SUMIFS('Disbursements Summary'!$E:$E,'Disbursements Summary'!$C:$C,$C35,'Disbursements Summary'!$A:$A,"CNYRTA")</f>
        <v>0</v>
      </c>
      <c r="AD35" s="55">
        <f>SUMIFS('Awards Summary'!$H:$H,'Awards Summary'!$B:$B,$C35,'Awards Summary'!$J:$J,"CUCF")</f>
        <v>0</v>
      </c>
      <c r="AE35" s="55">
        <f>SUMIFS('Disbursements Summary'!$E:$E,'Disbursements Summary'!$C:$C,$C35,'Disbursements Summary'!$A:$A,"CUCF")</f>
        <v>0</v>
      </c>
      <c r="AF35" s="55">
        <f>SUMIFS('Awards Summary'!$H:$H,'Awards Summary'!$B:$B,$C35,'Awards Summary'!$J:$J,"CUNY")</f>
        <v>0</v>
      </c>
      <c r="AG35" s="55">
        <f>SUMIFS('Disbursements Summary'!$E:$E,'Disbursements Summary'!$C:$C,$C35,'Disbursements Summary'!$A:$A,"CUNY")</f>
        <v>0</v>
      </c>
      <c r="AH35" s="55">
        <f>SUMIFS('Awards Summary'!$H:$H,'Awards Summary'!$B:$B,$C35,'Awards Summary'!$J:$J,"ARTS")</f>
        <v>0</v>
      </c>
      <c r="AI35" s="55">
        <f>SUMIFS('Disbursements Summary'!$E:$E,'Disbursements Summary'!$C:$C,$C35,'Disbursements Summary'!$A:$A,"ARTS")</f>
        <v>0</v>
      </c>
      <c r="AJ35" s="55">
        <f>SUMIFS('Awards Summary'!$H:$H,'Awards Summary'!$B:$B,$C35,'Awards Summary'!$J:$J,"AG&amp;MKTS")</f>
        <v>0</v>
      </c>
      <c r="AK35" s="55">
        <f>SUMIFS('Disbursements Summary'!$E:$E,'Disbursements Summary'!$C:$C,$C35,'Disbursements Summary'!$A:$A,"AG&amp;MKTS")</f>
        <v>0</v>
      </c>
      <c r="AL35" s="55">
        <f>SUMIFS('Awards Summary'!$H:$H,'Awards Summary'!$B:$B,$C35,'Awards Summary'!$J:$J,"CS")</f>
        <v>0</v>
      </c>
      <c r="AM35" s="55">
        <f>SUMIFS('Disbursements Summary'!$E:$E,'Disbursements Summary'!$C:$C,$C35,'Disbursements Summary'!$A:$A,"CS")</f>
        <v>0</v>
      </c>
      <c r="AN35" s="55">
        <f>SUMIFS('Awards Summary'!$H:$H,'Awards Summary'!$B:$B,$C35,'Awards Summary'!$J:$J,"DOCCS")</f>
        <v>0</v>
      </c>
      <c r="AO35" s="55">
        <f>SUMIFS('Disbursements Summary'!$E:$E,'Disbursements Summary'!$C:$C,$C35,'Disbursements Summary'!$A:$A,"DOCCS")</f>
        <v>0</v>
      </c>
      <c r="AP35" s="55">
        <f>SUMIFS('Awards Summary'!$H:$H,'Awards Summary'!$B:$B,$C35,'Awards Summary'!$J:$J,"DED")</f>
        <v>0</v>
      </c>
      <c r="AQ35" s="55">
        <f>SUMIFS('Disbursements Summary'!$E:$E,'Disbursements Summary'!$C:$C,$C35,'Disbursements Summary'!$A:$A,"DED")</f>
        <v>0</v>
      </c>
      <c r="AR35" s="55">
        <f>SUMIFS('Awards Summary'!$H:$H,'Awards Summary'!$B:$B,$C35,'Awards Summary'!$J:$J,"DEC")</f>
        <v>0</v>
      </c>
      <c r="AS35" s="55">
        <f>SUMIFS('Disbursements Summary'!$E:$E,'Disbursements Summary'!$C:$C,$C35,'Disbursements Summary'!$A:$A,"DEC")</f>
        <v>0</v>
      </c>
      <c r="AT35" s="55">
        <f>SUMIFS('Awards Summary'!$H:$H,'Awards Summary'!$B:$B,$C35,'Awards Summary'!$J:$J,"DFS")</f>
        <v>0</v>
      </c>
      <c r="AU35" s="55">
        <f>SUMIFS('Disbursements Summary'!$E:$E,'Disbursements Summary'!$C:$C,$C35,'Disbursements Summary'!$A:$A,"DFS")</f>
        <v>0</v>
      </c>
      <c r="AV35" s="55">
        <f>SUMIFS('Awards Summary'!$H:$H,'Awards Summary'!$B:$B,$C35,'Awards Summary'!$J:$J,"DOH")</f>
        <v>0</v>
      </c>
      <c r="AW35" s="55">
        <f>SUMIFS('Disbursements Summary'!$E:$E,'Disbursements Summary'!$C:$C,$C35,'Disbursements Summary'!$A:$A,"DOH")</f>
        <v>0</v>
      </c>
      <c r="AX35" s="55">
        <f>SUMIFS('Awards Summary'!$H:$H,'Awards Summary'!$B:$B,$C35,'Awards Summary'!$J:$J,"DOL")</f>
        <v>0</v>
      </c>
      <c r="AY35" s="55">
        <f>SUMIFS('Disbursements Summary'!$E:$E,'Disbursements Summary'!$C:$C,$C35,'Disbursements Summary'!$A:$A,"DOL")</f>
        <v>0</v>
      </c>
      <c r="AZ35" s="55">
        <f>SUMIFS('Awards Summary'!$H:$H,'Awards Summary'!$B:$B,$C35,'Awards Summary'!$J:$J,"DMV")</f>
        <v>0</v>
      </c>
      <c r="BA35" s="55">
        <f>SUMIFS('Disbursements Summary'!$E:$E,'Disbursements Summary'!$C:$C,$C35,'Disbursements Summary'!$A:$A,"DMV")</f>
        <v>0</v>
      </c>
      <c r="BB35" s="55">
        <f>SUMIFS('Awards Summary'!$H:$H,'Awards Summary'!$B:$B,$C35,'Awards Summary'!$J:$J,"DPS")</f>
        <v>0</v>
      </c>
      <c r="BC35" s="55">
        <f>SUMIFS('Disbursements Summary'!$E:$E,'Disbursements Summary'!$C:$C,$C35,'Disbursements Summary'!$A:$A,"DPS")</f>
        <v>0</v>
      </c>
      <c r="BD35" s="55">
        <f>SUMIFS('Awards Summary'!$H:$H,'Awards Summary'!$B:$B,$C35,'Awards Summary'!$J:$J,"DOS")</f>
        <v>0</v>
      </c>
      <c r="BE35" s="55">
        <f>SUMIFS('Disbursements Summary'!$E:$E,'Disbursements Summary'!$C:$C,$C35,'Disbursements Summary'!$A:$A,"DOS")</f>
        <v>0</v>
      </c>
      <c r="BF35" s="55">
        <f>SUMIFS('Awards Summary'!$H:$H,'Awards Summary'!$B:$B,$C35,'Awards Summary'!$J:$J,"TAX")</f>
        <v>0</v>
      </c>
      <c r="BG35" s="55">
        <f>SUMIFS('Disbursements Summary'!$E:$E,'Disbursements Summary'!$C:$C,$C35,'Disbursements Summary'!$A:$A,"TAX")</f>
        <v>0</v>
      </c>
      <c r="BH35" s="55">
        <f>SUMIFS('Awards Summary'!$H:$H,'Awards Summary'!$B:$B,$C35,'Awards Summary'!$J:$J,"DOT")</f>
        <v>0</v>
      </c>
      <c r="BI35" s="55">
        <f>SUMIFS('Disbursements Summary'!$E:$E,'Disbursements Summary'!$C:$C,$C35,'Disbursements Summary'!$A:$A,"DOT")</f>
        <v>0</v>
      </c>
      <c r="BJ35" s="55">
        <f>SUMIFS('Awards Summary'!$H:$H,'Awards Summary'!$B:$B,$C35,'Awards Summary'!$J:$J,"DANC")</f>
        <v>0</v>
      </c>
      <c r="BK35" s="55">
        <f>SUMIFS('Disbursements Summary'!$E:$E,'Disbursements Summary'!$C:$C,$C35,'Disbursements Summary'!$A:$A,"DANC")</f>
        <v>0</v>
      </c>
      <c r="BL35" s="55">
        <f>SUMIFS('Awards Summary'!$H:$H,'Awards Summary'!$B:$B,$C35,'Awards Summary'!$J:$J,"DOB")</f>
        <v>0</v>
      </c>
      <c r="BM35" s="55">
        <f>SUMIFS('Disbursements Summary'!$E:$E,'Disbursements Summary'!$C:$C,$C35,'Disbursements Summary'!$A:$A,"DOB")</f>
        <v>0</v>
      </c>
      <c r="BN35" s="55">
        <f>SUMIFS('Awards Summary'!$H:$H,'Awards Summary'!$B:$B,$C35,'Awards Summary'!$J:$J,"DCJS")</f>
        <v>0</v>
      </c>
      <c r="BO35" s="55">
        <f>SUMIFS('Disbursements Summary'!$E:$E,'Disbursements Summary'!$C:$C,$C35,'Disbursements Summary'!$A:$A,"DCJS")</f>
        <v>0</v>
      </c>
      <c r="BP35" s="55">
        <f>SUMIFS('Awards Summary'!$H:$H,'Awards Summary'!$B:$B,$C35,'Awards Summary'!$J:$J,"DHSES")</f>
        <v>0</v>
      </c>
      <c r="BQ35" s="55">
        <f>SUMIFS('Disbursements Summary'!$E:$E,'Disbursements Summary'!$C:$C,$C35,'Disbursements Summary'!$A:$A,"DHSES")</f>
        <v>0</v>
      </c>
      <c r="BR35" s="55">
        <f>SUMIFS('Awards Summary'!$H:$H,'Awards Summary'!$B:$B,$C35,'Awards Summary'!$J:$J,"DHR")</f>
        <v>0</v>
      </c>
      <c r="BS35" s="55">
        <f>SUMIFS('Disbursements Summary'!$E:$E,'Disbursements Summary'!$C:$C,$C35,'Disbursements Summary'!$A:$A,"DHR")</f>
        <v>0</v>
      </c>
      <c r="BT35" s="55">
        <f>SUMIFS('Awards Summary'!$H:$H,'Awards Summary'!$B:$B,$C35,'Awards Summary'!$J:$J,"DMNA")</f>
        <v>0</v>
      </c>
      <c r="BU35" s="55">
        <f>SUMIFS('Disbursements Summary'!$E:$E,'Disbursements Summary'!$C:$C,$C35,'Disbursements Summary'!$A:$A,"DMNA")</f>
        <v>0</v>
      </c>
      <c r="BV35" s="55">
        <f>SUMIFS('Awards Summary'!$H:$H,'Awards Summary'!$B:$B,$C35,'Awards Summary'!$J:$J,"TROOPERS")</f>
        <v>0</v>
      </c>
      <c r="BW35" s="55">
        <f>SUMIFS('Disbursements Summary'!$E:$E,'Disbursements Summary'!$C:$C,$C35,'Disbursements Summary'!$A:$A,"TROOPERS")</f>
        <v>0</v>
      </c>
      <c r="BX35" s="55">
        <f>SUMIFS('Awards Summary'!$H:$H,'Awards Summary'!$B:$B,$C35,'Awards Summary'!$J:$J,"DVA")</f>
        <v>0</v>
      </c>
      <c r="BY35" s="55">
        <f>SUMIFS('Disbursements Summary'!$E:$E,'Disbursements Summary'!$C:$C,$C35,'Disbursements Summary'!$A:$A,"DVA")</f>
        <v>0</v>
      </c>
      <c r="BZ35" s="55">
        <f>SUMIFS('Awards Summary'!$H:$H,'Awards Summary'!$B:$B,$C35,'Awards Summary'!$J:$J,"DASNY")</f>
        <v>0</v>
      </c>
      <c r="CA35" s="55">
        <f>SUMIFS('Disbursements Summary'!$E:$E,'Disbursements Summary'!$C:$C,$C35,'Disbursements Summary'!$A:$A,"DASNY")</f>
        <v>0</v>
      </c>
      <c r="CB35" s="55">
        <f>SUMIFS('Awards Summary'!$H:$H,'Awards Summary'!$B:$B,$C35,'Awards Summary'!$J:$J,"EGG")</f>
        <v>0</v>
      </c>
      <c r="CC35" s="55">
        <f>SUMIFS('Disbursements Summary'!$E:$E,'Disbursements Summary'!$C:$C,$C35,'Disbursements Summary'!$A:$A,"EGG")</f>
        <v>0</v>
      </c>
      <c r="CD35" s="55">
        <f>SUMIFS('Awards Summary'!$H:$H,'Awards Summary'!$B:$B,$C35,'Awards Summary'!$J:$J,"ESD")</f>
        <v>0</v>
      </c>
      <c r="CE35" s="55">
        <f>SUMIFS('Disbursements Summary'!$E:$E,'Disbursements Summary'!$C:$C,$C35,'Disbursements Summary'!$A:$A,"ESD")</f>
        <v>0</v>
      </c>
      <c r="CF35" s="55">
        <f>SUMIFS('Awards Summary'!$H:$H,'Awards Summary'!$B:$B,$C35,'Awards Summary'!$J:$J,"EFC")</f>
        <v>0</v>
      </c>
      <c r="CG35" s="55">
        <f>SUMIFS('Disbursements Summary'!$E:$E,'Disbursements Summary'!$C:$C,$C35,'Disbursements Summary'!$A:$A,"EFC")</f>
        <v>0</v>
      </c>
      <c r="CH35" s="55">
        <f>SUMIFS('Awards Summary'!$H:$H,'Awards Summary'!$B:$B,$C35,'Awards Summary'!$J:$J,"ECFSA")</f>
        <v>0</v>
      </c>
      <c r="CI35" s="55">
        <f>SUMIFS('Disbursements Summary'!$E:$E,'Disbursements Summary'!$C:$C,$C35,'Disbursements Summary'!$A:$A,"ECFSA")</f>
        <v>0</v>
      </c>
      <c r="CJ35" s="55">
        <f>SUMIFS('Awards Summary'!$H:$H,'Awards Summary'!$B:$B,$C35,'Awards Summary'!$J:$J,"ECMC")</f>
        <v>0</v>
      </c>
      <c r="CK35" s="55">
        <f>SUMIFS('Disbursements Summary'!$E:$E,'Disbursements Summary'!$C:$C,$C35,'Disbursements Summary'!$A:$A,"ECMC")</f>
        <v>0</v>
      </c>
      <c r="CL35" s="55">
        <f>SUMIFS('Awards Summary'!$H:$H,'Awards Summary'!$B:$B,$C35,'Awards Summary'!$J:$J,"CHAMBER")</f>
        <v>0</v>
      </c>
      <c r="CM35" s="55">
        <f>SUMIFS('Disbursements Summary'!$E:$E,'Disbursements Summary'!$C:$C,$C35,'Disbursements Summary'!$A:$A,"CHAMBER")</f>
        <v>0</v>
      </c>
      <c r="CN35" s="55">
        <f>SUMIFS('Awards Summary'!$H:$H,'Awards Summary'!$B:$B,$C35,'Awards Summary'!$J:$J,"GAMING")</f>
        <v>0</v>
      </c>
      <c r="CO35" s="55">
        <f>SUMIFS('Disbursements Summary'!$E:$E,'Disbursements Summary'!$C:$C,$C35,'Disbursements Summary'!$A:$A,"GAMING")</f>
        <v>0</v>
      </c>
      <c r="CP35" s="55">
        <f>SUMIFS('Awards Summary'!$H:$H,'Awards Summary'!$B:$B,$C35,'Awards Summary'!$J:$J,"GOER")</f>
        <v>0</v>
      </c>
      <c r="CQ35" s="55">
        <f>SUMIFS('Disbursements Summary'!$E:$E,'Disbursements Summary'!$C:$C,$C35,'Disbursements Summary'!$A:$A,"GOER")</f>
        <v>0</v>
      </c>
      <c r="CR35" s="55">
        <f>SUMIFS('Awards Summary'!$H:$H,'Awards Summary'!$B:$B,$C35,'Awards Summary'!$J:$J,"HESC")</f>
        <v>0</v>
      </c>
      <c r="CS35" s="55">
        <f>SUMIFS('Disbursements Summary'!$E:$E,'Disbursements Summary'!$C:$C,$C35,'Disbursements Summary'!$A:$A,"HESC")</f>
        <v>0</v>
      </c>
      <c r="CT35" s="55">
        <f>SUMIFS('Awards Summary'!$H:$H,'Awards Summary'!$B:$B,$C35,'Awards Summary'!$J:$J,"GOSR")</f>
        <v>0</v>
      </c>
      <c r="CU35" s="55">
        <f>SUMIFS('Disbursements Summary'!$E:$E,'Disbursements Summary'!$C:$C,$C35,'Disbursements Summary'!$A:$A,"GOSR")</f>
        <v>0</v>
      </c>
      <c r="CV35" s="55">
        <f>SUMIFS('Awards Summary'!$H:$H,'Awards Summary'!$B:$B,$C35,'Awards Summary'!$J:$J,"HRPT")</f>
        <v>0</v>
      </c>
      <c r="CW35" s="55">
        <f>SUMIFS('Disbursements Summary'!$E:$E,'Disbursements Summary'!$C:$C,$C35,'Disbursements Summary'!$A:$A,"HRPT")</f>
        <v>0</v>
      </c>
      <c r="CX35" s="55">
        <f>SUMIFS('Awards Summary'!$H:$H,'Awards Summary'!$B:$B,$C35,'Awards Summary'!$J:$J,"HRBRRD")</f>
        <v>0</v>
      </c>
      <c r="CY35" s="55">
        <f>SUMIFS('Disbursements Summary'!$E:$E,'Disbursements Summary'!$C:$C,$C35,'Disbursements Summary'!$A:$A,"HRBRRD")</f>
        <v>0</v>
      </c>
      <c r="CZ35" s="55">
        <f>SUMIFS('Awards Summary'!$H:$H,'Awards Summary'!$B:$B,$C35,'Awards Summary'!$J:$J,"ITS")</f>
        <v>0</v>
      </c>
      <c r="DA35" s="55">
        <f>SUMIFS('Disbursements Summary'!$E:$E,'Disbursements Summary'!$C:$C,$C35,'Disbursements Summary'!$A:$A,"ITS")</f>
        <v>0</v>
      </c>
      <c r="DB35" s="55">
        <f>SUMIFS('Awards Summary'!$H:$H,'Awards Summary'!$B:$B,$C35,'Awards Summary'!$J:$J,"JAVITS")</f>
        <v>0</v>
      </c>
      <c r="DC35" s="55">
        <f>SUMIFS('Disbursements Summary'!$E:$E,'Disbursements Summary'!$C:$C,$C35,'Disbursements Summary'!$A:$A,"JAVITS")</f>
        <v>0</v>
      </c>
      <c r="DD35" s="55">
        <f>SUMIFS('Awards Summary'!$H:$H,'Awards Summary'!$B:$B,$C35,'Awards Summary'!$J:$J,"JCOPE")</f>
        <v>0</v>
      </c>
      <c r="DE35" s="55">
        <f>SUMIFS('Disbursements Summary'!$E:$E,'Disbursements Summary'!$C:$C,$C35,'Disbursements Summary'!$A:$A,"JCOPE")</f>
        <v>0</v>
      </c>
      <c r="DF35" s="55">
        <f>SUMIFS('Awards Summary'!$H:$H,'Awards Summary'!$B:$B,$C35,'Awards Summary'!$J:$J,"JUSTICE")</f>
        <v>0</v>
      </c>
      <c r="DG35" s="55">
        <f>SUMIFS('Disbursements Summary'!$E:$E,'Disbursements Summary'!$C:$C,$C35,'Disbursements Summary'!$A:$A,"JUSTICE")</f>
        <v>0</v>
      </c>
      <c r="DH35" s="55">
        <f>SUMIFS('Awards Summary'!$H:$H,'Awards Summary'!$B:$B,$C35,'Awards Summary'!$J:$J,"LCWSA")</f>
        <v>0</v>
      </c>
      <c r="DI35" s="55">
        <f>SUMIFS('Disbursements Summary'!$E:$E,'Disbursements Summary'!$C:$C,$C35,'Disbursements Summary'!$A:$A,"LCWSA")</f>
        <v>0</v>
      </c>
      <c r="DJ35" s="55">
        <f>SUMIFS('Awards Summary'!$H:$H,'Awards Summary'!$B:$B,$C35,'Awards Summary'!$J:$J,"LIPA")</f>
        <v>0</v>
      </c>
      <c r="DK35" s="55">
        <f>SUMIFS('Disbursements Summary'!$E:$E,'Disbursements Summary'!$C:$C,$C35,'Disbursements Summary'!$A:$A,"LIPA")</f>
        <v>0</v>
      </c>
      <c r="DL35" s="55">
        <f>SUMIFS('Awards Summary'!$H:$H,'Awards Summary'!$B:$B,$C35,'Awards Summary'!$J:$J,"MTA")</f>
        <v>0</v>
      </c>
      <c r="DM35" s="55">
        <f>SUMIFS('Disbursements Summary'!$E:$E,'Disbursements Summary'!$C:$C,$C35,'Disbursements Summary'!$A:$A,"MTA")</f>
        <v>0</v>
      </c>
      <c r="DN35" s="55">
        <f>SUMIFS('Awards Summary'!$H:$H,'Awards Summary'!$B:$B,$C35,'Awards Summary'!$J:$J,"NIFA")</f>
        <v>0</v>
      </c>
      <c r="DO35" s="55">
        <f>SUMIFS('Disbursements Summary'!$E:$E,'Disbursements Summary'!$C:$C,$C35,'Disbursements Summary'!$A:$A,"NIFA")</f>
        <v>0</v>
      </c>
      <c r="DP35" s="55">
        <f>SUMIFS('Awards Summary'!$H:$H,'Awards Summary'!$B:$B,$C35,'Awards Summary'!$J:$J,"NHCC")</f>
        <v>0</v>
      </c>
      <c r="DQ35" s="55">
        <f>SUMIFS('Disbursements Summary'!$E:$E,'Disbursements Summary'!$C:$C,$C35,'Disbursements Summary'!$A:$A,"NHCC")</f>
        <v>0</v>
      </c>
      <c r="DR35" s="55">
        <f>SUMIFS('Awards Summary'!$H:$H,'Awards Summary'!$B:$B,$C35,'Awards Summary'!$J:$J,"NHT")</f>
        <v>0</v>
      </c>
      <c r="DS35" s="55">
        <f>SUMIFS('Disbursements Summary'!$E:$E,'Disbursements Summary'!$C:$C,$C35,'Disbursements Summary'!$A:$A,"NHT")</f>
        <v>0</v>
      </c>
      <c r="DT35" s="55">
        <f>SUMIFS('Awards Summary'!$H:$H,'Awards Summary'!$B:$B,$C35,'Awards Summary'!$J:$J,"NYPA")</f>
        <v>0</v>
      </c>
      <c r="DU35" s="55">
        <f>SUMIFS('Disbursements Summary'!$E:$E,'Disbursements Summary'!$C:$C,$C35,'Disbursements Summary'!$A:$A,"NYPA")</f>
        <v>0</v>
      </c>
      <c r="DV35" s="55">
        <f>SUMIFS('Awards Summary'!$H:$H,'Awards Summary'!$B:$B,$C35,'Awards Summary'!$J:$J,"NYSBA")</f>
        <v>0</v>
      </c>
      <c r="DW35" s="55">
        <f>SUMIFS('Disbursements Summary'!$E:$E,'Disbursements Summary'!$C:$C,$C35,'Disbursements Summary'!$A:$A,"NYSBA")</f>
        <v>0</v>
      </c>
      <c r="DX35" s="55">
        <f>SUMIFS('Awards Summary'!$H:$H,'Awards Summary'!$B:$B,$C35,'Awards Summary'!$J:$J,"NYSERDA")</f>
        <v>0</v>
      </c>
      <c r="DY35" s="55">
        <f>SUMIFS('Disbursements Summary'!$E:$E,'Disbursements Summary'!$C:$C,$C35,'Disbursements Summary'!$A:$A,"NYSERDA")</f>
        <v>0</v>
      </c>
      <c r="DZ35" s="55">
        <f>SUMIFS('Awards Summary'!$H:$H,'Awards Summary'!$B:$B,$C35,'Awards Summary'!$J:$J,"DHCR")</f>
        <v>0</v>
      </c>
      <c r="EA35" s="55">
        <f>SUMIFS('Disbursements Summary'!$E:$E,'Disbursements Summary'!$C:$C,$C35,'Disbursements Summary'!$A:$A,"DHCR")</f>
        <v>0</v>
      </c>
      <c r="EB35" s="55">
        <f>SUMIFS('Awards Summary'!$H:$H,'Awards Summary'!$B:$B,$C35,'Awards Summary'!$J:$J,"HFA")</f>
        <v>0</v>
      </c>
      <c r="EC35" s="55">
        <f>SUMIFS('Disbursements Summary'!$E:$E,'Disbursements Summary'!$C:$C,$C35,'Disbursements Summary'!$A:$A,"HFA")</f>
        <v>0</v>
      </c>
      <c r="ED35" s="55">
        <f>SUMIFS('Awards Summary'!$H:$H,'Awards Summary'!$B:$B,$C35,'Awards Summary'!$J:$J,"NYSIF")</f>
        <v>0</v>
      </c>
      <c r="EE35" s="55">
        <f>SUMIFS('Disbursements Summary'!$E:$E,'Disbursements Summary'!$C:$C,$C35,'Disbursements Summary'!$A:$A,"NYSIF")</f>
        <v>0</v>
      </c>
      <c r="EF35" s="55">
        <f>SUMIFS('Awards Summary'!$H:$H,'Awards Summary'!$B:$B,$C35,'Awards Summary'!$J:$J,"NYBREDS")</f>
        <v>0</v>
      </c>
      <c r="EG35" s="55">
        <f>SUMIFS('Disbursements Summary'!$E:$E,'Disbursements Summary'!$C:$C,$C35,'Disbursements Summary'!$A:$A,"NYBREDS")</f>
        <v>0</v>
      </c>
      <c r="EH35" s="55">
        <f>SUMIFS('Awards Summary'!$H:$H,'Awards Summary'!$B:$B,$C35,'Awards Summary'!$J:$J,"NYSTA")</f>
        <v>0</v>
      </c>
      <c r="EI35" s="55">
        <f>SUMIFS('Disbursements Summary'!$E:$E,'Disbursements Summary'!$C:$C,$C35,'Disbursements Summary'!$A:$A,"NYSTA")</f>
        <v>0</v>
      </c>
      <c r="EJ35" s="55">
        <f>SUMIFS('Awards Summary'!$H:$H,'Awards Summary'!$B:$B,$C35,'Awards Summary'!$J:$J,"NFWB")</f>
        <v>0</v>
      </c>
      <c r="EK35" s="55">
        <f>SUMIFS('Disbursements Summary'!$E:$E,'Disbursements Summary'!$C:$C,$C35,'Disbursements Summary'!$A:$A,"NFWB")</f>
        <v>0</v>
      </c>
      <c r="EL35" s="55">
        <f>SUMIFS('Awards Summary'!$H:$H,'Awards Summary'!$B:$B,$C35,'Awards Summary'!$J:$J,"NFTA")</f>
        <v>0</v>
      </c>
      <c r="EM35" s="55">
        <f>SUMIFS('Disbursements Summary'!$E:$E,'Disbursements Summary'!$C:$C,$C35,'Disbursements Summary'!$A:$A,"NFTA")</f>
        <v>0</v>
      </c>
      <c r="EN35" s="55">
        <f>SUMIFS('Awards Summary'!$H:$H,'Awards Summary'!$B:$B,$C35,'Awards Summary'!$J:$J,"OPWDD")</f>
        <v>0</v>
      </c>
      <c r="EO35" s="55">
        <f>SUMIFS('Disbursements Summary'!$E:$E,'Disbursements Summary'!$C:$C,$C35,'Disbursements Summary'!$A:$A,"OPWDD")</f>
        <v>0</v>
      </c>
      <c r="EP35" s="55">
        <f>SUMIFS('Awards Summary'!$H:$H,'Awards Summary'!$B:$B,$C35,'Awards Summary'!$J:$J,"AGING")</f>
        <v>0</v>
      </c>
      <c r="EQ35" s="55">
        <f>SUMIFS('Disbursements Summary'!$E:$E,'Disbursements Summary'!$C:$C,$C35,'Disbursements Summary'!$A:$A,"AGING")</f>
        <v>0</v>
      </c>
      <c r="ER35" s="55">
        <f>SUMIFS('Awards Summary'!$H:$H,'Awards Summary'!$B:$B,$C35,'Awards Summary'!$J:$J,"OPDV")</f>
        <v>0</v>
      </c>
      <c r="ES35" s="55">
        <f>SUMIFS('Disbursements Summary'!$E:$E,'Disbursements Summary'!$C:$C,$C35,'Disbursements Summary'!$A:$A,"OPDV")</f>
        <v>0</v>
      </c>
      <c r="ET35" s="55">
        <f>SUMIFS('Awards Summary'!$H:$H,'Awards Summary'!$B:$B,$C35,'Awards Summary'!$J:$J,"OVS")</f>
        <v>0</v>
      </c>
      <c r="EU35" s="55">
        <f>SUMIFS('Disbursements Summary'!$E:$E,'Disbursements Summary'!$C:$C,$C35,'Disbursements Summary'!$A:$A,"OVS")</f>
        <v>0</v>
      </c>
      <c r="EV35" s="55">
        <f>SUMIFS('Awards Summary'!$H:$H,'Awards Summary'!$B:$B,$C35,'Awards Summary'!$J:$J,"OASAS")</f>
        <v>0</v>
      </c>
      <c r="EW35" s="55">
        <f>SUMIFS('Disbursements Summary'!$E:$E,'Disbursements Summary'!$C:$C,$C35,'Disbursements Summary'!$A:$A,"OASAS")</f>
        <v>0</v>
      </c>
      <c r="EX35" s="55">
        <f>SUMIFS('Awards Summary'!$H:$H,'Awards Summary'!$B:$B,$C35,'Awards Summary'!$J:$J,"OCFS")</f>
        <v>0</v>
      </c>
      <c r="EY35" s="55">
        <f>SUMIFS('Disbursements Summary'!$E:$E,'Disbursements Summary'!$C:$C,$C35,'Disbursements Summary'!$A:$A,"OCFS")</f>
        <v>0</v>
      </c>
      <c r="EZ35" s="55">
        <f>SUMIFS('Awards Summary'!$H:$H,'Awards Summary'!$B:$B,$C35,'Awards Summary'!$J:$J,"OGS")</f>
        <v>0</v>
      </c>
      <c r="FA35" s="55">
        <f>SUMIFS('Disbursements Summary'!$E:$E,'Disbursements Summary'!$C:$C,$C35,'Disbursements Summary'!$A:$A,"OGS")</f>
        <v>0</v>
      </c>
      <c r="FB35" s="55">
        <f>SUMIFS('Awards Summary'!$H:$H,'Awards Summary'!$B:$B,$C35,'Awards Summary'!$J:$J,"OMH")</f>
        <v>0</v>
      </c>
      <c r="FC35" s="55">
        <f>SUMIFS('Disbursements Summary'!$E:$E,'Disbursements Summary'!$C:$C,$C35,'Disbursements Summary'!$A:$A,"OMH")</f>
        <v>0</v>
      </c>
      <c r="FD35" s="55">
        <f>SUMIFS('Awards Summary'!$H:$H,'Awards Summary'!$B:$B,$C35,'Awards Summary'!$J:$J,"PARKS")</f>
        <v>0</v>
      </c>
      <c r="FE35" s="55">
        <f>SUMIFS('Disbursements Summary'!$E:$E,'Disbursements Summary'!$C:$C,$C35,'Disbursements Summary'!$A:$A,"PARKS")</f>
        <v>0</v>
      </c>
      <c r="FF35" s="55">
        <f>SUMIFS('Awards Summary'!$H:$H,'Awards Summary'!$B:$B,$C35,'Awards Summary'!$J:$J,"OTDA")</f>
        <v>0</v>
      </c>
      <c r="FG35" s="55">
        <f>SUMIFS('Disbursements Summary'!$E:$E,'Disbursements Summary'!$C:$C,$C35,'Disbursements Summary'!$A:$A,"OTDA")</f>
        <v>0</v>
      </c>
      <c r="FH35" s="55">
        <f>SUMIFS('Awards Summary'!$H:$H,'Awards Summary'!$B:$B,$C35,'Awards Summary'!$J:$J,"OIG")</f>
        <v>0</v>
      </c>
      <c r="FI35" s="55">
        <f>SUMIFS('Disbursements Summary'!$E:$E,'Disbursements Summary'!$C:$C,$C35,'Disbursements Summary'!$A:$A,"OIG")</f>
        <v>0</v>
      </c>
      <c r="FJ35" s="55">
        <f>SUMIFS('Awards Summary'!$H:$H,'Awards Summary'!$B:$B,$C35,'Awards Summary'!$J:$J,"OMIG")</f>
        <v>0</v>
      </c>
      <c r="FK35" s="55">
        <f>SUMIFS('Disbursements Summary'!$E:$E,'Disbursements Summary'!$C:$C,$C35,'Disbursements Summary'!$A:$A,"OMIG")</f>
        <v>0</v>
      </c>
      <c r="FL35" s="55">
        <f>SUMIFS('Awards Summary'!$H:$H,'Awards Summary'!$B:$B,$C35,'Awards Summary'!$J:$J,"OSC")</f>
        <v>0</v>
      </c>
      <c r="FM35" s="55">
        <f>SUMIFS('Disbursements Summary'!$E:$E,'Disbursements Summary'!$C:$C,$C35,'Disbursements Summary'!$A:$A,"OSC")</f>
        <v>0</v>
      </c>
      <c r="FN35" s="55">
        <f>SUMIFS('Awards Summary'!$H:$H,'Awards Summary'!$B:$B,$C35,'Awards Summary'!$J:$J,"OWIG")</f>
        <v>0</v>
      </c>
      <c r="FO35" s="55">
        <f>SUMIFS('Disbursements Summary'!$E:$E,'Disbursements Summary'!$C:$C,$C35,'Disbursements Summary'!$A:$A,"OWIG")</f>
        <v>0</v>
      </c>
      <c r="FP35" s="55">
        <f>SUMIFS('Awards Summary'!$H:$H,'Awards Summary'!$B:$B,$C35,'Awards Summary'!$J:$J,"OGDEN")</f>
        <v>0</v>
      </c>
      <c r="FQ35" s="55">
        <f>SUMIFS('Disbursements Summary'!$E:$E,'Disbursements Summary'!$C:$C,$C35,'Disbursements Summary'!$A:$A,"OGDEN")</f>
        <v>0</v>
      </c>
      <c r="FR35" s="55">
        <f>SUMIFS('Awards Summary'!$H:$H,'Awards Summary'!$B:$B,$C35,'Awards Summary'!$J:$J,"ORDA")</f>
        <v>0</v>
      </c>
      <c r="FS35" s="55">
        <f>SUMIFS('Disbursements Summary'!$E:$E,'Disbursements Summary'!$C:$C,$C35,'Disbursements Summary'!$A:$A,"ORDA")</f>
        <v>0</v>
      </c>
      <c r="FT35" s="55">
        <f>SUMIFS('Awards Summary'!$H:$H,'Awards Summary'!$B:$B,$C35,'Awards Summary'!$J:$J,"OSWEGO")</f>
        <v>0</v>
      </c>
      <c r="FU35" s="55">
        <f>SUMIFS('Disbursements Summary'!$E:$E,'Disbursements Summary'!$C:$C,$C35,'Disbursements Summary'!$A:$A,"OSWEGO")</f>
        <v>0</v>
      </c>
      <c r="FV35" s="55">
        <f>SUMIFS('Awards Summary'!$H:$H,'Awards Summary'!$B:$B,$C35,'Awards Summary'!$J:$J,"PERB")</f>
        <v>0</v>
      </c>
      <c r="FW35" s="55">
        <f>SUMIFS('Disbursements Summary'!$E:$E,'Disbursements Summary'!$C:$C,$C35,'Disbursements Summary'!$A:$A,"PERB")</f>
        <v>0</v>
      </c>
      <c r="FX35" s="55">
        <f>SUMIFS('Awards Summary'!$H:$H,'Awards Summary'!$B:$B,$C35,'Awards Summary'!$J:$J,"RGRTA")</f>
        <v>0</v>
      </c>
      <c r="FY35" s="55">
        <f>SUMIFS('Disbursements Summary'!$E:$E,'Disbursements Summary'!$C:$C,$C35,'Disbursements Summary'!$A:$A,"RGRTA")</f>
        <v>0</v>
      </c>
      <c r="FZ35" s="55">
        <f>SUMIFS('Awards Summary'!$H:$H,'Awards Summary'!$B:$B,$C35,'Awards Summary'!$J:$J,"RIOC")</f>
        <v>0</v>
      </c>
      <c r="GA35" s="55">
        <f>SUMIFS('Disbursements Summary'!$E:$E,'Disbursements Summary'!$C:$C,$C35,'Disbursements Summary'!$A:$A,"RIOC")</f>
        <v>0</v>
      </c>
      <c r="GB35" s="55">
        <f>SUMIFS('Awards Summary'!$H:$H,'Awards Summary'!$B:$B,$C35,'Awards Summary'!$J:$J,"RPCI")</f>
        <v>0</v>
      </c>
      <c r="GC35" s="55">
        <f>SUMIFS('Disbursements Summary'!$E:$E,'Disbursements Summary'!$C:$C,$C35,'Disbursements Summary'!$A:$A,"RPCI")</f>
        <v>0</v>
      </c>
      <c r="GD35" s="55">
        <f>SUMIFS('Awards Summary'!$H:$H,'Awards Summary'!$B:$B,$C35,'Awards Summary'!$J:$J,"SMDA")</f>
        <v>0</v>
      </c>
      <c r="GE35" s="55">
        <f>SUMIFS('Disbursements Summary'!$E:$E,'Disbursements Summary'!$C:$C,$C35,'Disbursements Summary'!$A:$A,"SMDA")</f>
        <v>0</v>
      </c>
      <c r="GF35" s="55">
        <f>SUMIFS('Awards Summary'!$H:$H,'Awards Summary'!$B:$B,$C35,'Awards Summary'!$J:$J,"SCOC")</f>
        <v>0</v>
      </c>
      <c r="GG35" s="55">
        <f>SUMIFS('Disbursements Summary'!$E:$E,'Disbursements Summary'!$C:$C,$C35,'Disbursements Summary'!$A:$A,"SCOC")</f>
        <v>0</v>
      </c>
      <c r="GH35" s="55">
        <f>SUMIFS('Awards Summary'!$H:$H,'Awards Summary'!$B:$B,$C35,'Awards Summary'!$J:$J,"SUCF")</f>
        <v>0</v>
      </c>
      <c r="GI35" s="55">
        <f>SUMIFS('Disbursements Summary'!$E:$E,'Disbursements Summary'!$C:$C,$C35,'Disbursements Summary'!$A:$A,"SUCF")</f>
        <v>0</v>
      </c>
      <c r="GJ35" s="55">
        <f>SUMIFS('Awards Summary'!$H:$H,'Awards Summary'!$B:$B,$C35,'Awards Summary'!$J:$J,"SUNY")</f>
        <v>0</v>
      </c>
      <c r="GK35" s="55">
        <f>SUMIFS('Disbursements Summary'!$E:$E,'Disbursements Summary'!$C:$C,$C35,'Disbursements Summary'!$A:$A,"SUNY")</f>
        <v>0</v>
      </c>
      <c r="GL35" s="55">
        <f>SUMIFS('Awards Summary'!$H:$H,'Awards Summary'!$B:$B,$C35,'Awards Summary'!$J:$J,"SRAA")</f>
        <v>0</v>
      </c>
      <c r="GM35" s="55">
        <f>SUMIFS('Disbursements Summary'!$E:$E,'Disbursements Summary'!$C:$C,$C35,'Disbursements Summary'!$A:$A,"SRAA")</f>
        <v>0</v>
      </c>
      <c r="GN35" s="55">
        <f>SUMIFS('Awards Summary'!$H:$H,'Awards Summary'!$B:$B,$C35,'Awards Summary'!$J:$J,"UNDC")</f>
        <v>0</v>
      </c>
      <c r="GO35" s="55">
        <f>SUMIFS('Disbursements Summary'!$E:$E,'Disbursements Summary'!$C:$C,$C35,'Disbursements Summary'!$A:$A,"UNDC")</f>
        <v>0</v>
      </c>
      <c r="GP35" s="55">
        <f>SUMIFS('Awards Summary'!$H:$H,'Awards Summary'!$B:$B,$C35,'Awards Summary'!$J:$J,"MVWA")</f>
        <v>0</v>
      </c>
      <c r="GQ35" s="55">
        <f>SUMIFS('Disbursements Summary'!$E:$E,'Disbursements Summary'!$C:$C,$C35,'Disbursements Summary'!$A:$A,"MVWA")</f>
        <v>0</v>
      </c>
      <c r="GR35" s="55">
        <f>SUMIFS('Awards Summary'!$H:$H,'Awards Summary'!$B:$B,$C35,'Awards Summary'!$J:$J,"WMC")</f>
        <v>0</v>
      </c>
      <c r="GS35" s="55">
        <f>SUMIFS('Disbursements Summary'!$E:$E,'Disbursements Summary'!$C:$C,$C35,'Disbursements Summary'!$A:$A,"WMC")</f>
        <v>0</v>
      </c>
      <c r="GT35" s="55">
        <f>SUMIFS('Awards Summary'!$H:$H,'Awards Summary'!$B:$B,$C35,'Awards Summary'!$J:$J,"WCB")</f>
        <v>0</v>
      </c>
      <c r="GU35" s="55">
        <f>SUMIFS('Disbursements Summary'!$E:$E,'Disbursements Summary'!$C:$C,$C35,'Disbursements Summary'!$A:$A,"WCB")</f>
        <v>0</v>
      </c>
      <c r="GV35" s="32">
        <f t="shared" si="5"/>
        <v>0</v>
      </c>
      <c r="GW35" s="32">
        <f t="shared" si="6"/>
        <v>0</v>
      </c>
      <c r="GX35" s="30" t="b">
        <f t="shared" si="7"/>
        <v>1</v>
      </c>
      <c r="GY35" s="30" t="b">
        <f t="shared" si="8"/>
        <v>1</v>
      </c>
    </row>
    <row r="36" spans="1:207" s="30" customFormat="1">
      <c r="A36" s="22" t="str">
        <f t="shared" si="0"/>
        <v/>
      </c>
      <c r="B36" s="40" t="s">
        <v>16</v>
      </c>
      <c r="C36" s="16">
        <v>141061</v>
      </c>
      <c r="D36" s="26">
        <f>COUNTIF('Awards Summary'!B:B,"141061")</f>
        <v>0</v>
      </c>
      <c r="E36" s="45">
        <f>SUMIFS('Awards Summary'!H:H,'Awards Summary'!B:B,"141061")</f>
        <v>0</v>
      </c>
      <c r="F36" s="46">
        <f>SUMIFS('Disbursements Summary'!E:E,'Disbursements Summary'!C:C, "141061")</f>
        <v>0</v>
      </c>
      <c r="H36" s="55">
        <f>SUMIFS('Awards Summary'!$H:$H,'Awards Summary'!$B:$B,$C36,'Awards Summary'!$J:$J,"APA")</f>
        <v>0</v>
      </c>
      <c r="I36" s="55">
        <f>SUMIFS('Disbursements Summary'!$E:$E,'Disbursements Summary'!$C:$C,$C36,'Disbursements Summary'!$A:$A,"APA")</f>
        <v>0</v>
      </c>
      <c r="J36" s="55">
        <f>SUMIFS('Awards Summary'!$H:$H,'Awards Summary'!$B:$B,$C36,'Awards Summary'!$J:$J,"Ag&amp;Horse")</f>
        <v>0</v>
      </c>
      <c r="K36" s="55">
        <f>SUMIFS('Disbursements Summary'!$E:$E,'Disbursements Summary'!$C:$C,$C36,'Disbursements Summary'!$A:$A,"Ag&amp;Horse")</f>
        <v>0</v>
      </c>
      <c r="L36" s="55">
        <f>SUMIFS('Awards Summary'!$H:$H,'Awards Summary'!$B:$B,$C36,'Awards Summary'!$J:$J,"ACAA")</f>
        <v>0</v>
      </c>
      <c r="M36" s="55">
        <f>SUMIFS('Disbursements Summary'!$E:$E,'Disbursements Summary'!$C:$C,$C36,'Disbursements Summary'!$A:$A,"ACAA")</f>
        <v>0</v>
      </c>
      <c r="N36" s="55">
        <f>SUMIFS('Awards Summary'!$H:$H,'Awards Summary'!$B:$B,$C36,'Awards Summary'!$J:$J,"PortAlbany")</f>
        <v>0</v>
      </c>
      <c r="O36" s="55">
        <f>SUMIFS('Disbursements Summary'!$E:$E,'Disbursements Summary'!$C:$C,$C36,'Disbursements Summary'!$A:$A,"PortAlbany")</f>
        <v>0</v>
      </c>
      <c r="P36" s="55">
        <f>SUMIFS('Awards Summary'!$H:$H,'Awards Summary'!$B:$B,$C36,'Awards Summary'!$J:$J,"SLA")</f>
        <v>0</v>
      </c>
      <c r="Q36" s="55">
        <f>SUMIFS('Disbursements Summary'!$E:$E,'Disbursements Summary'!$C:$C,$C36,'Disbursements Summary'!$A:$A,"SLA")</f>
        <v>0</v>
      </c>
      <c r="R36" s="55">
        <f>SUMIFS('Awards Summary'!$H:$H,'Awards Summary'!$B:$B,$C36,'Awards Summary'!$J:$J,"BPCA")</f>
        <v>0</v>
      </c>
      <c r="S36" s="55">
        <f>SUMIFS('Disbursements Summary'!$E:$E,'Disbursements Summary'!$C:$C,$C36,'Disbursements Summary'!$A:$A,"BPCA")</f>
        <v>0</v>
      </c>
      <c r="T36" s="55">
        <f>SUMIFS('Awards Summary'!$H:$H,'Awards Summary'!$B:$B,$C36,'Awards Summary'!$J:$J,"ELECTIONS")</f>
        <v>0</v>
      </c>
      <c r="U36" s="55">
        <f>SUMIFS('Disbursements Summary'!$E:$E,'Disbursements Summary'!$C:$C,$C36,'Disbursements Summary'!$A:$A,"ELECTIONS")</f>
        <v>0</v>
      </c>
      <c r="V36" s="55">
        <f>SUMIFS('Awards Summary'!$H:$H,'Awards Summary'!$B:$B,$C36,'Awards Summary'!$J:$J,"BFSA")</f>
        <v>0</v>
      </c>
      <c r="W36" s="55">
        <f>SUMIFS('Disbursements Summary'!$E:$E,'Disbursements Summary'!$C:$C,$C36,'Disbursements Summary'!$A:$A,"BFSA")</f>
        <v>0</v>
      </c>
      <c r="X36" s="55">
        <f>SUMIFS('Awards Summary'!$H:$H,'Awards Summary'!$B:$B,$C36,'Awards Summary'!$J:$J,"CDTA")</f>
        <v>0</v>
      </c>
      <c r="Y36" s="55">
        <f>SUMIFS('Disbursements Summary'!$E:$E,'Disbursements Summary'!$C:$C,$C36,'Disbursements Summary'!$A:$A,"CDTA")</f>
        <v>0</v>
      </c>
      <c r="Z36" s="55">
        <f>SUMIFS('Awards Summary'!$H:$H,'Awards Summary'!$B:$B,$C36,'Awards Summary'!$J:$J,"CCWSA")</f>
        <v>0</v>
      </c>
      <c r="AA36" s="55">
        <f>SUMIFS('Disbursements Summary'!$E:$E,'Disbursements Summary'!$C:$C,$C36,'Disbursements Summary'!$A:$A,"CCWSA")</f>
        <v>0</v>
      </c>
      <c r="AB36" s="55">
        <f>SUMIFS('Awards Summary'!$H:$H,'Awards Summary'!$B:$B,$C36,'Awards Summary'!$J:$J,"CNYRTA")</f>
        <v>0</v>
      </c>
      <c r="AC36" s="55">
        <f>SUMIFS('Disbursements Summary'!$E:$E,'Disbursements Summary'!$C:$C,$C36,'Disbursements Summary'!$A:$A,"CNYRTA")</f>
        <v>0</v>
      </c>
      <c r="AD36" s="55">
        <f>SUMIFS('Awards Summary'!$H:$H,'Awards Summary'!$B:$B,$C36,'Awards Summary'!$J:$J,"CUCF")</f>
        <v>0</v>
      </c>
      <c r="AE36" s="55">
        <f>SUMIFS('Disbursements Summary'!$E:$E,'Disbursements Summary'!$C:$C,$C36,'Disbursements Summary'!$A:$A,"CUCF")</f>
        <v>0</v>
      </c>
      <c r="AF36" s="55">
        <f>SUMIFS('Awards Summary'!$H:$H,'Awards Summary'!$B:$B,$C36,'Awards Summary'!$J:$J,"CUNY")</f>
        <v>0</v>
      </c>
      <c r="AG36" s="55">
        <f>SUMIFS('Disbursements Summary'!$E:$E,'Disbursements Summary'!$C:$C,$C36,'Disbursements Summary'!$A:$A,"CUNY")</f>
        <v>0</v>
      </c>
      <c r="AH36" s="55">
        <f>SUMIFS('Awards Summary'!$H:$H,'Awards Summary'!$B:$B,$C36,'Awards Summary'!$J:$J,"ARTS")</f>
        <v>0</v>
      </c>
      <c r="AI36" s="55">
        <f>SUMIFS('Disbursements Summary'!$E:$E,'Disbursements Summary'!$C:$C,$C36,'Disbursements Summary'!$A:$A,"ARTS")</f>
        <v>0</v>
      </c>
      <c r="AJ36" s="55">
        <f>SUMIFS('Awards Summary'!$H:$H,'Awards Summary'!$B:$B,$C36,'Awards Summary'!$J:$J,"AG&amp;MKTS")</f>
        <v>0</v>
      </c>
      <c r="AK36" s="55">
        <f>SUMIFS('Disbursements Summary'!$E:$E,'Disbursements Summary'!$C:$C,$C36,'Disbursements Summary'!$A:$A,"AG&amp;MKTS")</f>
        <v>0</v>
      </c>
      <c r="AL36" s="55">
        <f>SUMIFS('Awards Summary'!$H:$H,'Awards Summary'!$B:$B,$C36,'Awards Summary'!$J:$J,"CS")</f>
        <v>0</v>
      </c>
      <c r="AM36" s="55">
        <f>SUMIFS('Disbursements Summary'!$E:$E,'Disbursements Summary'!$C:$C,$C36,'Disbursements Summary'!$A:$A,"CS")</f>
        <v>0</v>
      </c>
      <c r="AN36" s="55">
        <f>SUMIFS('Awards Summary'!$H:$H,'Awards Summary'!$B:$B,$C36,'Awards Summary'!$J:$J,"DOCCS")</f>
        <v>0</v>
      </c>
      <c r="AO36" s="55">
        <f>SUMIFS('Disbursements Summary'!$E:$E,'Disbursements Summary'!$C:$C,$C36,'Disbursements Summary'!$A:$A,"DOCCS")</f>
        <v>0</v>
      </c>
      <c r="AP36" s="55">
        <f>SUMIFS('Awards Summary'!$H:$H,'Awards Summary'!$B:$B,$C36,'Awards Summary'!$J:$J,"DED")</f>
        <v>0</v>
      </c>
      <c r="AQ36" s="55">
        <f>SUMIFS('Disbursements Summary'!$E:$E,'Disbursements Summary'!$C:$C,$C36,'Disbursements Summary'!$A:$A,"DED")</f>
        <v>0</v>
      </c>
      <c r="AR36" s="55">
        <f>SUMIFS('Awards Summary'!$H:$H,'Awards Summary'!$B:$B,$C36,'Awards Summary'!$J:$J,"DEC")</f>
        <v>0</v>
      </c>
      <c r="AS36" s="55">
        <f>SUMIFS('Disbursements Summary'!$E:$E,'Disbursements Summary'!$C:$C,$C36,'Disbursements Summary'!$A:$A,"DEC")</f>
        <v>0</v>
      </c>
      <c r="AT36" s="55">
        <f>SUMIFS('Awards Summary'!$H:$H,'Awards Summary'!$B:$B,$C36,'Awards Summary'!$J:$J,"DFS")</f>
        <v>0</v>
      </c>
      <c r="AU36" s="55">
        <f>SUMIFS('Disbursements Summary'!$E:$E,'Disbursements Summary'!$C:$C,$C36,'Disbursements Summary'!$A:$A,"DFS")</f>
        <v>0</v>
      </c>
      <c r="AV36" s="55">
        <f>SUMIFS('Awards Summary'!$H:$H,'Awards Summary'!$B:$B,$C36,'Awards Summary'!$J:$J,"DOH")</f>
        <v>0</v>
      </c>
      <c r="AW36" s="55">
        <f>SUMIFS('Disbursements Summary'!$E:$E,'Disbursements Summary'!$C:$C,$C36,'Disbursements Summary'!$A:$A,"DOH")</f>
        <v>0</v>
      </c>
      <c r="AX36" s="55">
        <f>SUMIFS('Awards Summary'!$H:$H,'Awards Summary'!$B:$B,$C36,'Awards Summary'!$J:$J,"DOL")</f>
        <v>0</v>
      </c>
      <c r="AY36" s="55">
        <f>SUMIFS('Disbursements Summary'!$E:$E,'Disbursements Summary'!$C:$C,$C36,'Disbursements Summary'!$A:$A,"DOL")</f>
        <v>0</v>
      </c>
      <c r="AZ36" s="55">
        <f>SUMIFS('Awards Summary'!$H:$H,'Awards Summary'!$B:$B,$C36,'Awards Summary'!$J:$J,"DMV")</f>
        <v>0</v>
      </c>
      <c r="BA36" s="55">
        <f>SUMIFS('Disbursements Summary'!$E:$E,'Disbursements Summary'!$C:$C,$C36,'Disbursements Summary'!$A:$A,"DMV")</f>
        <v>0</v>
      </c>
      <c r="BB36" s="55">
        <f>SUMIFS('Awards Summary'!$H:$H,'Awards Summary'!$B:$B,$C36,'Awards Summary'!$J:$J,"DPS")</f>
        <v>0</v>
      </c>
      <c r="BC36" s="55">
        <f>SUMIFS('Disbursements Summary'!$E:$E,'Disbursements Summary'!$C:$C,$C36,'Disbursements Summary'!$A:$A,"DPS")</f>
        <v>0</v>
      </c>
      <c r="BD36" s="55">
        <f>SUMIFS('Awards Summary'!$H:$H,'Awards Summary'!$B:$B,$C36,'Awards Summary'!$J:$J,"DOS")</f>
        <v>0</v>
      </c>
      <c r="BE36" s="55">
        <f>SUMIFS('Disbursements Summary'!$E:$E,'Disbursements Summary'!$C:$C,$C36,'Disbursements Summary'!$A:$A,"DOS")</f>
        <v>0</v>
      </c>
      <c r="BF36" s="55">
        <f>SUMIFS('Awards Summary'!$H:$H,'Awards Summary'!$B:$B,$C36,'Awards Summary'!$J:$J,"TAX")</f>
        <v>0</v>
      </c>
      <c r="BG36" s="55">
        <f>SUMIFS('Disbursements Summary'!$E:$E,'Disbursements Summary'!$C:$C,$C36,'Disbursements Summary'!$A:$A,"TAX")</f>
        <v>0</v>
      </c>
      <c r="BH36" s="55">
        <f>SUMIFS('Awards Summary'!$H:$H,'Awards Summary'!$B:$B,$C36,'Awards Summary'!$J:$J,"DOT")</f>
        <v>0</v>
      </c>
      <c r="BI36" s="55">
        <f>SUMIFS('Disbursements Summary'!$E:$E,'Disbursements Summary'!$C:$C,$C36,'Disbursements Summary'!$A:$A,"DOT")</f>
        <v>0</v>
      </c>
      <c r="BJ36" s="55">
        <f>SUMIFS('Awards Summary'!$H:$H,'Awards Summary'!$B:$B,$C36,'Awards Summary'!$J:$J,"DANC")</f>
        <v>0</v>
      </c>
      <c r="BK36" s="55">
        <f>SUMIFS('Disbursements Summary'!$E:$E,'Disbursements Summary'!$C:$C,$C36,'Disbursements Summary'!$A:$A,"DANC")</f>
        <v>0</v>
      </c>
      <c r="BL36" s="55">
        <f>SUMIFS('Awards Summary'!$H:$H,'Awards Summary'!$B:$B,$C36,'Awards Summary'!$J:$J,"DOB")</f>
        <v>0</v>
      </c>
      <c r="BM36" s="55">
        <f>SUMIFS('Disbursements Summary'!$E:$E,'Disbursements Summary'!$C:$C,$C36,'Disbursements Summary'!$A:$A,"DOB")</f>
        <v>0</v>
      </c>
      <c r="BN36" s="55">
        <f>SUMIFS('Awards Summary'!$H:$H,'Awards Summary'!$B:$B,$C36,'Awards Summary'!$J:$J,"DCJS")</f>
        <v>0</v>
      </c>
      <c r="BO36" s="55">
        <f>SUMIFS('Disbursements Summary'!$E:$E,'Disbursements Summary'!$C:$C,$C36,'Disbursements Summary'!$A:$A,"DCJS")</f>
        <v>0</v>
      </c>
      <c r="BP36" s="55">
        <f>SUMIFS('Awards Summary'!$H:$H,'Awards Summary'!$B:$B,$C36,'Awards Summary'!$J:$J,"DHSES")</f>
        <v>0</v>
      </c>
      <c r="BQ36" s="55">
        <f>SUMIFS('Disbursements Summary'!$E:$E,'Disbursements Summary'!$C:$C,$C36,'Disbursements Summary'!$A:$A,"DHSES")</f>
        <v>0</v>
      </c>
      <c r="BR36" s="55">
        <f>SUMIFS('Awards Summary'!$H:$H,'Awards Summary'!$B:$B,$C36,'Awards Summary'!$J:$J,"DHR")</f>
        <v>0</v>
      </c>
      <c r="BS36" s="55">
        <f>SUMIFS('Disbursements Summary'!$E:$E,'Disbursements Summary'!$C:$C,$C36,'Disbursements Summary'!$A:$A,"DHR")</f>
        <v>0</v>
      </c>
      <c r="BT36" s="55">
        <f>SUMIFS('Awards Summary'!$H:$H,'Awards Summary'!$B:$B,$C36,'Awards Summary'!$J:$J,"DMNA")</f>
        <v>0</v>
      </c>
      <c r="BU36" s="55">
        <f>SUMIFS('Disbursements Summary'!$E:$E,'Disbursements Summary'!$C:$C,$C36,'Disbursements Summary'!$A:$A,"DMNA")</f>
        <v>0</v>
      </c>
      <c r="BV36" s="55">
        <f>SUMIFS('Awards Summary'!$H:$H,'Awards Summary'!$B:$B,$C36,'Awards Summary'!$J:$J,"TROOPERS")</f>
        <v>0</v>
      </c>
      <c r="BW36" s="55">
        <f>SUMIFS('Disbursements Summary'!$E:$E,'Disbursements Summary'!$C:$C,$C36,'Disbursements Summary'!$A:$A,"TROOPERS")</f>
        <v>0</v>
      </c>
      <c r="BX36" s="55">
        <f>SUMIFS('Awards Summary'!$H:$H,'Awards Summary'!$B:$B,$C36,'Awards Summary'!$J:$J,"DVA")</f>
        <v>0</v>
      </c>
      <c r="BY36" s="55">
        <f>SUMIFS('Disbursements Summary'!$E:$E,'Disbursements Summary'!$C:$C,$C36,'Disbursements Summary'!$A:$A,"DVA")</f>
        <v>0</v>
      </c>
      <c r="BZ36" s="55">
        <f>SUMIFS('Awards Summary'!$H:$H,'Awards Summary'!$B:$B,$C36,'Awards Summary'!$J:$J,"DASNY")</f>
        <v>0</v>
      </c>
      <c r="CA36" s="55">
        <f>SUMIFS('Disbursements Summary'!$E:$E,'Disbursements Summary'!$C:$C,$C36,'Disbursements Summary'!$A:$A,"DASNY")</f>
        <v>0</v>
      </c>
      <c r="CB36" s="55">
        <f>SUMIFS('Awards Summary'!$H:$H,'Awards Summary'!$B:$B,$C36,'Awards Summary'!$J:$J,"EGG")</f>
        <v>0</v>
      </c>
      <c r="CC36" s="55">
        <f>SUMIFS('Disbursements Summary'!$E:$E,'Disbursements Summary'!$C:$C,$C36,'Disbursements Summary'!$A:$A,"EGG")</f>
        <v>0</v>
      </c>
      <c r="CD36" s="55">
        <f>SUMIFS('Awards Summary'!$H:$H,'Awards Summary'!$B:$B,$C36,'Awards Summary'!$J:$J,"ESD")</f>
        <v>0</v>
      </c>
      <c r="CE36" s="55">
        <f>SUMIFS('Disbursements Summary'!$E:$E,'Disbursements Summary'!$C:$C,$C36,'Disbursements Summary'!$A:$A,"ESD")</f>
        <v>0</v>
      </c>
      <c r="CF36" s="55">
        <f>SUMIFS('Awards Summary'!$H:$H,'Awards Summary'!$B:$B,$C36,'Awards Summary'!$J:$J,"EFC")</f>
        <v>0</v>
      </c>
      <c r="CG36" s="55">
        <f>SUMIFS('Disbursements Summary'!$E:$E,'Disbursements Summary'!$C:$C,$C36,'Disbursements Summary'!$A:$A,"EFC")</f>
        <v>0</v>
      </c>
      <c r="CH36" s="55">
        <f>SUMIFS('Awards Summary'!$H:$H,'Awards Summary'!$B:$B,$C36,'Awards Summary'!$J:$J,"ECFSA")</f>
        <v>0</v>
      </c>
      <c r="CI36" s="55">
        <f>SUMIFS('Disbursements Summary'!$E:$E,'Disbursements Summary'!$C:$C,$C36,'Disbursements Summary'!$A:$A,"ECFSA")</f>
        <v>0</v>
      </c>
      <c r="CJ36" s="55">
        <f>SUMIFS('Awards Summary'!$H:$H,'Awards Summary'!$B:$B,$C36,'Awards Summary'!$J:$J,"ECMC")</f>
        <v>0</v>
      </c>
      <c r="CK36" s="55">
        <f>SUMIFS('Disbursements Summary'!$E:$E,'Disbursements Summary'!$C:$C,$C36,'Disbursements Summary'!$A:$A,"ECMC")</f>
        <v>0</v>
      </c>
      <c r="CL36" s="55">
        <f>SUMIFS('Awards Summary'!$H:$H,'Awards Summary'!$B:$B,$C36,'Awards Summary'!$J:$J,"CHAMBER")</f>
        <v>0</v>
      </c>
      <c r="CM36" s="55">
        <f>SUMIFS('Disbursements Summary'!$E:$E,'Disbursements Summary'!$C:$C,$C36,'Disbursements Summary'!$A:$A,"CHAMBER")</f>
        <v>0</v>
      </c>
      <c r="CN36" s="55">
        <f>SUMIFS('Awards Summary'!$H:$H,'Awards Summary'!$B:$B,$C36,'Awards Summary'!$J:$J,"GAMING")</f>
        <v>0</v>
      </c>
      <c r="CO36" s="55">
        <f>SUMIFS('Disbursements Summary'!$E:$E,'Disbursements Summary'!$C:$C,$C36,'Disbursements Summary'!$A:$A,"GAMING")</f>
        <v>0</v>
      </c>
      <c r="CP36" s="55">
        <f>SUMIFS('Awards Summary'!$H:$H,'Awards Summary'!$B:$B,$C36,'Awards Summary'!$J:$J,"GOER")</f>
        <v>0</v>
      </c>
      <c r="CQ36" s="55">
        <f>SUMIFS('Disbursements Summary'!$E:$E,'Disbursements Summary'!$C:$C,$C36,'Disbursements Summary'!$A:$A,"GOER")</f>
        <v>0</v>
      </c>
      <c r="CR36" s="55">
        <f>SUMIFS('Awards Summary'!$H:$H,'Awards Summary'!$B:$B,$C36,'Awards Summary'!$J:$J,"HESC")</f>
        <v>0</v>
      </c>
      <c r="CS36" s="55">
        <f>SUMIFS('Disbursements Summary'!$E:$E,'Disbursements Summary'!$C:$C,$C36,'Disbursements Summary'!$A:$A,"HESC")</f>
        <v>0</v>
      </c>
      <c r="CT36" s="55">
        <f>SUMIFS('Awards Summary'!$H:$H,'Awards Summary'!$B:$B,$C36,'Awards Summary'!$J:$J,"GOSR")</f>
        <v>0</v>
      </c>
      <c r="CU36" s="55">
        <f>SUMIFS('Disbursements Summary'!$E:$E,'Disbursements Summary'!$C:$C,$C36,'Disbursements Summary'!$A:$A,"GOSR")</f>
        <v>0</v>
      </c>
      <c r="CV36" s="55">
        <f>SUMIFS('Awards Summary'!$H:$H,'Awards Summary'!$B:$B,$C36,'Awards Summary'!$J:$J,"HRPT")</f>
        <v>0</v>
      </c>
      <c r="CW36" s="55">
        <f>SUMIFS('Disbursements Summary'!$E:$E,'Disbursements Summary'!$C:$C,$C36,'Disbursements Summary'!$A:$A,"HRPT")</f>
        <v>0</v>
      </c>
      <c r="CX36" s="55">
        <f>SUMIFS('Awards Summary'!$H:$H,'Awards Summary'!$B:$B,$C36,'Awards Summary'!$J:$J,"HRBRRD")</f>
        <v>0</v>
      </c>
      <c r="CY36" s="55">
        <f>SUMIFS('Disbursements Summary'!$E:$E,'Disbursements Summary'!$C:$C,$C36,'Disbursements Summary'!$A:$A,"HRBRRD")</f>
        <v>0</v>
      </c>
      <c r="CZ36" s="55">
        <f>SUMIFS('Awards Summary'!$H:$H,'Awards Summary'!$B:$B,$C36,'Awards Summary'!$J:$J,"ITS")</f>
        <v>0</v>
      </c>
      <c r="DA36" s="55">
        <f>SUMIFS('Disbursements Summary'!$E:$E,'Disbursements Summary'!$C:$C,$C36,'Disbursements Summary'!$A:$A,"ITS")</f>
        <v>0</v>
      </c>
      <c r="DB36" s="55">
        <f>SUMIFS('Awards Summary'!$H:$H,'Awards Summary'!$B:$B,$C36,'Awards Summary'!$J:$J,"JAVITS")</f>
        <v>0</v>
      </c>
      <c r="DC36" s="55">
        <f>SUMIFS('Disbursements Summary'!$E:$E,'Disbursements Summary'!$C:$C,$C36,'Disbursements Summary'!$A:$A,"JAVITS")</f>
        <v>0</v>
      </c>
      <c r="DD36" s="55">
        <f>SUMIFS('Awards Summary'!$H:$H,'Awards Summary'!$B:$B,$C36,'Awards Summary'!$J:$J,"JCOPE")</f>
        <v>0</v>
      </c>
      <c r="DE36" s="55">
        <f>SUMIFS('Disbursements Summary'!$E:$E,'Disbursements Summary'!$C:$C,$C36,'Disbursements Summary'!$A:$A,"JCOPE")</f>
        <v>0</v>
      </c>
      <c r="DF36" s="55">
        <f>SUMIFS('Awards Summary'!$H:$H,'Awards Summary'!$B:$B,$C36,'Awards Summary'!$J:$J,"JUSTICE")</f>
        <v>0</v>
      </c>
      <c r="DG36" s="55">
        <f>SUMIFS('Disbursements Summary'!$E:$E,'Disbursements Summary'!$C:$C,$C36,'Disbursements Summary'!$A:$A,"JUSTICE")</f>
        <v>0</v>
      </c>
      <c r="DH36" s="55">
        <f>SUMIFS('Awards Summary'!$H:$H,'Awards Summary'!$B:$B,$C36,'Awards Summary'!$J:$J,"LCWSA")</f>
        <v>0</v>
      </c>
      <c r="DI36" s="55">
        <f>SUMIFS('Disbursements Summary'!$E:$E,'Disbursements Summary'!$C:$C,$C36,'Disbursements Summary'!$A:$A,"LCWSA")</f>
        <v>0</v>
      </c>
      <c r="DJ36" s="55">
        <f>SUMIFS('Awards Summary'!$H:$H,'Awards Summary'!$B:$B,$C36,'Awards Summary'!$J:$J,"LIPA")</f>
        <v>0</v>
      </c>
      <c r="DK36" s="55">
        <f>SUMIFS('Disbursements Summary'!$E:$E,'Disbursements Summary'!$C:$C,$C36,'Disbursements Summary'!$A:$A,"LIPA")</f>
        <v>0</v>
      </c>
      <c r="DL36" s="55">
        <f>SUMIFS('Awards Summary'!$H:$H,'Awards Summary'!$B:$B,$C36,'Awards Summary'!$J:$J,"MTA")</f>
        <v>0</v>
      </c>
      <c r="DM36" s="55">
        <f>SUMIFS('Disbursements Summary'!$E:$E,'Disbursements Summary'!$C:$C,$C36,'Disbursements Summary'!$A:$A,"MTA")</f>
        <v>0</v>
      </c>
      <c r="DN36" s="55">
        <f>SUMIFS('Awards Summary'!$H:$H,'Awards Summary'!$B:$B,$C36,'Awards Summary'!$J:$J,"NIFA")</f>
        <v>0</v>
      </c>
      <c r="DO36" s="55">
        <f>SUMIFS('Disbursements Summary'!$E:$E,'Disbursements Summary'!$C:$C,$C36,'Disbursements Summary'!$A:$A,"NIFA")</f>
        <v>0</v>
      </c>
      <c r="DP36" s="55">
        <f>SUMIFS('Awards Summary'!$H:$H,'Awards Summary'!$B:$B,$C36,'Awards Summary'!$J:$J,"NHCC")</f>
        <v>0</v>
      </c>
      <c r="DQ36" s="55">
        <f>SUMIFS('Disbursements Summary'!$E:$E,'Disbursements Summary'!$C:$C,$C36,'Disbursements Summary'!$A:$A,"NHCC")</f>
        <v>0</v>
      </c>
      <c r="DR36" s="55">
        <f>SUMIFS('Awards Summary'!$H:$H,'Awards Summary'!$B:$B,$C36,'Awards Summary'!$J:$J,"NHT")</f>
        <v>0</v>
      </c>
      <c r="DS36" s="55">
        <f>SUMIFS('Disbursements Summary'!$E:$E,'Disbursements Summary'!$C:$C,$C36,'Disbursements Summary'!$A:$A,"NHT")</f>
        <v>0</v>
      </c>
      <c r="DT36" s="55">
        <f>SUMIFS('Awards Summary'!$H:$H,'Awards Summary'!$B:$B,$C36,'Awards Summary'!$J:$J,"NYPA")</f>
        <v>0</v>
      </c>
      <c r="DU36" s="55">
        <f>SUMIFS('Disbursements Summary'!$E:$E,'Disbursements Summary'!$C:$C,$C36,'Disbursements Summary'!$A:$A,"NYPA")</f>
        <v>0</v>
      </c>
      <c r="DV36" s="55">
        <f>SUMIFS('Awards Summary'!$H:$H,'Awards Summary'!$B:$B,$C36,'Awards Summary'!$J:$J,"NYSBA")</f>
        <v>0</v>
      </c>
      <c r="DW36" s="55">
        <f>SUMIFS('Disbursements Summary'!$E:$E,'Disbursements Summary'!$C:$C,$C36,'Disbursements Summary'!$A:$A,"NYSBA")</f>
        <v>0</v>
      </c>
      <c r="DX36" s="55">
        <f>SUMIFS('Awards Summary'!$H:$H,'Awards Summary'!$B:$B,$C36,'Awards Summary'!$J:$J,"NYSERDA")</f>
        <v>0</v>
      </c>
      <c r="DY36" s="55">
        <f>SUMIFS('Disbursements Summary'!$E:$E,'Disbursements Summary'!$C:$C,$C36,'Disbursements Summary'!$A:$A,"NYSERDA")</f>
        <v>0</v>
      </c>
      <c r="DZ36" s="55">
        <f>SUMIFS('Awards Summary'!$H:$H,'Awards Summary'!$B:$B,$C36,'Awards Summary'!$J:$J,"DHCR")</f>
        <v>0</v>
      </c>
      <c r="EA36" s="55">
        <f>SUMIFS('Disbursements Summary'!$E:$E,'Disbursements Summary'!$C:$C,$C36,'Disbursements Summary'!$A:$A,"DHCR")</f>
        <v>0</v>
      </c>
      <c r="EB36" s="55">
        <f>SUMIFS('Awards Summary'!$H:$H,'Awards Summary'!$B:$B,$C36,'Awards Summary'!$J:$J,"HFA")</f>
        <v>0</v>
      </c>
      <c r="EC36" s="55">
        <f>SUMIFS('Disbursements Summary'!$E:$E,'Disbursements Summary'!$C:$C,$C36,'Disbursements Summary'!$A:$A,"HFA")</f>
        <v>0</v>
      </c>
      <c r="ED36" s="55">
        <f>SUMIFS('Awards Summary'!$H:$H,'Awards Summary'!$B:$B,$C36,'Awards Summary'!$J:$J,"NYSIF")</f>
        <v>0</v>
      </c>
      <c r="EE36" s="55">
        <f>SUMIFS('Disbursements Summary'!$E:$E,'Disbursements Summary'!$C:$C,$C36,'Disbursements Summary'!$A:$A,"NYSIF")</f>
        <v>0</v>
      </c>
      <c r="EF36" s="55">
        <f>SUMIFS('Awards Summary'!$H:$H,'Awards Summary'!$B:$B,$C36,'Awards Summary'!$J:$J,"NYBREDS")</f>
        <v>0</v>
      </c>
      <c r="EG36" s="55">
        <f>SUMIFS('Disbursements Summary'!$E:$E,'Disbursements Summary'!$C:$C,$C36,'Disbursements Summary'!$A:$A,"NYBREDS")</f>
        <v>0</v>
      </c>
      <c r="EH36" s="55">
        <f>SUMIFS('Awards Summary'!$H:$H,'Awards Summary'!$B:$B,$C36,'Awards Summary'!$J:$J,"NYSTA")</f>
        <v>0</v>
      </c>
      <c r="EI36" s="55">
        <f>SUMIFS('Disbursements Summary'!$E:$E,'Disbursements Summary'!$C:$C,$C36,'Disbursements Summary'!$A:$A,"NYSTA")</f>
        <v>0</v>
      </c>
      <c r="EJ36" s="55">
        <f>SUMIFS('Awards Summary'!$H:$H,'Awards Summary'!$B:$B,$C36,'Awards Summary'!$J:$J,"NFWB")</f>
        <v>0</v>
      </c>
      <c r="EK36" s="55">
        <f>SUMIFS('Disbursements Summary'!$E:$E,'Disbursements Summary'!$C:$C,$C36,'Disbursements Summary'!$A:$A,"NFWB")</f>
        <v>0</v>
      </c>
      <c r="EL36" s="55">
        <f>SUMIFS('Awards Summary'!$H:$H,'Awards Summary'!$B:$B,$C36,'Awards Summary'!$J:$J,"NFTA")</f>
        <v>0</v>
      </c>
      <c r="EM36" s="55">
        <f>SUMIFS('Disbursements Summary'!$E:$E,'Disbursements Summary'!$C:$C,$C36,'Disbursements Summary'!$A:$A,"NFTA")</f>
        <v>0</v>
      </c>
      <c r="EN36" s="55">
        <f>SUMIFS('Awards Summary'!$H:$H,'Awards Summary'!$B:$B,$C36,'Awards Summary'!$J:$J,"OPWDD")</f>
        <v>0</v>
      </c>
      <c r="EO36" s="55">
        <f>SUMIFS('Disbursements Summary'!$E:$E,'Disbursements Summary'!$C:$C,$C36,'Disbursements Summary'!$A:$A,"OPWDD")</f>
        <v>0</v>
      </c>
      <c r="EP36" s="55">
        <f>SUMIFS('Awards Summary'!$H:$H,'Awards Summary'!$B:$B,$C36,'Awards Summary'!$J:$J,"AGING")</f>
        <v>0</v>
      </c>
      <c r="EQ36" s="55">
        <f>SUMIFS('Disbursements Summary'!$E:$E,'Disbursements Summary'!$C:$C,$C36,'Disbursements Summary'!$A:$A,"AGING")</f>
        <v>0</v>
      </c>
      <c r="ER36" s="55">
        <f>SUMIFS('Awards Summary'!$H:$H,'Awards Summary'!$B:$B,$C36,'Awards Summary'!$J:$J,"OPDV")</f>
        <v>0</v>
      </c>
      <c r="ES36" s="55">
        <f>SUMIFS('Disbursements Summary'!$E:$E,'Disbursements Summary'!$C:$C,$C36,'Disbursements Summary'!$A:$A,"OPDV")</f>
        <v>0</v>
      </c>
      <c r="ET36" s="55">
        <f>SUMIFS('Awards Summary'!$H:$H,'Awards Summary'!$B:$B,$C36,'Awards Summary'!$J:$J,"OVS")</f>
        <v>0</v>
      </c>
      <c r="EU36" s="55">
        <f>SUMIFS('Disbursements Summary'!$E:$E,'Disbursements Summary'!$C:$C,$C36,'Disbursements Summary'!$A:$A,"OVS")</f>
        <v>0</v>
      </c>
      <c r="EV36" s="55">
        <f>SUMIFS('Awards Summary'!$H:$H,'Awards Summary'!$B:$B,$C36,'Awards Summary'!$J:$J,"OASAS")</f>
        <v>0</v>
      </c>
      <c r="EW36" s="55">
        <f>SUMIFS('Disbursements Summary'!$E:$E,'Disbursements Summary'!$C:$C,$C36,'Disbursements Summary'!$A:$A,"OASAS")</f>
        <v>0</v>
      </c>
      <c r="EX36" s="55">
        <f>SUMIFS('Awards Summary'!$H:$H,'Awards Summary'!$B:$B,$C36,'Awards Summary'!$J:$J,"OCFS")</f>
        <v>0</v>
      </c>
      <c r="EY36" s="55">
        <f>SUMIFS('Disbursements Summary'!$E:$E,'Disbursements Summary'!$C:$C,$C36,'Disbursements Summary'!$A:$A,"OCFS")</f>
        <v>0</v>
      </c>
      <c r="EZ36" s="55">
        <f>SUMIFS('Awards Summary'!$H:$H,'Awards Summary'!$B:$B,$C36,'Awards Summary'!$J:$J,"OGS")</f>
        <v>0</v>
      </c>
      <c r="FA36" s="55">
        <f>SUMIFS('Disbursements Summary'!$E:$E,'Disbursements Summary'!$C:$C,$C36,'Disbursements Summary'!$A:$A,"OGS")</f>
        <v>0</v>
      </c>
      <c r="FB36" s="55">
        <f>SUMIFS('Awards Summary'!$H:$H,'Awards Summary'!$B:$B,$C36,'Awards Summary'!$J:$J,"OMH")</f>
        <v>0</v>
      </c>
      <c r="FC36" s="55">
        <f>SUMIFS('Disbursements Summary'!$E:$E,'Disbursements Summary'!$C:$C,$C36,'Disbursements Summary'!$A:$A,"OMH")</f>
        <v>0</v>
      </c>
      <c r="FD36" s="55">
        <f>SUMIFS('Awards Summary'!$H:$H,'Awards Summary'!$B:$B,$C36,'Awards Summary'!$J:$J,"PARKS")</f>
        <v>0</v>
      </c>
      <c r="FE36" s="55">
        <f>SUMIFS('Disbursements Summary'!$E:$E,'Disbursements Summary'!$C:$C,$C36,'Disbursements Summary'!$A:$A,"PARKS")</f>
        <v>0</v>
      </c>
      <c r="FF36" s="55">
        <f>SUMIFS('Awards Summary'!$H:$H,'Awards Summary'!$B:$B,$C36,'Awards Summary'!$J:$J,"OTDA")</f>
        <v>0</v>
      </c>
      <c r="FG36" s="55">
        <f>SUMIFS('Disbursements Summary'!$E:$E,'Disbursements Summary'!$C:$C,$C36,'Disbursements Summary'!$A:$A,"OTDA")</f>
        <v>0</v>
      </c>
      <c r="FH36" s="55">
        <f>SUMIFS('Awards Summary'!$H:$H,'Awards Summary'!$B:$B,$C36,'Awards Summary'!$J:$J,"OIG")</f>
        <v>0</v>
      </c>
      <c r="FI36" s="55">
        <f>SUMIFS('Disbursements Summary'!$E:$E,'Disbursements Summary'!$C:$C,$C36,'Disbursements Summary'!$A:$A,"OIG")</f>
        <v>0</v>
      </c>
      <c r="FJ36" s="55">
        <f>SUMIFS('Awards Summary'!$H:$H,'Awards Summary'!$B:$B,$C36,'Awards Summary'!$J:$J,"OMIG")</f>
        <v>0</v>
      </c>
      <c r="FK36" s="55">
        <f>SUMIFS('Disbursements Summary'!$E:$E,'Disbursements Summary'!$C:$C,$C36,'Disbursements Summary'!$A:$A,"OMIG")</f>
        <v>0</v>
      </c>
      <c r="FL36" s="55">
        <f>SUMIFS('Awards Summary'!$H:$H,'Awards Summary'!$B:$B,$C36,'Awards Summary'!$J:$J,"OSC")</f>
        <v>0</v>
      </c>
      <c r="FM36" s="55">
        <f>SUMIFS('Disbursements Summary'!$E:$E,'Disbursements Summary'!$C:$C,$C36,'Disbursements Summary'!$A:$A,"OSC")</f>
        <v>0</v>
      </c>
      <c r="FN36" s="55">
        <f>SUMIFS('Awards Summary'!$H:$H,'Awards Summary'!$B:$B,$C36,'Awards Summary'!$J:$J,"OWIG")</f>
        <v>0</v>
      </c>
      <c r="FO36" s="55">
        <f>SUMIFS('Disbursements Summary'!$E:$E,'Disbursements Summary'!$C:$C,$C36,'Disbursements Summary'!$A:$A,"OWIG")</f>
        <v>0</v>
      </c>
      <c r="FP36" s="55">
        <f>SUMIFS('Awards Summary'!$H:$H,'Awards Summary'!$B:$B,$C36,'Awards Summary'!$J:$J,"OGDEN")</f>
        <v>0</v>
      </c>
      <c r="FQ36" s="55">
        <f>SUMIFS('Disbursements Summary'!$E:$E,'Disbursements Summary'!$C:$C,$C36,'Disbursements Summary'!$A:$A,"OGDEN")</f>
        <v>0</v>
      </c>
      <c r="FR36" s="55">
        <f>SUMIFS('Awards Summary'!$H:$H,'Awards Summary'!$B:$B,$C36,'Awards Summary'!$J:$J,"ORDA")</f>
        <v>0</v>
      </c>
      <c r="FS36" s="55">
        <f>SUMIFS('Disbursements Summary'!$E:$E,'Disbursements Summary'!$C:$C,$C36,'Disbursements Summary'!$A:$A,"ORDA")</f>
        <v>0</v>
      </c>
      <c r="FT36" s="55">
        <f>SUMIFS('Awards Summary'!$H:$H,'Awards Summary'!$B:$B,$C36,'Awards Summary'!$J:$J,"OSWEGO")</f>
        <v>0</v>
      </c>
      <c r="FU36" s="55">
        <f>SUMIFS('Disbursements Summary'!$E:$E,'Disbursements Summary'!$C:$C,$C36,'Disbursements Summary'!$A:$A,"OSWEGO")</f>
        <v>0</v>
      </c>
      <c r="FV36" s="55">
        <f>SUMIFS('Awards Summary'!$H:$H,'Awards Summary'!$B:$B,$C36,'Awards Summary'!$J:$J,"PERB")</f>
        <v>0</v>
      </c>
      <c r="FW36" s="55">
        <f>SUMIFS('Disbursements Summary'!$E:$E,'Disbursements Summary'!$C:$C,$C36,'Disbursements Summary'!$A:$A,"PERB")</f>
        <v>0</v>
      </c>
      <c r="FX36" s="55">
        <f>SUMIFS('Awards Summary'!$H:$H,'Awards Summary'!$B:$B,$C36,'Awards Summary'!$J:$J,"RGRTA")</f>
        <v>0</v>
      </c>
      <c r="FY36" s="55">
        <f>SUMIFS('Disbursements Summary'!$E:$E,'Disbursements Summary'!$C:$C,$C36,'Disbursements Summary'!$A:$A,"RGRTA")</f>
        <v>0</v>
      </c>
      <c r="FZ36" s="55">
        <f>SUMIFS('Awards Summary'!$H:$H,'Awards Summary'!$B:$B,$C36,'Awards Summary'!$J:$J,"RIOC")</f>
        <v>0</v>
      </c>
      <c r="GA36" s="55">
        <f>SUMIFS('Disbursements Summary'!$E:$E,'Disbursements Summary'!$C:$C,$C36,'Disbursements Summary'!$A:$A,"RIOC")</f>
        <v>0</v>
      </c>
      <c r="GB36" s="55">
        <f>SUMIFS('Awards Summary'!$H:$H,'Awards Summary'!$B:$B,$C36,'Awards Summary'!$J:$J,"RPCI")</f>
        <v>0</v>
      </c>
      <c r="GC36" s="55">
        <f>SUMIFS('Disbursements Summary'!$E:$E,'Disbursements Summary'!$C:$C,$C36,'Disbursements Summary'!$A:$A,"RPCI")</f>
        <v>0</v>
      </c>
      <c r="GD36" s="55">
        <f>SUMIFS('Awards Summary'!$H:$H,'Awards Summary'!$B:$B,$C36,'Awards Summary'!$J:$J,"SMDA")</f>
        <v>0</v>
      </c>
      <c r="GE36" s="55">
        <f>SUMIFS('Disbursements Summary'!$E:$E,'Disbursements Summary'!$C:$C,$C36,'Disbursements Summary'!$A:$A,"SMDA")</f>
        <v>0</v>
      </c>
      <c r="GF36" s="55">
        <f>SUMIFS('Awards Summary'!$H:$H,'Awards Summary'!$B:$B,$C36,'Awards Summary'!$J:$J,"SCOC")</f>
        <v>0</v>
      </c>
      <c r="GG36" s="55">
        <f>SUMIFS('Disbursements Summary'!$E:$E,'Disbursements Summary'!$C:$C,$C36,'Disbursements Summary'!$A:$A,"SCOC")</f>
        <v>0</v>
      </c>
      <c r="GH36" s="55">
        <f>SUMIFS('Awards Summary'!$H:$H,'Awards Summary'!$B:$B,$C36,'Awards Summary'!$J:$J,"SUCF")</f>
        <v>0</v>
      </c>
      <c r="GI36" s="55">
        <f>SUMIFS('Disbursements Summary'!$E:$E,'Disbursements Summary'!$C:$C,$C36,'Disbursements Summary'!$A:$A,"SUCF")</f>
        <v>0</v>
      </c>
      <c r="GJ36" s="55">
        <f>SUMIFS('Awards Summary'!$H:$H,'Awards Summary'!$B:$B,$C36,'Awards Summary'!$J:$J,"SUNY")</f>
        <v>0</v>
      </c>
      <c r="GK36" s="55">
        <f>SUMIFS('Disbursements Summary'!$E:$E,'Disbursements Summary'!$C:$C,$C36,'Disbursements Summary'!$A:$A,"SUNY")</f>
        <v>0</v>
      </c>
      <c r="GL36" s="55">
        <f>SUMIFS('Awards Summary'!$H:$H,'Awards Summary'!$B:$B,$C36,'Awards Summary'!$J:$J,"SRAA")</f>
        <v>0</v>
      </c>
      <c r="GM36" s="55">
        <f>SUMIFS('Disbursements Summary'!$E:$E,'Disbursements Summary'!$C:$C,$C36,'Disbursements Summary'!$A:$A,"SRAA")</f>
        <v>0</v>
      </c>
      <c r="GN36" s="55">
        <f>SUMIFS('Awards Summary'!$H:$H,'Awards Summary'!$B:$B,$C36,'Awards Summary'!$J:$J,"UNDC")</f>
        <v>0</v>
      </c>
      <c r="GO36" s="55">
        <f>SUMIFS('Disbursements Summary'!$E:$E,'Disbursements Summary'!$C:$C,$C36,'Disbursements Summary'!$A:$A,"UNDC")</f>
        <v>0</v>
      </c>
      <c r="GP36" s="55">
        <f>SUMIFS('Awards Summary'!$H:$H,'Awards Summary'!$B:$B,$C36,'Awards Summary'!$J:$J,"MVWA")</f>
        <v>0</v>
      </c>
      <c r="GQ36" s="55">
        <f>SUMIFS('Disbursements Summary'!$E:$E,'Disbursements Summary'!$C:$C,$C36,'Disbursements Summary'!$A:$A,"MVWA")</f>
        <v>0</v>
      </c>
      <c r="GR36" s="55">
        <f>SUMIFS('Awards Summary'!$H:$H,'Awards Summary'!$B:$B,$C36,'Awards Summary'!$J:$J,"WMC")</f>
        <v>0</v>
      </c>
      <c r="GS36" s="55">
        <f>SUMIFS('Disbursements Summary'!$E:$E,'Disbursements Summary'!$C:$C,$C36,'Disbursements Summary'!$A:$A,"WMC")</f>
        <v>0</v>
      </c>
      <c r="GT36" s="55">
        <f>SUMIFS('Awards Summary'!$H:$H,'Awards Summary'!$B:$B,$C36,'Awards Summary'!$J:$J,"WCB")</f>
        <v>0</v>
      </c>
      <c r="GU36" s="55">
        <f>SUMIFS('Disbursements Summary'!$E:$E,'Disbursements Summary'!$C:$C,$C36,'Disbursements Summary'!$A:$A,"WCB")</f>
        <v>0</v>
      </c>
      <c r="GV36" s="32">
        <f t="shared" si="5"/>
        <v>0</v>
      </c>
      <c r="GW36" s="32">
        <f t="shared" si="6"/>
        <v>0</v>
      </c>
      <c r="GX36" s="30" t="b">
        <f t="shared" si="7"/>
        <v>1</v>
      </c>
      <c r="GY36" s="30" t="b">
        <f t="shared" si="8"/>
        <v>1</v>
      </c>
    </row>
    <row r="37" spans="1:207" s="30" customFormat="1">
      <c r="A37" s="22" t="str">
        <f t="shared" si="0"/>
        <v/>
      </c>
      <c r="B37" s="40" t="s">
        <v>118</v>
      </c>
      <c r="C37" s="16">
        <v>141062</v>
      </c>
      <c r="D37" s="26">
        <f>COUNTIF('Awards Summary'!B:B,"141062")</f>
        <v>0</v>
      </c>
      <c r="E37" s="45">
        <f>SUMIFS('Awards Summary'!H:H,'Awards Summary'!B:B,"141062")</f>
        <v>0</v>
      </c>
      <c r="F37" s="46">
        <f>SUMIFS('Disbursements Summary'!E:E,'Disbursements Summary'!C:C, "141062")</f>
        <v>0</v>
      </c>
      <c r="H37" s="55">
        <f>SUMIFS('Awards Summary'!$H:$H,'Awards Summary'!$B:$B,$C37,'Awards Summary'!$J:$J,"APA")</f>
        <v>0</v>
      </c>
      <c r="I37" s="55">
        <f>SUMIFS('Disbursements Summary'!$E:$E,'Disbursements Summary'!$C:$C,$C37,'Disbursements Summary'!$A:$A,"APA")</f>
        <v>0</v>
      </c>
      <c r="J37" s="55">
        <f>SUMIFS('Awards Summary'!$H:$H,'Awards Summary'!$B:$B,$C37,'Awards Summary'!$J:$J,"Ag&amp;Horse")</f>
        <v>0</v>
      </c>
      <c r="K37" s="55">
        <f>SUMIFS('Disbursements Summary'!$E:$E,'Disbursements Summary'!$C:$C,$C37,'Disbursements Summary'!$A:$A,"Ag&amp;Horse")</f>
        <v>0</v>
      </c>
      <c r="L37" s="55">
        <f>SUMIFS('Awards Summary'!$H:$H,'Awards Summary'!$B:$B,$C37,'Awards Summary'!$J:$J,"ACAA")</f>
        <v>0</v>
      </c>
      <c r="M37" s="55">
        <f>SUMIFS('Disbursements Summary'!$E:$E,'Disbursements Summary'!$C:$C,$C37,'Disbursements Summary'!$A:$A,"ACAA")</f>
        <v>0</v>
      </c>
      <c r="N37" s="55">
        <f>SUMIFS('Awards Summary'!$H:$H,'Awards Summary'!$B:$B,$C37,'Awards Summary'!$J:$J,"PortAlbany")</f>
        <v>0</v>
      </c>
      <c r="O37" s="55">
        <f>SUMIFS('Disbursements Summary'!$E:$E,'Disbursements Summary'!$C:$C,$C37,'Disbursements Summary'!$A:$A,"PortAlbany")</f>
        <v>0</v>
      </c>
      <c r="P37" s="55">
        <f>SUMIFS('Awards Summary'!$H:$H,'Awards Summary'!$B:$B,$C37,'Awards Summary'!$J:$J,"SLA")</f>
        <v>0</v>
      </c>
      <c r="Q37" s="55">
        <f>SUMIFS('Disbursements Summary'!$E:$E,'Disbursements Summary'!$C:$C,$C37,'Disbursements Summary'!$A:$A,"SLA")</f>
        <v>0</v>
      </c>
      <c r="R37" s="55">
        <f>SUMIFS('Awards Summary'!$H:$H,'Awards Summary'!$B:$B,$C37,'Awards Summary'!$J:$J,"BPCA")</f>
        <v>0</v>
      </c>
      <c r="S37" s="55">
        <f>SUMIFS('Disbursements Summary'!$E:$E,'Disbursements Summary'!$C:$C,$C37,'Disbursements Summary'!$A:$A,"BPCA")</f>
        <v>0</v>
      </c>
      <c r="T37" s="55">
        <f>SUMIFS('Awards Summary'!$H:$H,'Awards Summary'!$B:$B,$C37,'Awards Summary'!$J:$J,"ELECTIONS")</f>
        <v>0</v>
      </c>
      <c r="U37" s="55">
        <f>SUMIFS('Disbursements Summary'!$E:$E,'Disbursements Summary'!$C:$C,$C37,'Disbursements Summary'!$A:$A,"ELECTIONS")</f>
        <v>0</v>
      </c>
      <c r="V37" s="55">
        <f>SUMIFS('Awards Summary'!$H:$H,'Awards Summary'!$B:$B,$C37,'Awards Summary'!$J:$J,"BFSA")</f>
        <v>0</v>
      </c>
      <c r="W37" s="55">
        <f>SUMIFS('Disbursements Summary'!$E:$E,'Disbursements Summary'!$C:$C,$C37,'Disbursements Summary'!$A:$A,"BFSA")</f>
        <v>0</v>
      </c>
      <c r="X37" s="55">
        <f>SUMIFS('Awards Summary'!$H:$H,'Awards Summary'!$B:$B,$C37,'Awards Summary'!$J:$J,"CDTA")</f>
        <v>0</v>
      </c>
      <c r="Y37" s="55">
        <f>SUMIFS('Disbursements Summary'!$E:$E,'Disbursements Summary'!$C:$C,$C37,'Disbursements Summary'!$A:$A,"CDTA")</f>
        <v>0</v>
      </c>
      <c r="Z37" s="55">
        <f>SUMIFS('Awards Summary'!$H:$H,'Awards Summary'!$B:$B,$C37,'Awards Summary'!$J:$J,"CCWSA")</f>
        <v>0</v>
      </c>
      <c r="AA37" s="55">
        <f>SUMIFS('Disbursements Summary'!$E:$E,'Disbursements Summary'!$C:$C,$C37,'Disbursements Summary'!$A:$A,"CCWSA")</f>
        <v>0</v>
      </c>
      <c r="AB37" s="55">
        <f>SUMIFS('Awards Summary'!$H:$H,'Awards Summary'!$B:$B,$C37,'Awards Summary'!$J:$J,"CNYRTA")</f>
        <v>0</v>
      </c>
      <c r="AC37" s="55">
        <f>SUMIFS('Disbursements Summary'!$E:$E,'Disbursements Summary'!$C:$C,$C37,'Disbursements Summary'!$A:$A,"CNYRTA")</f>
        <v>0</v>
      </c>
      <c r="AD37" s="55">
        <f>SUMIFS('Awards Summary'!$H:$H,'Awards Summary'!$B:$B,$C37,'Awards Summary'!$J:$J,"CUCF")</f>
        <v>0</v>
      </c>
      <c r="AE37" s="55">
        <f>SUMIFS('Disbursements Summary'!$E:$E,'Disbursements Summary'!$C:$C,$C37,'Disbursements Summary'!$A:$A,"CUCF")</f>
        <v>0</v>
      </c>
      <c r="AF37" s="55">
        <f>SUMIFS('Awards Summary'!$H:$H,'Awards Summary'!$B:$B,$C37,'Awards Summary'!$J:$J,"CUNY")</f>
        <v>0</v>
      </c>
      <c r="AG37" s="55">
        <f>SUMIFS('Disbursements Summary'!$E:$E,'Disbursements Summary'!$C:$C,$C37,'Disbursements Summary'!$A:$A,"CUNY")</f>
        <v>0</v>
      </c>
      <c r="AH37" s="55">
        <f>SUMIFS('Awards Summary'!$H:$H,'Awards Summary'!$B:$B,$C37,'Awards Summary'!$J:$J,"ARTS")</f>
        <v>0</v>
      </c>
      <c r="AI37" s="55">
        <f>SUMIFS('Disbursements Summary'!$E:$E,'Disbursements Summary'!$C:$C,$C37,'Disbursements Summary'!$A:$A,"ARTS")</f>
        <v>0</v>
      </c>
      <c r="AJ37" s="55">
        <f>SUMIFS('Awards Summary'!$H:$H,'Awards Summary'!$B:$B,$C37,'Awards Summary'!$J:$J,"AG&amp;MKTS")</f>
        <v>0</v>
      </c>
      <c r="AK37" s="55">
        <f>SUMIFS('Disbursements Summary'!$E:$E,'Disbursements Summary'!$C:$C,$C37,'Disbursements Summary'!$A:$A,"AG&amp;MKTS")</f>
        <v>0</v>
      </c>
      <c r="AL37" s="55">
        <f>SUMIFS('Awards Summary'!$H:$H,'Awards Summary'!$B:$B,$C37,'Awards Summary'!$J:$J,"CS")</f>
        <v>0</v>
      </c>
      <c r="AM37" s="55">
        <f>SUMIFS('Disbursements Summary'!$E:$E,'Disbursements Summary'!$C:$C,$C37,'Disbursements Summary'!$A:$A,"CS")</f>
        <v>0</v>
      </c>
      <c r="AN37" s="55">
        <f>SUMIFS('Awards Summary'!$H:$H,'Awards Summary'!$B:$B,$C37,'Awards Summary'!$J:$J,"DOCCS")</f>
        <v>0</v>
      </c>
      <c r="AO37" s="55">
        <f>SUMIFS('Disbursements Summary'!$E:$E,'Disbursements Summary'!$C:$C,$C37,'Disbursements Summary'!$A:$A,"DOCCS")</f>
        <v>0</v>
      </c>
      <c r="AP37" s="55">
        <f>SUMIFS('Awards Summary'!$H:$H,'Awards Summary'!$B:$B,$C37,'Awards Summary'!$J:$J,"DED")</f>
        <v>0</v>
      </c>
      <c r="AQ37" s="55">
        <f>SUMIFS('Disbursements Summary'!$E:$E,'Disbursements Summary'!$C:$C,$C37,'Disbursements Summary'!$A:$A,"DED")</f>
        <v>0</v>
      </c>
      <c r="AR37" s="55">
        <f>SUMIFS('Awards Summary'!$H:$H,'Awards Summary'!$B:$B,$C37,'Awards Summary'!$J:$J,"DEC")</f>
        <v>0</v>
      </c>
      <c r="AS37" s="55">
        <f>SUMIFS('Disbursements Summary'!$E:$E,'Disbursements Summary'!$C:$C,$C37,'Disbursements Summary'!$A:$A,"DEC")</f>
        <v>0</v>
      </c>
      <c r="AT37" s="55">
        <f>SUMIFS('Awards Summary'!$H:$H,'Awards Summary'!$B:$B,$C37,'Awards Summary'!$J:$J,"DFS")</f>
        <v>0</v>
      </c>
      <c r="AU37" s="55">
        <f>SUMIFS('Disbursements Summary'!$E:$E,'Disbursements Summary'!$C:$C,$C37,'Disbursements Summary'!$A:$A,"DFS")</f>
        <v>0</v>
      </c>
      <c r="AV37" s="55">
        <f>SUMIFS('Awards Summary'!$H:$H,'Awards Summary'!$B:$B,$C37,'Awards Summary'!$J:$J,"DOH")</f>
        <v>0</v>
      </c>
      <c r="AW37" s="55">
        <f>SUMIFS('Disbursements Summary'!$E:$E,'Disbursements Summary'!$C:$C,$C37,'Disbursements Summary'!$A:$A,"DOH")</f>
        <v>0</v>
      </c>
      <c r="AX37" s="55">
        <f>SUMIFS('Awards Summary'!$H:$H,'Awards Summary'!$B:$B,$C37,'Awards Summary'!$J:$J,"DOL")</f>
        <v>0</v>
      </c>
      <c r="AY37" s="55">
        <f>SUMIFS('Disbursements Summary'!$E:$E,'Disbursements Summary'!$C:$C,$C37,'Disbursements Summary'!$A:$A,"DOL")</f>
        <v>0</v>
      </c>
      <c r="AZ37" s="55">
        <f>SUMIFS('Awards Summary'!$H:$H,'Awards Summary'!$B:$B,$C37,'Awards Summary'!$J:$J,"DMV")</f>
        <v>0</v>
      </c>
      <c r="BA37" s="55">
        <f>SUMIFS('Disbursements Summary'!$E:$E,'Disbursements Summary'!$C:$C,$C37,'Disbursements Summary'!$A:$A,"DMV")</f>
        <v>0</v>
      </c>
      <c r="BB37" s="55">
        <f>SUMIFS('Awards Summary'!$H:$H,'Awards Summary'!$B:$B,$C37,'Awards Summary'!$J:$J,"DPS")</f>
        <v>0</v>
      </c>
      <c r="BC37" s="55">
        <f>SUMIFS('Disbursements Summary'!$E:$E,'Disbursements Summary'!$C:$C,$C37,'Disbursements Summary'!$A:$A,"DPS")</f>
        <v>0</v>
      </c>
      <c r="BD37" s="55">
        <f>SUMIFS('Awards Summary'!$H:$H,'Awards Summary'!$B:$B,$C37,'Awards Summary'!$J:$J,"DOS")</f>
        <v>0</v>
      </c>
      <c r="BE37" s="55">
        <f>SUMIFS('Disbursements Summary'!$E:$E,'Disbursements Summary'!$C:$C,$C37,'Disbursements Summary'!$A:$A,"DOS")</f>
        <v>0</v>
      </c>
      <c r="BF37" s="55">
        <f>SUMIFS('Awards Summary'!$H:$H,'Awards Summary'!$B:$B,$C37,'Awards Summary'!$J:$J,"TAX")</f>
        <v>0</v>
      </c>
      <c r="BG37" s="55">
        <f>SUMIFS('Disbursements Summary'!$E:$E,'Disbursements Summary'!$C:$C,$C37,'Disbursements Summary'!$A:$A,"TAX")</f>
        <v>0</v>
      </c>
      <c r="BH37" s="55">
        <f>SUMIFS('Awards Summary'!$H:$H,'Awards Summary'!$B:$B,$C37,'Awards Summary'!$J:$J,"DOT")</f>
        <v>0</v>
      </c>
      <c r="BI37" s="55">
        <f>SUMIFS('Disbursements Summary'!$E:$E,'Disbursements Summary'!$C:$C,$C37,'Disbursements Summary'!$A:$A,"DOT")</f>
        <v>0</v>
      </c>
      <c r="BJ37" s="55">
        <f>SUMIFS('Awards Summary'!$H:$H,'Awards Summary'!$B:$B,$C37,'Awards Summary'!$J:$J,"DANC")</f>
        <v>0</v>
      </c>
      <c r="BK37" s="55">
        <f>SUMIFS('Disbursements Summary'!$E:$E,'Disbursements Summary'!$C:$C,$C37,'Disbursements Summary'!$A:$A,"DANC")</f>
        <v>0</v>
      </c>
      <c r="BL37" s="55">
        <f>SUMIFS('Awards Summary'!$H:$H,'Awards Summary'!$B:$B,$C37,'Awards Summary'!$J:$J,"DOB")</f>
        <v>0</v>
      </c>
      <c r="BM37" s="55">
        <f>SUMIFS('Disbursements Summary'!$E:$E,'Disbursements Summary'!$C:$C,$C37,'Disbursements Summary'!$A:$A,"DOB")</f>
        <v>0</v>
      </c>
      <c r="BN37" s="55">
        <f>SUMIFS('Awards Summary'!$H:$H,'Awards Summary'!$B:$B,$C37,'Awards Summary'!$J:$J,"DCJS")</f>
        <v>0</v>
      </c>
      <c r="BO37" s="55">
        <f>SUMIFS('Disbursements Summary'!$E:$E,'Disbursements Summary'!$C:$C,$C37,'Disbursements Summary'!$A:$A,"DCJS")</f>
        <v>0</v>
      </c>
      <c r="BP37" s="55">
        <f>SUMIFS('Awards Summary'!$H:$H,'Awards Summary'!$B:$B,$C37,'Awards Summary'!$J:$J,"DHSES")</f>
        <v>0</v>
      </c>
      <c r="BQ37" s="55">
        <f>SUMIFS('Disbursements Summary'!$E:$E,'Disbursements Summary'!$C:$C,$C37,'Disbursements Summary'!$A:$A,"DHSES")</f>
        <v>0</v>
      </c>
      <c r="BR37" s="55">
        <f>SUMIFS('Awards Summary'!$H:$H,'Awards Summary'!$B:$B,$C37,'Awards Summary'!$J:$J,"DHR")</f>
        <v>0</v>
      </c>
      <c r="BS37" s="55">
        <f>SUMIFS('Disbursements Summary'!$E:$E,'Disbursements Summary'!$C:$C,$C37,'Disbursements Summary'!$A:$A,"DHR")</f>
        <v>0</v>
      </c>
      <c r="BT37" s="55">
        <f>SUMIFS('Awards Summary'!$H:$H,'Awards Summary'!$B:$B,$C37,'Awards Summary'!$J:$J,"DMNA")</f>
        <v>0</v>
      </c>
      <c r="BU37" s="55">
        <f>SUMIFS('Disbursements Summary'!$E:$E,'Disbursements Summary'!$C:$C,$C37,'Disbursements Summary'!$A:$A,"DMNA")</f>
        <v>0</v>
      </c>
      <c r="BV37" s="55">
        <f>SUMIFS('Awards Summary'!$H:$H,'Awards Summary'!$B:$B,$C37,'Awards Summary'!$J:$J,"TROOPERS")</f>
        <v>0</v>
      </c>
      <c r="BW37" s="55">
        <f>SUMIFS('Disbursements Summary'!$E:$E,'Disbursements Summary'!$C:$C,$C37,'Disbursements Summary'!$A:$A,"TROOPERS")</f>
        <v>0</v>
      </c>
      <c r="BX37" s="55">
        <f>SUMIFS('Awards Summary'!$H:$H,'Awards Summary'!$B:$B,$C37,'Awards Summary'!$J:$J,"DVA")</f>
        <v>0</v>
      </c>
      <c r="BY37" s="55">
        <f>SUMIFS('Disbursements Summary'!$E:$E,'Disbursements Summary'!$C:$C,$C37,'Disbursements Summary'!$A:$A,"DVA")</f>
        <v>0</v>
      </c>
      <c r="BZ37" s="55">
        <f>SUMIFS('Awards Summary'!$H:$H,'Awards Summary'!$B:$B,$C37,'Awards Summary'!$J:$J,"DASNY")</f>
        <v>0</v>
      </c>
      <c r="CA37" s="55">
        <f>SUMIFS('Disbursements Summary'!$E:$E,'Disbursements Summary'!$C:$C,$C37,'Disbursements Summary'!$A:$A,"DASNY")</f>
        <v>0</v>
      </c>
      <c r="CB37" s="55">
        <f>SUMIFS('Awards Summary'!$H:$H,'Awards Summary'!$B:$B,$C37,'Awards Summary'!$J:$J,"EGG")</f>
        <v>0</v>
      </c>
      <c r="CC37" s="55">
        <f>SUMIFS('Disbursements Summary'!$E:$E,'Disbursements Summary'!$C:$C,$C37,'Disbursements Summary'!$A:$A,"EGG")</f>
        <v>0</v>
      </c>
      <c r="CD37" s="55">
        <f>SUMIFS('Awards Summary'!$H:$H,'Awards Summary'!$B:$B,$C37,'Awards Summary'!$J:$J,"ESD")</f>
        <v>0</v>
      </c>
      <c r="CE37" s="55">
        <f>SUMIFS('Disbursements Summary'!$E:$E,'Disbursements Summary'!$C:$C,$C37,'Disbursements Summary'!$A:$A,"ESD")</f>
        <v>0</v>
      </c>
      <c r="CF37" s="55">
        <f>SUMIFS('Awards Summary'!$H:$H,'Awards Summary'!$B:$B,$C37,'Awards Summary'!$J:$J,"EFC")</f>
        <v>0</v>
      </c>
      <c r="CG37" s="55">
        <f>SUMIFS('Disbursements Summary'!$E:$E,'Disbursements Summary'!$C:$C,$C37,'Disbursements Summary'!$A:$A,"EFC")</f>
        <v>0</v>
      </c>
      <c r="CH37" s="55">
        <f>SUMIFS('Awards Summary'!$H:$H,'Awards Summary'!$B:$B,$C37,'Awards Summary'!$J:$J,"ECFSA")</f>
        <v>0</v>
      </c>
      <c r="CI37" s="55">
        <f>SUMIFS('Disbursements Summary'!$E:$E,'Disbursements Summary'!$C:$C,$C37,'Disbursements Summary'!$A:$A,"ECFSA")</f>
        <v>0</v>
      </c>
      <c r="CJ37" s="55">
        <f>SUMIFS('Awards Summary'!$H:$H,'Awards Summary'!$B:$B,$C37,'Awards Summary'!$J:$J,"ECMC")</f>
        <v>0</v>
      </c>
      <c r="CK37" s="55">
        <f>SUMIFS('Disbursements Summary'!$E:$E,'Disbursements Summary'!$C:$C,$C37,'Disbursements Summary'!$A:$A,"ECMC")</f>
        <v>0</v>
      </c>
      <c r="CL37" s="55">
        <f>SUMIFS('Awards Summary'!$H:$H,'Awards Summary'!$B:$B,$C37,'Awards Summary'!$J:$J,"CHAMBER")</f>
        <v>0</v>
      </c>
      <c r="CM37" s="55">
        <f>SUMIFS('Disbursements Summary'!$E:$E,'Disbursements Summary'!$C:$C,$C37,'Disbursements Summary'!$A:$A,"CHAMBER")</f>
        <v>0</v>
      </c>
      <c r="CN37" s="55">
        <f>SUMIFS('Awards Summary'!$H:$H,'Awards Summary'!$B:$B,$C37,'Awards Summary'!$J:$J,"GAMING")</f>
        <v>0</v>
      </c>
      <c r="CO37" s="55">
        <f>SUMIFS('Disbursements Summary'!$E:$E,'Disbursements Summary'!$C:$C,$C37,'Disbursements Summary'!$A:$A,"GAMING")</f>
        <v>0</v>
      </c>
      <c r="CP37" s="55">
        <f>SUMIFS('Awards Summary'!$H:$H,'Awards Summary'!$B:$B,$C37,'Awards Summary'!$J:$J,"GOER")</f>
        <v>0</v>
      </c>
      <c r="CQ37" s="55">
        <f>SUMIFS('Disbursements Summary'!$E:$E,'Disbursements Summary'!$C:$C,$C37,'Disbursements Summary'!$A:$A,"GOER")</f>
        <v>0</v>
      </c>
      <c r="CR37" s="55">
        <f>SUMIFS('Awards Summary'!$H:$H,'Awards Summary'!$B:$B,$C37,'Awards Summary'!$J:$J,"HESC")</f>
        <v>0</v>
      </c>
      <c r="CS37" s="55">
        <f>SUMIFS('Disbursements Summary'!$E:$E,'Disbursements Summary'!$C:$C,$C37,'Disbursements Summary'!$A:$A,"HESC")</f>
        <v>0</v>
      </c>
      <c r="CT37" s="55">
        <f>SUMIFS('Awards Summary'!$H:$H,'Awards Summary'!$B:$B,$C37,'Awards Summary'!$J:$J,"GOSR")</f>
        <v>0</v>
      </c>
      <c r="CU37" s="55">
        <f>SUMIFS('Disbursements Summary'!$E:$E,'Disbursements Summary'!$C:$C,$C37,'Disbursements Summary'!$A:$A,"GOSR")</f>
        <v>0</v>
      </c>
      <c r="CV37" s="55">
        <f>SUMIFS('Awards Summary'!$H:$H,'Awards Summary'!$B:$B,$C37,'Awards Summary'!$J:$J,"HRPT")</f>
        <v>0</v>
      </c>
      <c r="CW37" s="55">
        <f>SUMIFS('Disbursements Summary'!$E:$E,'Disbursements Summary'!$C:$C,$C37,'Disbursements Summary'!$A:$A,"HRPT")</f>
        <v>0</v>
      </c>
      <c r="CX37" s="55">
        <f>SUMIFS('Awards Summary'!$H:$H,'Awards Summary'!$B:$B,$C37,'Awards Summary'!$J:$J,"HRBRRD")</f>
        <v>0</v>
      </c>
      <c r="CY37" s="55">
        <f>SUMIFS('Disbursements Summary'!$E:$E,'Disbursements Summary'!$C:$C,$C37,'Disbursements Summary'!$A:$A,"HRBRRD")</f>
        <v>0</v>
      </c>
      <c r="CZ37" s="55">
        <f>SUMIFS('Awards Summary'!$H:$H,'Awards Summary'!$B:$B,$C37,'Awards Summary'!$J:$J,"ITS")</f>
        <v>0</v>
      </c>
      <c r="DA37" s="55">
        <f>SUMIFS('Disbursements Summary'!$E:$E,'Disbursements Summary'!$C:$C,$C37,'Disbursements Summary'!$A:$A,"ITS")</f>
        <v>0</v>
      </c>
      <c r="DB37" s="55">
        <f>SUMIFS('Awards Summary'!$H:$H,'Awards Summary'!$B:$B,$C37,'Awards Summary'!$J:$J,"JAVITS")</f>
        <v>0</v>
      </c>
      <c r="DC37" s="55">
        <f>SUMIFS('Disbursements Summary'!$E:$E,'Disbursements Summary'!$C:$C,$C37,'Disbursements Summary'!$A:$A,"JAVITS")</f>
        <v>0</v>
      </c>
      <c r="DD37" s="55">
        <f>SUMIFS('Awards Summary'!$H:$H,'Awards Summary'!$B:$B,$C37,'Awards Summary'!$J:$J,"JCOPE")</f>
        <v>0</v>
      </c>
      <c r="DE37" s="55">
        <f>SUMIFS('Disbursements Summary'!$E:$E,'Disbursements Summary'!$C:$C,$C37,'Disbursements Summary'!$A:$A,"JCOPE")</f>
        <v>0</v>
      </c>
      <c r="DF37" s="55">
        <f>SUMIFS('Awards Summary'!$H:$H,'Awards Summary'!$B:$B,$C37,'Awards Summary'!$J:$J,"JUSTICE")</f>
        <v>0</v>
      </c>
      <c r="DG37" s="55">
        <f>SUMIFS('Disbursements Summary'!$E:$E,'Disbursements Summary'!$C:$C,$C37,'Disbursements Summary'!$A:$A,"JUSTICE")</f>
        <v>0</v>
      </c>
      <c r="DH37" s="55">
        <f>SUMIFS('Awards Summary'!$H:$H,'Awards Summary'!$B:$B,$C37,'Awards Summary'!$J:$J,"LCWSA")</f>
        <v>0</v>
      </c>
      <c r="DI37" s="55">
        <f>SUMIFS('Disbursements Summary'!$E:$E,'Disbursements Summary'!$C:$C,$C37,'Disbursements Summary'!$A:$A,"LCWSA")</f>
        <v>0</v>
      </c>
      <c r="DJ37" s="55">
        <f>SUMIFS('Awards Summary'!$H:$H,'Awards Summary'!$B:$B,$C37,'Awards Summary'!$J:$J,"LIPA")</f>
        <v>0</v>
      </c>
      <c r="DK37" s="55">
        <f>SUMIFS('Disbursements Summary'!$E:$E,'Disbursements Summary'!$C:$C,$C37,'Disbursements Summary'!$A:$A,"LIPA")</f>
        <v>0</v>
      </c>
      <c r="DL37" s="55">
        <f>SUMIFS('Awards Summary'!$H:$H,'Awards Summary'!$B:$B,$C37,'Awards Summary'!$J:$J,"MTA")</f>
        <v>0</v>
      </c>
      <c r="DM37" s="55">
        <f>SUMIFS('Disbursements Summary'!$E:$E,'Disbursements Summary'!$C:$C,$C37,'Disbursements Summary'!$A:$A,"MTA")</f>
        <v>0</v>
      </c>
      <c r="DN37" s="55">
        <f>SUMIFS('Awards Summary'!$H:$H,'Awards Summary'!$B:$B,$C37,'Awards Summary'!$J:$J,"NIFA")</f>
        <v>0</v>
      </c>
      <c r="DO37" s="55">
        <f>SUMIFS('Disbursements Summary'!$E:$E,'Disbursements Summary'!$C:$C,$C37,'Disbursements Summary'!$A:$A,"NIFA")</f>
        <v>0</v>
      </c>
      <c r="DP37" s="55">
        <f>SUMIFS('Awards Summary'!$H:$H,'Awards Summary'!$B:$B,$C37,'Awards Summary'!$J:$J,"NHCC")</f>
        <v>0</v>
      </c>
      <c r="DQ37" s="55">
        <f>SUMIFS('Disbursements Summary'!$E:$E,'Disbursements Summary'!$C:$C,$C37,'Disbursements Summary'!$A:$A,"NHCC")</f>
        <v>0</v>
      </c>
      <c r="DR37" s="55">
        <f>SUMIFS('Awards Summary'!$H:$H,'Awards Summary'!$B:$B,$C37,'Awards Summary'!$J:$J,"NHT")</f>
        <v>0</v>
      </c>
      <c r="DS37" s="55">
        <f>SUMIFS('Disbursements Summary'!$E:$E,'Disbursements Summary'!$C:$C,$C37,'Disbursements Summary'!$A:$A,"NHT")</f>
        <v>0</v>
      </c>
      <c r="DT37" s="55">
        <f>SUMIFS('Awards Summary'!$H:$H,'Awards Summary'!$B:$B,$C37,'Awards Summary'!$J:$J,"NYPA")</f>
        <v>0</v>
      </c>
      <c r="DU37" s="55">
        <f>SUMIFS('Disbursements Summary'!$E:$E,'Disbursements Summary'!$C:$C,$C37,'Disbursements Summary'!$A:$A,"NYPA")</f>
        <v>0</v>
      </c>
      <c r="DV37" s="55">
        <f>SUMIFS('Awards Summary'!$H:$H,'Awards Summary'!$B:$B,$C37,'Awards Summary'!$J:$J,"NYSBA")</f>
        <v>0</v>
      </c>
      <c r="DW37" s="55">
        <f>SUMIFS('Disbursements Summary'!$E:$E,'Disbursements Summary'!$C:$C,$C37,'Disbursements Summary'!$A:$A,"NYSBA")</f>
        <v>0</v>
      </c>
      <c r="DX37" s="55">
        <f>SUMIFS('Awards Summary'!$H:$H,'Awards Summary'!$B:$B,$C37,'Awards Summary'!$J:$J,"NYSERDA")</f>
        <v>0</v>
      </c>
      <c r="DY37" s="55">
        <f>SUMIFS('Disbursements Summary'!$E:$E,'Disbursements Summary'!$C:$C,$C37,'Disbursements Summary'!$A:$A,"NYSERDA")</f>
        <v>0</v>
      </c>
      <c r="DZ37" s="55">
        <f>SUMIFS('Awards Summary'!$H:$H,'Awards Summary'!$B:$B,$C37,'Awards Summary'!$J:$J,"DHCR")</f>
        <v>0</v>
      </c>
      <c r="EA37" s="55">
        <f>SUMIFS('Disbursements Summary'!$E:$E,'Disbursements Summary'!$C:$C,$C37,'Disbursements Summary'!$A:$A,"DHCR")</f>
        <v>0</v>
      </c>
      <c r="EB37" s="55">
        <f>SUMIFS('Awards Summary'!$H:$H,'Awards Summary'!$B:$B,$C37,'Awards Summary'!$J:$J,"HFA")</f>
        <v>0</v>
      </c>
      <c r="EC37" s="55">
        <f>SUMIFS('Disbursements Summary'!$E:$E,'Disbursements Summary'!$C:$C,$C37,'Disbursements Summary'!$A:$A,"HFA")</f>
        <v>0</v>
      </c>
      <c r="ED37" s="55">
        <f>SUMIFS('Awards Summary'!$H:$H,'Awards Summary'!$B:$B,$C37,'Awards Summary'!$J:$J,"NYSIF")</f>
        <v>0</v>
      </c>
      <c r="EE37" s="55">
        <f>SUMIFS('Disbursements Summary'!$E:$E,'Disbursements Summary'!$C:$C,$C37,'Disbursements Summary'!$A:$A,"NYSIF")</f>
        <v>0</v>
      </c>
      <c r="EF37" s="55">
        <f>SUMIFS('Awards Summary'!$H:$H,'Awards Summary'!$B:$B,$C37,'Awards Summary'!$J:$J,"NYBREDS")</f>
        <v>0</v>
      </c>
      <c r="EG37" s="55">
        <f>SUMIFS('Disbursements Summary'!$E:$E,'Disbursements Summary'!$C:$C,$C37,'Disbursements Summary'!$A:$A,"NYBREDS")</f>
        <v>0</v>
      </c>
      <c r="EH37" s="55">
        <f>SUMIFS('Awards Summary'!$H:$H,'Awards Summary'!$B:$B,$C37,'Awards Summary'!$J:$J,"NYSTA")</f>
        <v>0</v>
      </c>
      <c r="EI37" s="55">
        <f>SUMIFS('Disbursements Summary'!$E:$E,'Disbursements Summary'!$C:$C,$C37,'Disbursements Summary'!$A:$A,"NYSTA")</f>
        <v>0</v>
      </c>
      <c r="EJ37" s="55">
        <f>SUMIFS('Awards Summary'!$H:$H,'Awards Summary'!$B:$B,$C37,'Awards Summary'!$J:$J,"NFWB")</f>
        <v>0</v>
      </c>
      <c r="EK37" s="55">
        <f>SUMIFS('Disbursements Summary'!$E:$E,'Disbursements Summary'!$C:$C,$C37,'Disbursements Summary'!$A:$A,"NFWB")</f>
        <v>0</v>
      </c>
      <c r="EL37" s="55">
        <f>SUMIFS('Awards Summary'!$H:$H,'Awards Summary'!$B:$B,$C37,'Awards Summary'!$J:$J,"NFTA")</f>
        <v>0</v>
      </c>
      <c r="EM37" s="55">
        <f>SUMIFS('Disbursements Summary'!$E:$E,'Disbursements Summary'!$C:$C,$C37,'Disbursements Summary'!$A:$A,"NFTA")</f>
        <v>0</v>
      </c>
      <c r="EN37" s="55">
        <f>SUMIFS('Awards Summary'!$H:$H,'Awards Summary'!$B:$B,$C37,'Awards Summary'!$J:$J,"OPWDD")</f>
        <v>0</v>
      </c>
      <c r="EO37" s="55">
        <f>SUMIFS('Disbursements Summary'!$E:$E,'Disbursements Summary'!$C:$C,$C37,'Disbursements Summary'!$A:$A,"OPWDD")</f>
        <v>0</v>
      </c>
      <c r="EP37" s="55">
        <f>SUMIFS('Awards Summary'!$H:$H,'Awards Summary'!$B:$B,$C37,'Awards Summary'!$J:$J,"AGING")</f>
        <v>0</v>
      </c>
      <c r="EQ37" s="55">
        <f>SUMIFS('Disbursements Summary'!$E:$E,'Disbursements Summary'!$C:$C,$C37,'Disbursements Summary'!$A:$A,"AGING")</f>
        <v>0</v>
      </c>
      <c r="ER37" s="55">
        <f>SUMIFS('Awards Summary'!$H:$H,'Awards Summary'!$B:$B,$C37,'Awards Summary'!$J:$J,"OPDV")</f>
        <v>0</v>
      </c>
      <c r="ES37" s="55">
        <f>SUMIFS('Disbursements Summary'!$E:$E,'Disbursements Summary'!$C:$C,$C37,'Disbursements Summary'!$A:$A,"OPDV")</f>
        <v>0</v>
      </c>
      <c r="ET37" s="55">
        <f>SUMIFS('Awards Summary'!$H:$H,'Awards Summary'!$B:$B,$C37,'Awards Summary'!$J:$J,"OVS")</f>
        <v>0</v>
      </c>
      <c r="EU37" s="55">
        <f>SUMIFS('Disbursements Summary'!$E:$E,'Disbursements Summary'!$C:$C,$C37,'Disbursements Summary'!$A:$A,"OVS")</f>
        <v>0</v>
      </c>
      <c r="EV37" s="55">
        <f>SUMIFS('Awards Summary'!$H:$H,'Awards Summary'!$B:$B,$C37,'Awards Summary'!$J:$J,"OASAS")</f>
        <v>0</v>
      </c>
      <c r="EW37" s="55">
        <f>SUMIFS('Disbursements Summary'!$E:$E,'Disbursements Summary'!$C:$C,$C37,'Disbursements Summary'!$A:$A,"OASAS")</f>
        <v>0</v>
      </c>
      <c r="EX37" s="55">
        <f>SUMIFS('Awards Summary'!$H:$H,'Awards Summary'!$B:$B,$C37,'Awards Summary'!$J:$J,"OCFS")</f>
        <v>0</v>
      </c>
      <c r="EY37" s="55">
        <f>SUMIFS('Disbursements Summary'!$E:$E,'Disbursements Summary'!$C:$C,$C37,'Disbursements Summary'!$A:$A,"OCFS")</f>
        <v>0</v>
      </c>
      <c r="EZ37" s="55">
        <f>SUMIFS('Awards Summary'!$H:$H,'Awards Summary'!$B:$B,$C37,'Awards Summary'!$J:$J,"OGS")</f>
        <v>0</v>
      </c>
      <c r="FA37" s="55">
        <f>SUMIFS('Disbursements Summary'!$E:$E,'Disbursements Summary'!$C:$C,$C37,'Disbursements Summary'!$A:$A,"OGS")</f>
        <v>0</v>
      </c>
      <c r="FB37" s="55">
        <f>SUMIFS('Awards Summary'!$H:$H,'Awards Summary'!$B:$B,$C37,'Awards Summary'!$J:$J,"OMH")</f>
        <v>0</v>
      </c>
      <c r="FC37" s="55">
        <f>SUMIFS('Disbursements Summary'!$E:$E,'Disbursements Summary'!$C:$C,$C37,'Disbursements Summary'!$A:$A,"OMH")</f>
        <v>0</v>
      </c>
      <c r="FD37" s="55">
        <f>SUMIFS('Awards Summary'!$H:$H,'Awards Summary'!$B:$B,$C37,'Awards Summary'!$J:$J,"PARKS")</f>
        <v>0</v>
      </c>
      <c r="FE37" s="55">
        <f>SUMIFS('Disbursements Summary'!$E:$E,'Disbursements Summary'!$C:$C,$C37,'Disbursements Summary'!$A:$A,"PARKS")</f>
        <v>0</v>
      </c>
      <c r="FF37" s="55">
        <f>SUMIFS('Awards Summary'!$H:$H,'Awards Summary'!$B:$B,$C37,'Awards Summary'!$J:$J,"OTDA")</f>
        <v>0</v>
      </c>
      <c r="FG37" s="55">
        <f>SUMIFS('Disbursements Summary'!$E:$E,'Disbursements Summary'!$C:$C,$C37,'Disbursements Summary'!$A:$A,"OTDA")</f>
        <v>0</v>
      </c>
      <c r="FH37" s="55">
        <f>SUMIFS('Awards Summary'!$H:$H,'Awards Summary'!$B:$B,$C37,'Awards Summary'!$J:$J,"OIG")</f>
        <v>0</v>
      </c>
      <c r="FI37" s="55">
        <f>SUMIFS('Disbursements Summary'!$E:$E,'Disbursements Summary'!$C:$C,$C37,'Disbursements Summary'!$A:$A,"OIG")</f>
        <v>0</v>
      </c>
      <c r="FJ37" s="55">
        <f>SUMIFS('Awards Summary'!$H:$H,'Awards Summary'!$B:$B,$C37,'Awards Summary'!$J:$J,"OMIG")</f>
        <v>0</v>
      </c>
      <c r="FK37" s="55">
        <f>SUMIFS('Disbursements Summary'!$E:$E,'Disbursements Summary'!$C:$C,$C37,'Disbursements Summary'!$A:$A,"OMIG")</f>
        <v>0</v>
      </c>
      <c r="FL37" s="55">
        <f>SUMIFS('Awards Summary'!$H:$H,'Awards Summary'!$B:$B,$C37,'Awards Summary'!$J:$J,"OSC")</f>
        <v>0</v>
      </c>
      <c r="FM37" s="55">
        <f>SUMIFS('Disbursements Summary'!$E:$E,'Disbursements Summary'!$C:$C,$C37,'Disbursements Summary'!$A:$A,"OSC")</f>
        <v>0</v>
      </c>
      <c r="FN37" s="55">
        <f>SUMIFS('Awards Summary'!$H:$H,'Awards Summary'!$B:$B,$C37,'Awards Summary'!$J:$J,"OWIG")</f>
        <v>0</v>
      </c>
      <c r="FO37" s="55">
        <f>SUMIFS('Disbursements Summary'!$E:$E,'Disbursements Summary'!$C:$C,$C37,'Disbursements Summary'!$A:$A,"OWIG")</f>
        <v>0</v>
      </c>
      <c r="FP37" s="55">
        <f>SUMIFS('Awards Summary'!$H:$H,'Awards Summary'!$B:$B,$C37,'Awards Summary'!$J:$J,"OGDEN")</f>
        <v>0</v>
      </c>
      <c r="FQ37" s="55">
        <f>SUMIFS('Disbursements Summary'!$E:$E,'Disbursements Summary'!$C:$C,$C37,'Disbursements Summary'!$A:$A,"OGDEN")</f>
        <v>0</v>
      </c>
      <c r="FR37" s="55">
        <f>SUMIFS('Awards Summary'!$H:$H,'Awards Summary'!$B:$B,$C37,'Awards Summary'!$J:$J,"ORDA")</f>
        <v>0</v>
      </c>
      <c r="FS37" s="55">
        <f>SUMIFS('Disbursements Summary'!$E:$E,'Disbursements Summary'!$C:$C,$C37,'Disbursements Summary'!$A:$A,"ORDA")</f>
        <v>0</v>
      </c>
      <c r="FT37" s="55">
        <f>SUMIFS('Awards Summary'!$H:$H,'Awards Summary'!$B:$B,$C37,'Awards Summary'!$J:$J,"OSWEGO")</f>
        <v>0</v>
      </c>
      <c r="FU37" s="55">
        <f>SUMIFS('Disbursements Summary'!$E:$E,'Disbursements Summary'!$C:$C,$C37,'Disbursements Summary'!$A:$A,"OSWEGO")</f>
        <v>0</v>
      </c>
      <c r="FV37" s="55">
        <f>SUMIFS('Awards Summary'!$H:$H,'Awards Summary'!$B:$B,$C37,'Awards Summary'!$J:$J,"PERB")</f>
        <v>0</v>
      </c>
      <c r="FW37" s="55">
        <f>SUMIFS('Disbursements Summary'!$E:$E,'Disbursements Summary'!$C:$C,$C37,'Disbursements Summary'!$A:$A,"PERB")</f>
        <v>0</v>
      </c>
      <c r="FX37" s="55">
        <f>SUMIFS('Awards Summary'!$H:$H,'Awards Summary'!$B:$B,$C37,'Awards Summary'!$J:$J,"RGRTA")</f>
        <v>0</v>
      </c>
      <c r="FY37" s="55">
        <f>SUMIFS('Disbursements Summary'!$E:$E,'Disbursements Summary'!$C:$C,$C37,'Disbursements Summary'!$A:$A,"RGRTA")</f>
        <v>0</v>
      </c>
      <c r="FZ37" s="55">
        <f>SUMIFS('Awards Summary'!$H:$H,'Awards Summary'!$B:$B,$C37,'Awards Summary'!$J:$J,"RIOC")</f>
        <v>0</v>
      </c>
      <c r="GA37" s="55">
        <f>SUMIFS('Disbursements Summary'!$E:$E,'Disbursements Summary'!$C:$C,$C37,'Disbursements Summary'!$A:$A,"RIOC")</f>
        <v>0</v>
      </c>
      <c r="GB37" s="55">
        <f>SUMIFS('Awards Summary'!$H:$H,'Awards Summary'!$B:$B,$C37,'Awards Summary'!$J:$J,"RPCI")</f>
        <v>0</v>
      </c>
      <c r="GC37" s="55">
        <f>SUMIFS('Disbursements Summary'!$E:$E,'Disbursements Summary'!$C:$C,$C37,'Disbursements Summary'!$A:$A,"RPCI")</f>
        <v>0</v>
      </c>
      <c r="GD37" s="55">
        <f>SUMIFS('Awards Summary'!$H:$H,'Awards Summary'!$B:$B,$C37,'Awards Summary'!$J:$J,"SMDA")</f>
        <v>0</v>
      </c>
      <c r="GE37" s="55">
        <f>SUMIFS('Disbursements Summary'!$E:$E,'Disbursements Summary'!$C:$C,$C37,'Disbursements Summary'!$A:$A,"SMDA")</f>
        <v>0</v>
      </c>
      <c r="GF37" s="55">
        <f>SUMIFS('Awards Summary'!$H:$H,'Awards Summary'!$B:$B,$C37,'Awards Summary'!$J:$J,"SCOC")</f>
        <v>0</v>
      </c>
      <c r="GG37" s="55">
        <f>SUMIFS('Disbursements Summary'!$E:$E,'Disbursements Summary'!$C:$C,$C37,'Disbursements Summary'!$A:$A,"SCOC")</f>
        <v>0</v>
      </c>
      <c r="GH37" s="55">
        <f>SUMIFS('Awards Summary'!$H:$H,'Awards Summary'!$B:$B,$C37,'Awards Summary'!$J:$J,"SUCF")</f>
        <v>0</v>
      </c>
      <c r="GI37" s="55">
        <f>SUMIFS('Disbursements Summary'!$E:$E,'Disbursements Summary'!$C:$C,$C37,'Disbursements Summary'!$A:$A,"SUCF")</f>
        <v>0</v>
      </c>
      <c r="GJ37" s="55">
        <f>SUMIFS('Awards Summary'!$H:$H,'Awards Summary'!$B:$B,$C37,'Awards Summary'!$J:$J,"SUNY")</f>
        <v>0</v>
      </c>
      <c r="GK37" s="55">
        <f>SUMIFS('Disbursements Summary'!$E:$E,'Disbursements Summary'!$C:$C,$C37,'Disbursements Summary'!$A:$A,"SUNY")</f>
        <v>0</v>
      </c>
      <c r="GL37" s="55">
        <f>SUMIFS('Awards Summary'!$H:$H,'Awards Summary'!$B:$B,$C37,'Awards Summary'!$J:$J,"SRAA")</f>
        <v>0</v>
      </c>
      <c r="GM37" s="55">
        <f>SUMIFS('Disbursements Summary'!$E:$E,'Disbursements Summary'!$C:$C,$C37,'Disbursements Summary'!$A:$A,"SRAA")</f>
        <v>0</v>
      </c>
      <c r="GN37" s="55">
        <f>SUMIFS('Awards Summary'!$H:$H,'Awards Summary'!$B:$B,$C37,'Awards Summary'!$J:$J,"UNDC")</f>
        <v>0</v>
      </c>
      <c r="GO37" s="55">
        <f>SUMIFS('Disbursements Summary'!$E:$E,'Disbursements Summary'!$C:$C,$C37,'Disbursements Summary'!$A:$A,"UNDC")</f>
        <v>0</v>
      </c>
      <c r="GP37" s="55">
        <f>SUMIFS('Awards Summary'!$H:$H,'Awards Summary'!$B:$B,$C37,'Awards Summary'!$J:$J,"MVWA")</f>
        <v>0</v>
      </c>
      <c r="GQ37" s="55">
        <f>SUMIFS('Disbursements Summary'!$E:$E,'Disbursements Summary'!$C:$C,$C37,'Disbursements Summary'!$A:$A,"MVWA")</f>
        <v>0</v>
      </c>
      <c r="GR37" s="55">
        <f>SUMIFS('Awards Summary'!$H:$H,'Awards Summary'!$B:$B,$C37,'Awards Summary'!$J:$J,"WMC")</f>
        <v>0</v>
      </c>
      <c r="GS37" s="55">
        <f>SUMIFS('Disbursements Summary'!$E:$E,'Disbursements Summary'!$C:$C,$C37,'Disbursements Summary'!$A:$A,"WMC")</f>
        <v>0</v>
      </c>
      <c r="GT37" s="55">
        <f>SUMIFS('Awards Summary'!$H:$H,'Awards Summary'!$B:$B,$C37,'Awards Summary'!$J:$J,"WCB")</f>
        <v>0</v>
      </c>
      <c r="GU37" s="55">
        <f>SUMIFS('Disbursements Summary'!$E:$E,'Disbursements Summary'!$C:$C,$C37,'Disbursements Summary'!$A:$A,"WCB")</f>
        <v>0</v>
      </c>
      <c r="GV37" s="32">
        <f t="shared" si="5"/>
        <v>0</v>
      </c>
      <c r="GW37" s="32">
        <f t="shared" si="6"/>
        <v>0</v>
      </c>
      <c r="GX37" s="30" t="b">
        <f t="shared" si="7"/>
        <v>1</v>
      </c>
      <c r="GY37" s="30" t="b">
        <f t="shared" si="8"/>
        <v>1</v>
      </c>
    </row>
    <row r="38" spans="1:207" s="30" customFormat="1">
      <c r="A38" s="22" t="str">
        <f t="shared" si="0"/>
        <v/>
      </c>
      <c r="B38" s="40" t="s">
        <v>73</v>
      </c>
      <c r="C38" s="16">
        <v>141065</v>
      </c>
      <c r="D38" s="26">
        <f>COUNTIF('Awards Summary'!B:B,"141065")</f>
        <v>0</v>
      </c>
      <c r="E38" s="45">
        <f>SUMIFS('Awards Summary'!H:H,'Awards Summary'!B:B,"141065")</f>
        <v>0</v>
      </c>
      <c r="F38" s="46">
        <f>SUMIFS('Disbursements Summary'!E:E,'Disbursements Summary'!C:C, "141065")</f>
        <v>0</v>
      </c>
      <c r="H38" s="55">
        <f>SUMIFS('Awards Summary'!$H:$H,'Awards Summary'!$B:$B,$C38,'Awards Summary'!$J:$J,"APA")</f>
        <v>0</v>
      </c>
      <c r="I38" s="55">
        <f>SUMIFS('Disbursements Summary'!$E:$E,'Disbursements Summary'!$C:$C,$C38,'Disbursements Summary'!$A:$A,"APA")</f>
        <v>0</v>
      </c>
      <c r="J38" s="55">
        <f>SUMIFS('Awards Summary'!$H:$H,'Awards Summary'!$B:$B,$C38,'Awards Summary'!$J:$J,"Ag&amp;Horse")</f>
        <v>0</v>
      </c>
      <c r="K38" s="55">
        <f>SUMIFS('Disbursements Summary'!$E:$E,'Disbursements Summary'!$C:$C,$C38,'Disbursements Summary'!$A:$A,"Ag&amp;Horse")</f>
        <v>0</v>
      </c>
      <c r="L38" s="55">
        <f>SUMIFS('Awards Summary'!$H:$H,'Awards Summary'!$B:$B,$C38,'Awards Summary'!$J:$J,"ACAA")</f>
        <v>0</v>
      </c>
      <c r="M38" s="55">
        <f>SUMIFS('Disbursements Summary'!$E:$E,'Disbursements Summary'!$C:$C,$C38,'Disbursements Summary'!$A:$A,"ACAA")</f>
        <v>0</v>
      </c>
      <c r="N38" s="55">
        <f>SUMIFS('Awards Summary'!$H:$H,'Awards Summary'!$B:$B,$C38,'Awards Summary'!$J:$J,"PortAlbany")</f>
        <v>0</v>
      </c>
      <c r="O38" s="55">
        <f>SUMIFS('Disbursements Summary'!$E:$E,'Disbursements Summary'!$C:$C,$C38,'Disbursements Summary'!$A:$A,"PortAlbany")</f>
        <v>0</v>
      </c>
      <c r="P38" s="55">
        <f>SUMIFS('Awards Summary'!$H:$H,'Awards Summary'!$B:$B,$C38,'Awards Summary'!$J:$J,"SLA")</f>
        <v>0</v>
      </c>
      <c r="Q38" s="55">
        <f>SUMIFS('Disbursements Summary'!$E:$E,'Disbursements Summary'!$C:$C,$C38,'Disbursements Summary'!$A:$A,"SLA")</f>
        <v>0</v>
      </c>
      <c r="R38" s="55">
        <f>SUMIFS('Awards Summary'!$H:$H,'Awards Summary'!$B:$B,$C38,'Awards Summary'!$J:$J,"BPCA")</f>
        <v>0</v>
      </c>
      <c r="S38" s="55">
        <f>SUMIFS('Disbursements Summary'!$E:$E,'Disbursements Summary'!$C:$C,$C38,'Disbursements Summary'!$A:$A,"BPCA")</f>
        <v>0</v>
      </c>
      <c r="T38" s="55">
        <f>SUMIFS('Awards Summary'!$H:$H,'Awards Summary'!$B:$B,$C38,'Awards Summary'!$J:$J,"ELECTIONS")</f>
        <v>0</v>
      </c>
      <c r="U38" s="55">
        <f>SUMIFS('Disbursements Summary'!$E:$E,'Disbursements Summary'!$C:$C,$C38,'Disbursements Summary'!$A:$A,"ELECTIONS")</f>
        <v>0</v>
      </c>
      <c r="V38" s="55">
        <f>SUMIFS('Awards Summary'!$H:$H,'Awards Summary'!$B:$B,$C38,'Awards Summary'!$J:$J,"BFSA")</f>
        <v>0</v>
      </c>
      <c r="W38" s="55">
        <f>SUMIFS('Disbursements Summary'!$E:$E,'Disbursements Summary'!$C:$C,$C38,'Disbursements Summary'!$A:$A,"BFSA")</f>
        <v>0</v>
      </c>
      <c r="X38" s="55">
        <f>SUMIFS('Awards Summary'!$H:$H,'Awards Summary'!$B:$B,$C38,'Awards Summary'!$J:$J,"CDTA")</f>
        <v>0</v>
      </c>
      <c r="Y38" s="55">
        <f>SUMIFS('Disbursements Summary'!$E:$E,'Disbursements Summary'!$C:$C,$C38,'Disbursements Summary'!$A:$A,"CDTA")</f>
        <v>0</v>
      </c>
      <c r="Z38" s="55">
        <f>SUMIFS('Awards Summary'!$H:$H,'Awards Summary'!$B:$B,$C38,'Awards Summary'!$J:$J,"CCWSA")</f>
        <v>0</v>
      </c>
      <c r="AA38" s="55">
        <f>SUMIFS('Disbursements Summary'!$E:$E,'Disbursements Summary'!$C:$C,$C38,'Disbursements Summary'!$A:$A,"CCWSA")</f>
        <v>0</v>
      </c>
      <c r="AB38" s="55">
        <f>SUMIFS('Awards Summary'!$H:$H,'Awards Summary'!$B:$B,$C38,'Awards Summary'!$J:$J,"CNYRTA")</f>
        <v>0</v>
      </c>
      <c r="AC38" s="55">
        <f>SUMIFS('Disbursements Summary'!$E:$E,'Disbursements Summary'!$C:$C,$C38,'Disbursements Summary'!$A:$A,"CNYRTA")</f>
        <v>0</v>
      </c>
      <c r="AD38" s="55">
        <f>SUMIFS('Awards Summary'!$H:$H,'Awards Summary'!$B:$B,$C38,'Awards Summary'!$J:$J,"CUCF")</f>
        <v>0</v>
      </c>
      <c r="AE38" s="55">
        <f>SUMIFS('Disbursements Summary'!$E:$E,'Disbursements Summary'!$C:$C,$C38,'Disbursements Summary'!$A:$A,"CUCF")</f>
        <v>0</v>
      </c>
      <c r="AF38" s="55">
        <f>SUMIFS('Awards Summary'!$H:$H,'Awards Summary'!$B:$B,$C38,'Awards Summary'!$J:$J,"CUNY")</f>
        <v>0</v>
      </c>
      <c r="AG38" s="55">
        <f>SUMIFS('Disbursements Summary'!$E:$E,'Disbursements Summary'!$C:$C,$C38,'Disbursements Summary'!$A:$A,"CUNY")</f>
        <v>0</v>
      </c>
      <c r="AH38" s="55">
        <f>SUMIFS('Awards Summary'!$H:$H,'Awards Summary'!$B:$B,$C38,'Awards Summary'!$J:$J,"ARTS")</f>
        <v>0</v>
      </c>
      <c r="AI38" s="55">
        <f>SUMIFS('Disbursements Summary'!$E:$E,'Disbursements Summary'!$C:$C,$C38,'Disbursements Summary'!$A:$A,"ARTS")</f>
        <v>0</v>
      </c>
      <c r="AJ38" s="55">
        <f>SUMIFS('Awards Summary'!$H:$H,'Awards Summary'!$B:$B,$C38,'Awards Summary'!$J:$J,"AG&amp;MKTS")</f>
        <v>0</v>
      </c>
      <c r="AK38" s="55">
        <f>SUMIFS('Disbursements Summary'!$E:$E,'Disbursements Summary'!$C:$C,$C38,'Disbursements Summary'!$A:$A,"AG&amp;MKTS")</f>
        <v>0</v>
      </c>
      <c r="AL38" s="55">
        <f>SUMIFS('Awards Summary'!$H:$H,'Awards Summary'!$B:$B,$C38,'Awards Summary'!$J:$J,"CS")</f>
        <v>0</v>
      </c>
      <c r="AM38" s="55">
        <f>SUMIFS('Disbursements Summary'!$E:$E,'Disbursements Summary'!$C:$C,$C38,'Disbursements Summary'!$A:$A,"CS")</f>
        <v>0</v>
      </c>
      <c r="AN38" s="55">
        <f>SUMIFS('Awards Summary'!$H:$H,'Awards Summary'!$B:$B,$C38,'Awards Summary'!$J:$J,"DOCCS")</f>
        <v>0</v>
      </c>
      <c r="AO38" s="55">
        <f>SUMIFS('Disbursements Summary'!$E:$E,'Disbursements Summary'!$C:$C,$C38,'Disbursements Summary'!$A:$A,"DOCCS")</f>
        <v>0</v>
      </c>
      <c r="AP38" s="55">
        <f>SUMIFS('Awards Summary'!$H:$H,'Awards Summary'!$B:$B,$C38,'Awards Summary'!$J:$J,"DED")</f>
        <v>0</v>
      </c>
      <c r="AQ38" s="55">
        <f>SUMIFS('Disbursements Summary'!$E:$E,'Disbursements Summary'!$C:$C,$C38,'Disbursements Summary'!$A:$A,"DED")</f>
        <v>0</v>
      </c>
      <c r="AR38" s="55">
        <f>SUMIFS('Awards Summary'!$H:$H,'Awards Summary'!$B:$B,$C38,'Awards Summary'!$J:$J,"DEC")</f>
        <v>0</v>
      </c>
      <c r="AS38" s="55">
        <f>SUMIFS('Disbursements Summary'!$E:$E,'Disbursements Summary'!$C:$C,$C38,'Disbursements Summary'!$A:$A,"DEC")</f>
        <v>0</v>
      </c>
      <c r="AT38" s="55">
        <f>SUMIFS('Awards Summary'!$H:$H,'Awards Summary'!$B:$B,$C38,'Awards Summary'!$J:$J,"DFS")</f>
        <v>0</v>
      </c>
      <c r="AU38" s="55">
        <f>SUMIFS('Disbursements Summary'!$E:$E,'Disbursements Summary'!$C:$C,$C38,'Disbursements Summary'!$A:$A,"DFS")</f>
        <v>0</v>
      </c>
      <c r="AV38" s="55">
        <f>SUMIFS('Awards Summary'!$H:$H,'Awards Summary'!$B:$B,$C38,'Awards Summary'!$J:$J,"DOH")</f>
        <v>0</v>
      </c>
      <c r="AW38" s="55">
        <f>SUMIFS('Disbursements Summary'!$E:$E,'Disbursements Summary'!$C:$C,$C38,'Disbursements Summary'!$A:$A,"DOH")</f>
        <v>0</v>
      </c>
      <c r="AX38" s="55">
        <f>SUMIFS('Awards Summary'!$H:$H,'Awards Summary'!$B:$B,$C38,'Awards Summary'!$J:$J,"DOL")</f>
        <v>0</v>
      </c>
      <c r="AY38" s="55">
        <f>SUMIFS('Disbursements Summary'!$E:$E,'Disbursements Summary'!$C:$C,$C38,'Disbursements Summary'!$A:$A,"DOL")</f>
        <v>0</v>
      </c>
      <c r="AZ38" s="55">
        <f>SUMIFS('Awards Summary'!$H:$H,'Awards Summary'!$B:$B,$C38,'Awards Summary'!$J:$J,"DMV")</f>
        <v>0</v>
      </c>
      <c r="BA38" s="55">
        <f>SUMIFS('Disbursements Summary'!$E:$E,'Disbursements Summary'!$C:$C,$C38,'Disbursements Summary'!$A:$A,"DMV")</f>
        <v>0</v>
      </c>
      <c r="BB38" s="55">
        <f>SUMIFS('Awards Summary'!$H:$H,'Awards Summary'!$B:$B,$C38,'Awards Summary'!$J:$J,"DPS")</f>
        <v>0</v>
      </c>
      <c r="BC38" s="55">
        <f>SUMIFS('Disbursements Summary'!$E:$E,'Disbursements Summary'!$C:$C,$C38,'Disbursements Summary'!$A:$A,"DPS")</f>
        <v>0</v>
      </c>
      <c r="BD38" s="55">
        <f>SUMIFS('Awards Summary'!$H:$H,'Awards Summary'!$B:$B,$C38,'Awards Summary'!$J:$J,"DOS")</f>
        <v>0</v>
      </c>
      <c r="BE38" s="55">
        <f>SUMIFS('Disbursements Summary'!$E:$E,'Disbursements Summary'!$C:$C,$C38,'Disbursements Summary'!$A:$A,"DOS")</f>
        <v>0</v>
      </c>
      <c r="BF38" s="55">
        <f>SUMIFS('Awards Summary'!$H:$H,'Awards Summary'!$B:$B,$C38,'Awards Summary'!$J:$J,"TAX")</f>
        <v>0</v>
      </c>
      <c r="BG38" s="55">
        <f>SUMIFS('Disbursements Summary'!$E:$E,'Disbursements Summary'!$C:$C,$C38,'Disbursements Summary'!$A:$A,"TAX")</f>
        <v>0</v>
      </c>
      <c r="BH38" s="55">
        <f>SUMIFS('Awards Summary'!$H:$H,'Awards Summary'!$B:$B,$C38,'Awards Summary'!$J:$J,"DOT")</f>
        <v>0</v>
      </c>
      <c r="BI38" s="55">
        <f>SUMIFS('Disbursements Summary'!$E:$E,'Disbursements Summary'!$C:$C,$C38,'Disbursements Summary'!$A:$A,"DOT")</f>
        <v>0</v>
      </c>
      <c r="BJ38" s="55">
        <f>SUMIFS('Awards Summary'!$H:$H,'Awards Summary'!$B:$B,$C38,'Awards Summary'!$J:$J,"DANC")</f>
        <v>0</v>
      </c>
      <c r="BK38" s="55">
        <f>SUMIFS('Disbursements Summary'!$E:$E,'Disbursements Summary'!$C:$C,$C38,'Disbursements Summary'!$A:$A,"DANC")</f>
        <v>0</v>
      </c>
      <c r="BL38" s="55">
        <f>SUMIFS('Awards Summary'!$H:$H,'Awards Summary'!$B:$B,$C38,'Awards Summary'!$J:$J,"DOB")</f>
        <v>0</v>
      </c>
      <c r="BM38" s="55">
        <f>SUMIFS('Disbursements Summary'!$E:$E,'Disbursements Summary'!$C:$C,$C38,'Disbursements Summary'!$A:$A,"DOB")</f>
        <v>0</v>
      </c>
      <c r="BN38" s="55">
        <f>SUMIFS('Awards Summary'!$H:$H,'Awards Summary'!$B:$B,$C38,'Awards Summary'!$J:$J,"DCJS")</f>
        <v>0</v>
      </c>
      <c r="BO38" s="55">
        <f>SUMIFS('Disbursements Summary'!$E:$E,'Disbursements Summary'!$C:$C,$C38,'Disbursements Summary'!$A:$A,"DCJS")</f>
        <v>0</v>
      </c>
      <c r="BP38" s="55">
        <f>SUMIFS('Awards Summary'!$H:$H,'Awards Summary'!$B:$B,$C38,'Awards Summary'!$J:$J,"DHSES")</f>
        <v>0</v>
      </c>
      <c r="BQ38" s="55">
        <f>SUMIFS('Disbursements Summary'!$E:$E,'Disbursements Summary'!$C:$C,$C38,'Disbursements Summary'!$A:$A,"DHSES")</f>
        <v>0</v>
      </c>
      <c r="BR38" s="55">
        <f>SUMIFS('Awards Summary'!$H:$H,'Awards Summary'!$B:$B,$C38,'Awards Summary'!$J:$J,"DHR")</f>
        <v>0</v>
      </c>
      <c r="BS38" s="55">
        <f>SUMIFS('Disbursements Summary'!$E:$E,'Disbursements Summary'!$C:$C,$C38,'Disbursements Summary'!$A:$A,"DHR")</f>
        <v>0</v>
      </c>
      <c r="BT38" s="55">
        <f>SUMIFS('Awards Summary'!$H:$H,'Awards Summary'!$B:$B,$C38,'Awards Summary'!$J:$J,"DMNA")</f>
        <v>0</v>
      </c>
      <c r="BU38" s="55">
        <f>SUMIFS('Disbursements Summary'!$E:$E,'Disbursements Summary'!$C:$C,$C38,'Disbursements Summary'!$A:$A,"DMNA")</f>
        <v>0</v>
      </c>
      <c r="BV38" s="55">
        <f>SUMIFS('Awards Summary'!$H:$H,'Awards Summary'!$B:$B,$C38,'Awards Summary'!$J:$J,"TROOPERS")</f>
        <v>0</v>
      </c>
      <c r="BW38" s="55">
        <f>SUMIFS('Disbursements Summary'!$E:$E,'Disbursements Summary'!$C:$C,$C38,'Disbursements Summary'!$A:$A,"TROOPERS")</f>
        <v>0</v>
      </c>
      <c r="BX38" s="55">
        <f>SUMIFS('Awards Summary'!$H:$H,'Awards Summary'!$B:$B,$C38,'Awards Summary'!$J:$J,"DVA")</f>
        <v>0</v>
      </c>
      <c r="BY38" s="55">
        <f>SUMIFS('Disbursements Summary'!$E:$E,'Disbursements Summary'!$C:$C,$C38,'Disbursements Summary'!$A:$A,"DVA")</f>
        <v>0</v>
      </c>
      <c r="BZ38" s="55">
        <f>SUMIFS('Awards Summary'!$H:$H,'Awards Summary'!$B:$B,$C38,'Awards Summary'!$J:$J,"DASNY")</f>
        <v>0</v>
      </c>
      <c r="CA38" s="55">
        <f>SUMIFS('Disbursements Summary'!$E:$E,'Disbursements Summary'!$C:$C,$C38,'Disbursements Summary'!$A:$A,"DASNY")</f>
        <v>0</v>
      </c>
      <c r="CB38" s="55">
        <f>SUMIFS('Awards Summary'!$H:$H,'Awards Summary'!$B:$B,$C38,'Awards Summary'!$J:$J,"EGG")</f>
        <v>0</v>
      </c>
      <c r="CC38" s="55">
        <f>SUMIFS('Disbursements Summary'!$E:$E,'Disbursements Summary'!$C:$C,$C38,'Disbursements Summary'!$A:$A,"EGG")</f>
        <v>0</v>
      </c>
      <c r="CD38" s="55">
        <f>SUMIFS('Awards Summary'!$H:$H,'Awards Summary'!$B:$B,$C38,'Awards Summary'!$J:$J,"ESD")</f>
        <v>0</v>
      </c>
      <c r="CE38" s="55">
        <f>SUMIFS('Disbursements Summary'!$E:$E,'Disbursements Summary'!$C:$C,$C38,'Disbursements Summary'!$A:$A,"ESD")</f>
        <v>0</v>
      </c>
      <c r="CF38" s="55">
        <f>SUMIFS('Awards Summary'!$H:$H,'Awards Summary'!$B:$B,$C38,'Awards Summary'!$J:$J,"EFC")</f>
        <v>0</v>
      </c>
      <c r="CG38" s="55">
        <f>SUMIFS('Disbursements Summary'!$E:$E,'Disbursements Summary'!$C:$C,$C38,'Disbursements Summary'!$A:$A,"EFC")</f>
        <v>0</v>
      </c>
      <c r="CH38" s="55">
        <f>SUMIFS('Awards Summary'!$H:$H,'Awards Summary'!$B:$B,$C38,'Awards Summary'!$J:$J,"ECFSA")</f>
        <v>0</v>
      </c>
      <c r="CI38" s="55">
        <f>SUMIFS('Disbursements Summary'!$E:$E,'Disbursements Summary'!$C:$C,$C38,'Disbursements Summary'!$A:$A,"ECFSA")</f>
        <v>0</v>
      </c>
      <c r="CJ38" s="55">
        <f>SUMIFS('Awards Summary'!$H:$H,'Awards Summary'!$B:$B,$C38,'Awards Summary'!$J:$J,"ECMC")</f>
        <v>0</v>
      </c>
      <c r="CK38" s="55">
        <f>SUMIFS('Disbursements Summary'!$E:$E,'Disbursements Summary'!$C:$C,$C38,'Disbursements Summary'!$A:$A,"ECMC")</f>
        <v>0</v>
      </c>
      <c r="CL38" s="55">
        <f>SUMIFS('Awards Summary'!$H:$H,'Awards Summary'!$B:$B,$C38,'Awards Summary'!$J:$J,"CHAMBER")</f>
        <v>0</v>
      </c>
      <c r="CM38" s="55">
        <f>SUMIFS('Disbursements Summary'!$E:$E,'Disbursements Summary'!$C:$C,$C38,'Disbursements Summary'!$A:$A,"CHAMBER")</f>
        <v>0</v>
      </c>
      <c r="CN38" s="55">
        <f>SUMIFS('Awards Summary'!$H:$H,'Awards Summary'!$B:$B,$C38,'Awards Summary'!$J:$J,"GAMING")</f>
        <v>0</v>
      </c>
      <c r="CO38" s="55">
        <f>SUMIFS('Disbursements Summary'!$E:$E,'Disbursements Summary'!$C:$C,$C38,'Disbursements Summary'!$A:$A,"GAMING")</f>
        <v>0</v>
      </c>
      <c r="CP38" s="55">
        <f>SUMIFS('Awards Summary'!$H:$H,'Awards Summary'!$B:$B,$C38,'Awards Summary'!$J:$J,"GOER")</f>
        <v>0</v>
      </c>
      <c r="CQ38" s="55">
        <f>SUMIFS('Disbursements Summary'!$E:$E,'Disbursements Summary'!$C:$C,$C38,'Disbursements Summary'!$A:$A,"GOER")</f>
        <v>0</v>
      </c>
      <c r="CR38" s="55">
        <f>SUMIFS('Awards Summary'!$H:$H,'Awards Summary'!$B:$B,$C38,'Awards Summary'!$J:$J,"HESC")</f>
        <v>0</v>
      </c>
      <c r="CS38" s="55">
        <f>SUMIFS('Disbursements Summary'!$E:$E,'Disbursements Summary'!$C:$C,$C38,'Disbursements Summary'!$A:$A,"HESC")</f>
        <v>0</v>
      </c>
      <c r="CT38" s="55">
        <f>SUMIFS('Awards Summary'!$H:$H,'Awards Summary'!$B:$B,$C38,'Awards Summary'!$J:$J,"GOSR")</f>
        <v>0</v>
      </c>
      <c r="CU38" s="55">
        <f>SUMIFS('Disbursements Summary'!$E:$E,'Disbursements Summary'!$C:$C,$C38,'Disbursements Summary'!$A:$A,"GOSR")</f>
        <v>0</v>
      </c>
      <c r="CV38" s="55">
        <f>SUMIFS('Awards Summary'!$H:$H,'Awards Summary'!$B:$B,$C38,'Awards Summary'!$J:$J,"HRPT")</f>
        <v>0</v>
      </c>
      <c r="CW38" s="55">
        <f>SUMIFS('Disbursements Summary'!$E:$E,'Disbursements Summary'!$C:$C,$C38,'Disbursements Summary'!$A:$A,"HRPT")</f>
        <v>0</v>
      </c>
      <c r="CX38" s="55">
        <f>SUMIFS('Awards Summary'!$H:$H,'Awards Summary'!$B:$B,$C38,'Awards Summary'!$J:$J,"HRBRRD")</f>
        <v>0</v>
      </c>
      <c r="CY38" s="55">
        <f>SUMIFS('Disbursements Summary'!$E:$E,'Disbursements Summary'!$C:$C,$C38,'Disbursements Summary'!$A:$A,"HRBRRD")</f>
        <v>0</v>
      </c>
      <c r="CZ38" s="55">
        <f>SUMIFS('Awards Summary'!$H:$H,'Awards Summary'!$B:$B,$C38,'Awards Summary'!$J:$J,"ITS")</f>
        <v>0</v>
      </c>
      <c r="DA38" s="55">
        <f>SUMIFS('Disbursements Summary'!$E:$E,'Disbursements Summary'!$C:$C,$C38,'Disbursements Summary'!$A:$A,"ITS")</f>
        <v>0</v>
      </c>
      <c r="DB38" s="55">
        <f>SUMIFS('Awards Summary'!$H:$H,'Awards Summary'!$B:$B,$C38,'Awards Summary'!$J:$J,"JAVITS")</f>
        <v>0</v>
      </c>
      <c r="DC38" s="55">
        <f>SUMIFS('Disbursements Summary'!$E:$E,'Disbursements Summary'!$C:$C,$C38,'Disbursements Summary'!$A:$A,"JAVITS")</f>
        <v>0</v>
      </c>
      <c r="DD38" s="55">
        <f>SUMIFS('Awards Summary'!$H:$H,'Awards Summary'!$B:$B,$C38,'Awards Summary'!$J:$J,"JCOPE")</f>
        <v>0</v>
      </c>
      <c r="DE38" s="55">
        <f>SUMIFS('Disbursements Summary'!$E:$E,'Disbursements Summary'!$C:$C,$C38,'Disbursements Summary'!$A:$A,"JCOPE")</f>
        <v>0</v>
      </c>
      <c r="DF38" s="55">
        <f>SUMIFS('Awards Summary'!$H:$H,'Awards Summary'!$B:$B,$C38,'Awards Summary'!$J:$J,"JUSTICE")</f>
        <v>0</v>
      </c>
      <c r="DG38" s="55">
        <f>SUMIFS('Disbursements Summary'!$E:$E,'Disbursements Summary'!$C:$C,$C38,'Disbursements Summary'!$A:$A,"JUSTICE")</f>
        <v>0</v>
      </c>
      <c r="DH38" s="55">
        <f>SUMIFS('Awards Summary'!$H:$H,'Awards Summary'!$B:$B,$C38,'Awards Summary'!$J:$J,"LCWSA")</f>
        <v>0</v>
      </c>
      <c r="DI38" s="55">
        <f>SUMIFS('Disbursements Summary'!$E:$E,'Disbursements Summary'!$C:$C,$C38,'Disbursements Summary'!$A:$A,"LCWSA")</f>
        <v>0</v>
      </c>
      <c r="DJ38" s="55">
        <f>SUMIFS('Awards Summary'!$H:$H,'Awards Summary'!$B:$B,$C38,'Awards Summary'!$J:$J,"LIPA")</f>
        <v>0</v>
      </c>
      <c r="DK38" s="55">
        <f>SUMIFS('Disbursements Summary'!$E:$E,'Disbursements Summary'!$C:$C,$C38,'Disbursements Summary'!$A:$A,"LIPA")</f>
        <v>0</v>
      </c>
      <c r="DL38" s="55">
        <f>SUMIFS('Awards Summary'!$H:$H,'Awards Summary'!$B:$B,$C38,'Awards Summary'!$J:$J,"MTA")</f>
        <v>0</v>
      </c>
      <c r="DM38" s="55">
        <f>SUMIFS('Disbursements Summary'!$E:$E,'Disbursements Summary'!$C:$C,$C38,'Disbursements Summary'!$A:$A,"MTA")</f>
        <v>0</v>
      </c>
      <c r="DN38" s="55">
        <f>SUMIFS('Awards Summary'!$H:$H,'Awards Summary'!$B:$B,$C38,'Awards Summary'!$J:$J,"NIFA")</f>
        <v>0</v>
      </c>
      <c r="DO38" s="55">
        <f>SUMIFS('Disbursements Summary'!$E:$E,'Disbursements Summary'!$C:$C,$C38,'Disbursements Summary'!$A:$A,"NIFA")</f>
        <v>0</v>
      </c>
      <c r="DP38" s="55">
        <f>SUMIFS('Awards Summary'!$H:$H,'Awards Summary'!$B:$B,$C38,'Awards Summary'!$J:$J,"NHCC")</f>
        <v>0</v>
      </c>
      <c r="DQ38" s="55">
        <f>SUMIFS('Disbursements Summary'!$E:$E,'Disbursements Summary'!$C:$C,$C38,'Disbursements Summary'!$A:$A,"NHCC")</f>
        <v>0</v>
      </c>
      <c r="DR38" s="55">
        <f>SUMIFS('Awards Summary'!$H:$H,'Awards Summary'!$B:$B,$C38,'Awards Summary'!$J:$J,"NHT")</f>
        <v>0</v>
      </c>
      <c r="DS38" s="55">
        <f>SUMIFS('Disbursements Summary'!$E:$E,'Disbursements Summary'!$C:$C,$C38,'Disbursements Summary'!$A:$A,"NHT")</f>
        <v>0</v>
      </c>
      <c r="DT38" s="55">
        <f>SUMIFS('Awards Summary'!$H:$H,'Awards Summary'!$B:$B,$C38,'Awards Summary'!$J:$J,"NYPA")</f>
        <v>0</v>
      </c>
      <c r="DU38" s="55">
        <f>SUMIFS('Disbursements Summary'!$E:$E,'Disbursements Summary'!$C:$C,$C38,'Disbursements Summary'!$A:$A,"NYPA")</f>
        <v>0</v>
      </c>
      <c r="DV38" s="55">
        <f>SUMIFS('Awards Summary'!$H:$H,'Awards Summary'!$B:$B,$C38,'Awards Summary'!$J:$J,"NYSBA")</f>
        <v>0</v>
      </c>
      <c r="DW38" s="55">
        <f>SUMIFS('Disbursements Summary'!$E:$E,'Disbursements Summary'!$C:$C,$C38,'Disbursements Summary'!$A:$A,"NYSBA")</f>
        <v>0</v>
      </c>
      <c r="DX38" s="55">
        <f>SUMIFS('Awards Summary'!$H:$H,'Awards Summary'!$B:$B,$C38,'Awards Summary'!$J:$J,"NYSERDA")</f>
        <v>0</v>
      </c>
      <c r="DY38" s="55">
        <f>SUMIFS('Disbursements Summary'!$E:$E,'Disbursements Summary'!$C:$C,$C38,'Disbursements Summary'!$A:$A,"NYSERDA")</f>
        <v>0</v>
      </c>
      <c r="DZ38" s="55">
        <f>SUMIFS('Awards Summary'!$H:$H,'Awards Summary'!$B:$B,$C38,'Awards Summary'!$J:$J,"DHCR")</f>
        <v>0</v>
      </c>
      <c r="EA38" s="55">
        <f>SUMIFS('Disbursements Summary'!$E:$E,'Disbursements Summary'!$C:$C,$C38,'Disbursements Summary'!$A:$A,"DHCR")</f>
        <v>0</v>
      </c>
      <c r="EB38" s="55">
        <f>SUMIFS('Awards Summary'!$H:$H,'Awards Summary'!$B:$B,$C38,'Awards Summary'!$J:$J,"HFA")</f>
        <v>0</v>
      </c>
      <c r="EC38" s="55">
        <f>SUMIFS('Disbursements Summary'!$E:$E,'Disbursements Summary'!$C:$C,$C38,'Disbursements Summary'!$A:$A,"HFA")</f>
        <v>0</v>
      </c>
      <c r="ED38" s="55">
        <f>SUMIFS('Awards Summary'!$H:$H,'Awards Summary'!$B:$B,$C38,'Awards Summary'!$J:$J,"NYSIF")</f>
        <v>0</v>
      </c>
      <c r="EE38" s="55">
        <f>SUMIFS('Disbursements Summary'!$E:$E,'Disbursements Summary'!$C:$C,$C38,'Disbursements Summary'!$A:$A,"NYSIF")</f>
        <v>0</v>
      </c>
      <c r="EF38" s="55">
        <f>SUMIFS('Awards Summary'!$H:$H,'Awards Summary'!$B:$B,$C38,'Awards Summary'!$J:$J,"NYBREDS")</f>
        <v>0</v>
      </c>
      <c r="EG38" s="55">
        <f>SUMIFS('Disbursements Summary'!$E:$E,'Disbursements Summary'!$C:$C,$C38,'Disbursements Summary'!$A:$A,"NYBREDS")</f>
        <v>0</v>
      </c>
      <c r="EH38" s="55">
        <f>SUMIFS('Awards Summary'!$H:$H,'Awards Summary'!$B:$B,$C38,'Awards Summary'!$J:$J,"NYSTA")</f>
        <v>0</v>
      </c>
      <c r="EI38" s="55">
        <f>SUMIFS('Disbursements Summary'!$E:$E,'Disbursements Summary'!$C:$C,$C38,'Disbursements Summary'!$A:$A,"NYSTA")</f>
        <v>0</v>
      </c>
      <c r="EJ38" s="55">
        <f>SUMIFS('Awards Summary'!$H:$H,'Awards Summary'!$B:$B,$C38,'Awards Summary'!$J:$J,"NFWB")</f>
        <v>0</v>
      </c>
      <c r="EK38" s="55">
        <f>SUMIFS('Disbursements Summary'!$E:$E,'Disbursements Summary'!$C:$C,$C38,'Disbursements Summary'!$A:$A,"NFWB")</f>
        <v>0</v>
      </c>
      <c r="EL38" s="55">
        <f>SUMIFS('Awards Summary'!$H:$H,'Awards Summary'!$B:$B,$C38,'Awards Summary'!$J:$J,"NFTA")</f>
        <v>0</v>
      </c>
      <c r="EM38" s="55">
        <f>SUMIFS('Disbursements Summary'!$E:$E,'Disbursements Summary'!$C:$C,$C38,'Disbursements Summary'!$A:$A,"NFTA")</f>
        <v>0</v>
      </c>
      <c r="EN38" s="55">
        <f>SUMIFS('Awards Summary'!$H:$H,'Awards Summary'!$B:$B,$C38,'Awards Summary'!$J:$J,"OPWDD")</f>
        <v>0</v>
      </c>
      <c r="EO38" s="55">
        <f>SUMIFS('Disbursements Summary'!$E:$E,'Disbursements Summary'!$C:$C,$C38,'Disbursements Summary'!$A:$A,"OPWDD")</f>
        <v>0</v>
      </c>
      <c r="EP38" s="55">
        <f>SUMIFS('Awards Summary'!$H:$H,'Awards Summary'!$B:$B,$C38,'Awards Summary'!$J:$J,"AGING")</f>
        <v>0</v>
      </c>
      <c r="EQ38" s="55">
        <f>SUMIFS('Disbursements Summary'!$E:$E,'Disbursements Summary'!$C:$C,$C38,'Disbursements Summary'!$A:$A,"AGING")</f>
        <v>0</v>
      </c>
      <c r="ER38" s="55">
        <f>SUMIFS('Awards Summary'!$H:$H,'Awards Summary'!$B:$B,$C38,'Awards Summary'!$J:$J,"OPDV")</f>
        <v>0</v>
      </c>
      <c r="ES38" s="55">
        <f>SUMIFS('Disbursements Summary'!$E:$E,'Disbursements Summary'!$C:$C,$C38,'Disbursements Summary'!$A:$A,"OPDV")</f>
        <v>0</v>
      </c>
      <c r="ET38" s="55">
        <f>SUMIFS('Awards Summary'!$H:$H,'Awards Summary'!$B:$B,$C38,'Awards Summary'!$J:$J,"OVS")</f>
        <v>0</v>
      </c>
      <c r="EU38" s="55">
        <f>SUMIFS('Disbursements Summary'!$E:$E,'Disbursements Summary'!$C:$C,$C38,'Disbursements Summary'!$A:$A,"OVS")</f>
        <v>0</v>
      </c>
      <c r="EV38" s="55">
        <f>SUMIFS('Awards Summary'!$H:$H,'Awards Summary'!$B:$B,$C38,'Awards Summary'!$J:$J,"OASAS")</f>
        <v>0</v>
      </c>
      <c r="EW38" s="55">
        <f>SUMIFS('Disbursements Summary'!$E:$E,'Disbursements Summary'!$C:$C,$C38,'Disbursements Summary'!$A:$A,"OASAS")</f>
        <v>0</v>
      </c>
      <c r="EX38" s="55">
        <f>SUMIFS('Awards Summary'!$H:$H,'Awards Summary'!$B:$B,$C38,'Awards Summary'!$J:$J,"OCFS")</f>
        <v>0</v>
      </c>
      <c r="EY38" s="55">
        <f>SUMIFS('Disbursements Summary'!$E:$E,'Disbursements Summary'!$C:$C,$C38,'Disbursements Summary'!$A:$A,"OCFS")</f>
        <v>0</v>
      </c>
      <c r="EZ38" s="55">
        <f>SUMIFS('Awards Summary'!$H:$H,'Awards Summary'!$B:$B,$C38,'Awards Summary'!$J:$J,"OGS")</f>
        <v>0</v>
      </c>
      <c r="FA38" s="55">
        <f>SUMIFS('Disbursements Summary'!$E:$E,'Disbursements Summary'!$C:$C,$C38,'Disbursements Summary'!$A:$A,"OGS")</f>
        <v>0</v>
      </c>
      <c r="FB38" s="55">
        <f>SUMIFS('Awards Summary'!$H:$H,'Awards Summary'!$B:$B,$C38,'Awards Summary'!$J:$J,"OMH")</f>
        <v>0</v>
      </c>
      <c r="FC38" s="55">
        <f>SUMIFS('Disbursements Summary'!$E:$E,'Disbursements Summary'!$C:$C,$C38,'Disbursements Summary'!$A:$A,"OMH")</f>
        <v>0</v>
      </c>
      <c r="FD38" s="55">
        <f>SUMIFS('Awards Summary'!$H:$H,'Awards Summary'!$B:$B,$C38,'Awards Summary'!$J:$J,"PARKS")</f>
        <v>0</v>
      </c>
      <c r="FE38" s="55">
        <f>SUMIFS('Disbursements Summary'!$E:$E,'Disbursements Summary'!$C:$C,$C38,'Disbursements Summary'!$A:$A,"PARKS")</f>
        <v>0</v>
      </c>
      <c r="FF38" s="55">
        <f>SUMIFS('Awards Summary'!$H:$H,'Awards Summary'!$B:$B,$C38,'Awards Summary'!$J:$J,"OTDA")</f>
        <v>0</v>
      </c>
      <c r="FG38" s="55">
        <f>SUMIFS('Disbursements Summary'!$E:$E,'Disbursements Summary'!$C:$C,$C38,'Disbursements Summary'!$A:$A,"OTDA")</f>
        <v>0</v>
      </c>
      <c r="FH38" s="55">
        <f>SUMIFS('Awards Summary'!$H:$H,'Awards Summary'!$B:$B,$C38,'Awards Summary'!$J:$J,"OIG")</f>
        <v>0</v>
      </c>
      <c r="FI38" s="55">
        <f>SUMIFS('Disbursements Summary'!$E:$E,'Disbursements Summary'!$C:$C,$C38,'Disbursements Summary'!$A:$A,"OIG")</f>
        <v>0</v>
      </c>
      <c r="FJ38" s="55">
        <f>SUMIFS('Awards Summary'!$H:$H,'Awards Summary'!$B:$B,$C38,'Awards Summary'!$J:$J,"OMIG")</f>
        <v>0</v>
      </c>
      <c r="FK38" s="55">
        <f>SUMIFS('Disbursements Summary'!$E:$E,'Disbursements Summary'!$C:$C,$C38,'Disbursements Summary'!$A:$A,"OMIG")</f>
        <v>0</v>
      </c>
      <c r="FL38" s="55">
        <f>SUMIFS('Awards Summary'!$H:$H,'Awards Summary'!$B:$B,$C38,'Awards Summary'!$J:$J,"OSC")</f>
        <v>0</v>
      </c>
      <c r="FM38" s="55">
        <f>SUMIFS('Disbursements Summary'!$E:$E,'Disbursements Summary'!$C:$C,$C38,'Disbursements Summary'!$A:$A,"OSC")</f>
        <v>0</v>
      </c>
      <c r="FN38" s="55">
        <f>SUMIFS('Awards Summary'!$H:$H,'Awards Summary'!$B:$B,$C38,'Awards Summary'!$J:$J,"OWIG")</f>
        <v>0</v>
      </c>
      <c r="FO38" s="55">
        <f>SUMIFS('Disbursements Summary'!$E:$E,'Disbursements Summary'!$C:$C,$C38,'Disbursements Summary'!$A:$A,"OWIG")</f>
        <v>0</v>
      </c>
      <c r="FP38" s="55">
        <f>SUMIFS('Awards Summary'!$H:$H,'Awards Summary'!$B:$B,$C38,'Awards Summary'!$J:$J,"OGDEN")</f>
        <v>0</v>
      </c>
      <c r="FQ38" s="55">
        <f>SUMIFS('Disbursements Summary'!$E:$E,'Disbursements Summary'!$C:$C,$C38,'Disbursements Summary'!$A:$A,"OGDEN")</f>
        <v>0</v>
      </c>
      <c r="FR38" s="55">
        <f>SUMIFS('Awards Summary'!$H:$H,'Awards Summary'!$B:$B,$C38,'Awards Summary'!$J:$J,"ORDA")</f>
        <v>0</v>
      </c>
      <c r="FS38" s="55">
        <f>SUMIFS('Disbursements Summary'!$E:$E,'Disbursements Summary'!$C:$C,$C38,'Disbursements Summary'!$A:$A,"ORDA")</f>
        <v>0</v>
      </c>
      <c r="FT38" s="55">
        <f>SUMIFS('Awards Summary'!$H:$H,'Awards Summary'!$B:$B,$C38,'Awards Summary'!$J:$J,"OSWEGO")</f>
        <v>0</v>
      </c>
      <c r="FU38" s="55">
        <f>SUMIFS('Disbursements Summary'!$E:$E,'Disbursements Summary'!$C:$C,$C38,'Disbursements Summary'!$A:$A,"OSWEGO")</f>
        <v>0</v>
      </c>
      <c r="FV38" s="55">
        <f>SUMIFS('Awards Summary'!$H:$H,'Awards Summary'!$B:$B,$C38,'Awards Summary'!$J:$J,"PERB")</f>
        <v>0</v>
      </c>
      <c r="FW38" s="55">
        <f>SUMIFS('Disbursements Summary'!$E:$E,'Disbursements Summary'!$C:$C,$C38,'Disbursements Summary'!$A:$A,"PERB")</f>
        <v>0</v>
      </c>
      <c r="FX38" s="55">
        <f>SUMIFS('Awards Summary'!$H:$H,'Awards Summary'!$B:$B,$C38,'Awards Summary'!$J:$J,"RGRTA")</f>
        <v>0</v>
      </c>
      <c r="FY38" s="55">
        <f>SUMIFS('Disbursements Summary'!$E:$E,'Disbursements Summary'!$C:$C,$C38,'Disbursements Summary'!$A:$A,"RGRTA")</f>
        <v>0</v>
      </c>
      <c r="FZ38" s="55">
        <f>SUMIFS('Awards Summary'!$H:$H,'Awards Summary'!$B:$B,$C38,'Awards Summary'!$J:$J,"RIOC")</f>
        <v>0</v>
      </c>
      <c r="GA38" s="55">
        <f>SUMIFS('Disbursements Summary'!$E:$E,'Disbursements Summary'!$C:$C,$C38,'Disbursements Summary'!$A:$A,"RIOC")</f>
        <v>0</v>
      </c>
      <c r="GB38" s="55">
        <f>SUMIFS('Awards Summary'!$H:$H,'Awards Summary'!$B:$B,$C38,'Awards Summary'!$J:$J,"RPCI")</f>
        <v>0</v>
      </c>
      <c r="GC38" s="55">
        <f>SUMIFS('Disbursements Summary'!$E:$E,'Disbursements Summary'!$C:$C,$C38,'Disbursements Summary'!$A:$A,"RPCI")</f>
        <v>0</v>
      </c>
      <c r="GD38" s="55">
        <f>SUMIFS('Awards Summary'!$H:$H,'Awards Summary'!$B:$B,$C38,'Awards Summary'!$J:$J,"SMDA")</f>
        <v>0</v>
      </c>
      <c r="GE38" s="55">
        <f>SUMIFS('Disbursements Summary'!$E:$E,'Disbursements Summary'!$C:$C,$C38,'Disbursements Summary'!$A:$A,"SMDA")</f>
        <v>0</v>
      </c>
      <c r="GF38" s="55">
        <f>SUMIFS('Awards Summary'!$H:$H,'Awards Summary'!$B:$B,$C38,'Awards Summary'!$J:$J,"SCOC")</f>
        <v>0</v>
      </c>
      <c r="GG38" s="55">
        <f>SUMIFS('Disbursements Summary'!$E:$E,'Disbursements Summary'!$C:$C,$C38,'Disbursements Summary'!$A:$A,"SCOC")</f>
        <v>0</v>
      </c>
      <c r="GH38" s="55">
        <f>SUMIFS('Awards Summary'!$H:$H,'Awards Summary'!$B:$B,$C38,'Awards Summary'!$J:$J,"SUCF")</f>
        <v>0</v>
      </c>
      <c r="GI38" s="55">
        <f>SUMIFS('Disbursements Summary'!$E:$E,'Disbursements Summary'!$C:$C,$C38,'Disbursements Summary'!$A:$A,"SUCF")</f>
        <v>0</v>
      </c>
      <c r="GJ38" s="55">
        <f>SUMIFS('Awards Summary'!$H:$H,'Awards Summary'!$B:$B,$C38,'Awards Summary'!$J:$J,"SUNY")</f>
        <v>0</v>
      </c>
      <c r="GK38" s="55">
        <f>SUMIFS('Disbursements Summary'!$E:$E,'Disbursements Summary'!$C:$C,$C38,'Disbursements Summary'!$A:$A,"SUNY")</f>
        <v>0</v>
      </c>
      <c r="GL38" s="55">
        <f>SUMIFS('Awards Summary'!$H:$H,'Awards Summary'!$B:$B,$C38,'Awards Summary'!$J:$J,"SRAA")</f>
        <v>0</v>
      </c>
      <c r="GM38" s="55">
        <f>SUMIFS('Disbursements Summary'!$E:$E,'Disbursements Summary'!$C:$C,$C38,'Disbursements Summary'!$A:$A,"SRAA")</f>
        <v>0</v>
      </c>
      <c r="GN38" s="55">
        <f>SUMIFS('Awards Summary'!$H:$H,'Awards Summary'!$B:$B,$C38,'Awards Summary'!$J:$J,"UNDC")</f>
        <v>0</v>
      </c>
      <c r="GO38" s="55">
        <f>SUMIFS('Disbursements Summary'!$E:$E,'Disbursements Summary'!$C:$C,$C38,'Disbursements Summary'!$A:$A,"UNDC")</f>
        <v>0</v>
      </c>
      <c r="GP38" s="55">
        <f>SUMIFS('Awards Summary'!$H:$H,'Awards Summary'!$B:$B,$C38,'Awards Summary'!$J:$J,"MVWA")</f>
        <v>0</v>
      </c>
      <c r="GQ38" s="55">
        <f>SUMIFS('Disbursements Summary'!$E:$E,'Disbursements Summary'!$C:$C,$C38,'Disbursements Summary'!$A:$A,"MVWA")</f>
        <v>0</v>
      </c>
      <c r="GR38" s="55">
        <f>SUMIFS('Awards Summary'!$H:$H,'Awards Summary'!$B:$B,$C38,'Awards Summary'!$J:$J,"WMC")</f>
        <v>0</v>
      </c>
      <c r="GS38" s="55">
        <f>SUMIFS('Disbursements Summary'!$E:$E,'Disbursements Summary'!$C:$C,$C38,'Disbursements Summary'!$A:$A,"WMC")</f>
        <v>0</v>
      </c>
      <c r="GT38" s="55">
        <f>SUMIFS('Awards Summary'!$H:$H,'Awards Summary'!$B:$B,$C38,'Awards Summary'!$J:$J,"WCB")</f>
        <v>0</v>
      </c>
      <c r="GU38" s="55">
        <f>SUMIFS('Disbursements Summary'!$E:$E,'Disbursements Summary'!$C:$C,$C38,'Disbursements Summary'!$A:$A,"WCB")</f>
        <v>0</v>
      </c>
      <c r="GV38" s="32">
        <f t="shared" si="5"/>
        <v>0</v>
      </c>
      <c r="GW38" s="32">
        <f t="shared" si="6"/>
        <v>0</v>
      </c>
      <c r="GX38" s="30" t="b">
        <f t="shared" si="7"/>
        <v>1</v>
      </c>
      <c r="GY38" s="30" t="b">
        <f t="shared" si="8"/>
        <v>1</v>
      </c>
    </row>
    <row r="39" spans="1:207" s="30" customFormat="1">
      <c r="A39" s="22" t="str">
        <f t="shared" si="0"/>
        <v/>
      </c>
      <c r="B39" s="40" t="s">
        <v>41</v>
      </c>
      <c r="C39" s="16">
        <v>141066</v>
      </c>
      <c r="D39" s="26">
        <f>COUNTIF('Awards Summary'!B:B,"141066")</f>
        <v>0</v>
      </c>
      <c r="E39" s="45">
        <f>SUMIFS('Awards Summary'!H:H,'Awards Summary'!B:B,"141066")</f>
        <v>0</v>
      </c>
      <c r="F39" s="46">
        <f>SUMIFS('Disbursements Summary'!E:E,'Disbursements Summary'!C:C, "141066")</f>
        <v>0</v>
      </c>
      <c r="H39" s="55">
        <f>SUMIFS('Awards Summary'!$H:$H,'Awards Summary'!$B:$B,$C39,'Awards Summary'!$J:$J,"APA")</f>
        <v>0</v>
      </c>
      <c r="I39" s="55">
        <f>SUMIFS('Disbursements Summary'!$E:$E,'Disbursements Summary'!$C:$C,$C39,'Disbursements Summary'!$A:$A,"APA")</f>
        <v>0</v>
      </c>
      <c r="J39" s="55">
        <f>SUMIFS('Awards Summary'!$H:$H,'Awards Summary'!$B:$B,$C39,'Awards Summary'!$J:$J,"Ag&amp;Horse")</f>
        <v>0</v>
      </c>
      <c r="K39" s="55">
        <f>SUMIFS('Disbursements Summary'!$E:$E,'Disbursements Summary'!$C:$C,$C39,'Disbursements Summary'!$A:$A,"Ag&amp;Horse")</f>
        <v>0</v>
      </c>
      <c r="L39" s="55">
        <f>SUMIFS('Awards Summary'!$H:$H,'Awards Summary'!$B:$B,$C39,'Awards Summary'!$J:$J,"ACAA")</f>
        <v>0</v>
      </c>
      <c r="M39" s="55">
        <f>SUMIFS('Disbursements Summary'!$E:$E,'Disbursements Summary'!$C:$C,$C39,'Disbursements Summary'!$A:$A,"ACAA")</f>
        <v>0</v>
      </c>
      <c r="N39" s="55">
        <f>SUMIFS('Awards Summary'!$H:$H,'Awards Summary'!$B:$B,$C39,'Awards Summary'!$J:$J,"PortAlbany")</f>
        <v>0</v>
      </c>
      <c r="O39" s="55">
        <f>SUMIFS('Disbursements Summary'!$E:$E,'Disbursements Summary'!$C:$C,$C39,'Disbursements Summary'!$A:$A,"PortAlbany")</f>
        <v>0</v>
      </c>
      <c r="P39" s="55">
        <f>SUMIFS('Awards Summary'!$H:$H,'Awards Summary'!$B:$B,$C39,'Awards Summary'!$J:$J,"SLA")</f>
        <v>0</v>
      </c>
      <c r="Q39" s="55">
        <f>SUMIFS('Disbursements Summary'!$E:$E,'Disbursements Summary'!$C:$C,$C39,'Disbursements Summary'!$A:$A,"SLA")</f>
        <v>0</v>
      </c>
      <c r="R39" s="55">
        <f>SUMIFS('Awards Summary'!$H:$H,'Awards Summary'!$B:$B,$C39,'Awards Summary'!$J:$J,"BPCA")</f>
        <v>0</v>
      </c>
      <c r="S39" s="55">
        <f>SUMIFS('Disbursements Summary'!$E:$E,'Disbursements Summary'!$C:$C,$C39,'Disbursements Summary'!$A:$A,"BPCA")</f>
        <v>0</v>
      </c>
      <c r="T39" s="55">
        <f>SUMIFS('Awards Summary'!$H:$H,'Awards Summary'!$B:$B,$C39,'Awards Summary'!$J:$J,"ELECTIONS")</f>
        <v>0</v>
      </c>
      <c r="U39" s="55">
        <f>SUMIFS('Disbursements Summary'!$E:$E,'Disbursements Summary'!$C:$C,$C39,'Disbursements Summary'!$A:$A,"ELECTIONS")</f>
        <v>0</v>
      </c>
      <c r="V39" s="55">
        <f>SUMIFS('Awards Summary'!$H:$H,'Awards Summary'!$B:$B,$C39,'Awards Summary'!$J:$J,"BFSA")</f>
        <v>0</v>
      </c>
      <c r="W39" s="55">
        <f>SUMIFS('Disbursements Summary'!$E:$E,'Disbursements Summary'!$C:$C,$C39,'Disbursements Summary'!$A:$A,"BFSA")</f>
        <v>0</v>
      </c>
      <c r="X39" s="55">
        <f>SUMIFS('Awards Summary'!$H:$H,'Awards Summary'!$B:$B,$C39,'Awards Summary'!$J:$J,"CDTA")</f>
        <v>0</v>
      </c>
      <c r="Y39" s="55">
        <f>SUMIFS('Disbursements Summary'!$E:$E,'Disbursements Summary'!$C:$C,$C39,'Disbursements Summary'!$A:$A,"CDTA")</f>
        <v>0</v>
      </c>
      <c r="Z39" s="55">
        <f>SUMIFS('Awards Summary'!$H:$H,'Awards Summary'!$B:$B,$C39,'Awards Summary'!$J:$J,"CCWSA")</f>
        <v>0</v>
      </c>
      <c r="AA39" s="55">
        <f>SUMIFS('Disbursements Summary'!$E:$E,'Disbursements Summary'!$C:$C,$C39,'Disbursements Summary'!$A:$A,"CCWSA")</f>
        <v>0</v>
      </c>
      <c r="AB39" s="55">
        <f>SUMIFS('Awards Summary'!$H:$H,'Awards Summary'!$B:$B,$C39,'Awards Summary'!$J:$J,"CNYRTA")</f>
        <v>0</v>
      </c>
      <c r="AC39" s="55">
        <f>SUMIFS('Disbursements Summary'!$E:$E,'Disbursements Summary'!$C:$C,$C39,'Disbursements Summary'!$A:$A,"CNYRTA")</f>
        <v>0</v>
      </c>
      <c r="AD39" s="55">
        <f>SUMIFS('Awards Summary'!$H:$H,'Awards Summary'!$B:$B,$C39,'Awards Summary'!$J:$J,"CUCF")</f>
        <v>0</v>
      </c>
      <c r="AE39" s="55">
        <f>SUMIFS('Disbursements Summary'!$E:$E,'Disbursements Summary'!$C:$C,$C39,'Disbursements Summary'!$A:$A,"CUCF")</f>
        <v>0</v>
      </c>
      <c r="AF39" s="55">
        <f>SUMIFS('Awards Summary'!$H:$H,'Awards Summary'!$B:$B,$C39,'Awards Summary'!$J:$J,"CUNY")</f>
        <v>0</v>
      </c>
      <c r="AG39" s="55">
        <f>SUMIFS('Disbursements Summary'!$E:$E,'Disbursements Summary'!$C:$C,$C39,'Disbursements Summary'!$A:$A,"CUNY")</f>
        <v>0</v>
      </c>
      <c r="AH39" s="55">
        <f>SUMIFS('Awards Summary'!$H:$H,'Awards Summary'!$B:$B,$C39,'Awards Summary'!$J:$J,"ARTS")</f>
        <v>0</v>
      </c>
      <c r="AI39" s="55">
        <f>SUMIFS('Disbursements Summary'!$E:$E,'Disbursements Summary'!$C:$C,$C39,'Disbursements Summary'!$A:$A,"ARTS")</f>
        <v>0</v>
      </c>
      <c r="AJ39" s="55">
        <f>SUMIFS('Awards Summary'!$H:$H,'Awards Summary'!$B:$B,$C39,'Awards Summary'!$J:$J,"AG&amp;MKTS")</f>
        <v>0</v>
      </c>
      <c r="AK39" s="55">
        <f>SUMIFS('Disbursements Summary'!$E:$E,'Disbursements Summary'!$C:$C,$C39,'Disbursements Summary'!$A:$A,"AG&amp;MKTS")</f>
        <v>0</v>
      </c>
      <c r="AL39" s="55">
        <f>SUMIFS('Awards Summary'!$H:$H,'Awards Summary'!$B:$B,$C39,'Awards Summary'!$J:$J,"CS")</f>
        <v>0</v>
      </c>
      <c r="AM39" s="55">
        <f>SUMIFS('Disbursements Summary'!$E:$E,'Disbursements Summary'!$C:$C,$C39,'Disbursements Summary'!$A:$A,"CS")</f>
        <v>0</v>
      </c>
      <c r="AN39" s="55">
        <f>SUMIFS('Awards Summary'!$H:$H,'Awards Summary'!$B:$B,$C39,'Awards Summary'!$J:$J,"DOCCS")</f>
        <v>0</v>
      </c>
      <c r="AO39" s="55">
        <f>SUMIFS('Disbursements Summary'!$E:$E,'Disbursements Summary'!$C:$C,$C39,'Disbursements Summary'!$A:$A,"DOCCS")</f>
        <v>0</v>
      </c>
      <c r="AP39" s="55">
        <f>SUMIFS('Awards Summary'!$H:$H,'Awards Summary'!$B:$B,$C39,'Awards Summary'!$J:$J,"DED")</f>
        <v>0</v>
      </c>
      <c r="AQ39" s="55">
        <f>SUMIFS('Disbursements Summary'!$E:$E,'Disbursements Summary'!$C:$C,$C39,'Disbursements Summary'!$A:$A,"DED")</f>
        <v>0</v>
      </c>
      <c r="AR39" s="55">
        <f>SUMIFS('Awards Summary'!$H:$H,'Awards Summary'!$B:$B,$C39,'Awards Summary'!$J:$J,"DEC")</f>
        <v>0</v>
      </c>
      <c r="AS39" s="55">
        <f>SUMIFS('Disbursements Summary'!$E:$E,'Disbursements Summary'!$C:$C,$C39,'Disbursements Summary'!$A:$A,"DEC")</f>
        <v>0</v>
      </c>
      <c r="AT39" s="55">
        <f>SUMIFS('Awards Summary'!$H:$H,'Awards Summary'!$B:$B,$C39,'Awards Summary'!$J:$J,"DFS")</f>
        <v>0</v>
      </c>
      <c r="AU39" s="55">
        <f>SUMIFS('Disbursements Summary'!$E:$E,'Disbursements Summary'!$C:$C,$C39,'Disbursements Summary'!$A:$A,"DFS")</f>
        <v>0</v>
      </c>
      <c r="AV39" s="55">
        <f>SUMIFS('Awards Summary'!$H:$H,'Awards Summary'!$B:$B,$C39,'Awards Summary'!$J:$J,"DOH")</f>
        <v>0</v>
      </c>
      <c r="AW39" s="55">
        <f>SUMIFS('Disbursements Summary'!$E:$E,'Disbursements Summary'!$C:$C,$C39,'Disbursements Summary'!$A:$A,"DOH")</f>
        <v>0</v>
      </c>
      <c r="AX39" s="55">
        <f>SUMIFS('Awards Summary'!$H:$H,'Awards Summary'!$B:$B,$C39,'Awards Summary'!$J:$J,"DOL")</f>
        <v>0</v>
      </c>
      <c r="AY39" s="55">
        <f>SUMIFS('Disbursements Summary'!$E:$E,'Disbursements Summary'!$C:$C,$C39,'Disbursements Summary'!$A:$A,"DOL")</f>
        <v>0</v>
      </c>
      <c r="AZ39" s="55">
        <f>SUMIFS('Awards Summary'!$H:$H,'Awards Summary'!$B:$B,$C39,'Awards Summary'!$J:$J,"DMV")</f>
        <v>0</v>
      </c>
      <c r="BA39" s="55">
        <f>SUMIFS('Disbursements Summary'!$E:$E,'Disbursements Summary'!$C:$C,$C39,'Disbursements Summary'!$A:$A,"DMV")</f>
        <v>0</v>
      </c>
      <c r="BB39" s="55">
        <f>SUMIFS('Awards Summary'!$H:$H,'Awards Summary'!$B:$B,$C39,'Awards Summary'!$J:$J,"DPS")</f>
        <v>0</v>
      </c>
      <c r="BC39" s="55">
        <f>SUMIFS('Disbursements Summary'!$E:$E,'Disbursements Summary'!$C:$C,$C39,'Disbursements Summary'!$A:$A,"DPS")</f>
        <v>0</v>
      </c>
      <c r="BD39" s="55">
        <f>SUMIFS('Awards Summary'!$H:$H,'Awards Summary'!$B:$B,$C39,'Awards Summary'!$J:$J,"DOS")</f>
        <v>0</v>
      </c>
      <c r="BE39" s="55">
        <f>SUMIFS('Disbursements Summary'!$E:$E,'Disbursements Summary'!$C:$C,$C39,'Disbursements Summary'!$A:$A,"DOS")</f>
        <v>0</v>
      </c>
      <c r="BF39" s="55">
        <f>SUMIFS('Awards Summary'!$H:$H,'Awards Summary'!$B:$B,$C39,'Awards Summary'!$J:$J,"TAX")</f>
        <v>0</v>
      </c>
      <c r="BG39" s="55">
        <f>SUMIFS('Disbursements Summary'!$E:$E,'Disbursements Summary'!$C:$C,$C39,'Disbursements Summary'!$A:$A,"TAX")</f>
        <v>0</v>
      </c>
      <c r="BH39" s="55">
        <f>SUMIFS('Awards Summary'!$H:$H,'Awards Summary'!$B:$B,$C39,'Awards Summary'!$J:$J,"DOT")</f>
        <v>0</v>
      </c>
      <c r="BI39" s="55">
        <f>SUMIFS('Disbursements Summary'!$E:$E,'Disbursements Summary'!$C:$C,$C39,'Disbursements Summary'!$A:$A,"DOT")</f>
        <v>0</v>
      </c>
      <c r="BJ39" s="55">
        <f>SUMIFS('Awards Summary'!$H:$H,'Awards Summary'!$B:$B,$C39,'Awards Summary'!$J:$J,"DANC")</f>
        <v>0</v>
      </c>
      <c r="BK39" s="55">
        <f>SUMIFS('Disbursements Summary'!$E:$E,'Disbursements Summary'!$C:$C,$C39,'Disbursements Summary'!$A:$A,"DANC")</f>
        <v>0</v>
      </c>
      <c r="BL39" s="55">
        <f>SUMIFS('Awards Summary'!$H:$H,'Awards Summary'!$B:$B,$C39,'Awards Summary'!$J:$J,"DOB")</f>
        <v>0</v>
      </c>
      <c r="BM39" s="55">
        <f>SUMIFS('Disbursements Summary'!$E:$E,'Disbursements Summary'!$C:$C,$C39,'Disbursements Summary'!$A:$A,"DOB")</f>
        <v>0</v>
      </c>
      <c r="BN39" s="55">
        <f>SUMIFS('Awards Summary'!$H:$H,'Awards Summary'!$B:$B,$C39,'Awards Summary'!$J:$J,"DCJS")</f>
        <v>0</v>
      </c>
      <c r="BO39" s="55">
        <f>SUMIFS('Disbursements Summary'!$E:$E,'Disbursements Summary'!$C:$C,$C39,'Disbursements Summary'!$A:$A,"DCJS")</f>
        <v>0</v>
      </c>
      <c r="BP39" s="55">
        <f>SUMIFS('Awards Summary'!$H:$H,'Awards Summary'!$B:$B,$C39,'Awards Summary'!$J:$J,"DHSES")</f>
        <v>0</v>
      </c>
      <c r="BQ39" s="55">
        <f>SUMIFS('Disbursements Summary'!$E:$E,'Disbursements Summary'!$C:$C,$C39,'Disbursements Summary'!$A:$A,"DHSES")</f>
        <v>0</v>
      </c>
      <c r="BR39" s="55">
        <f>SUMIFS('Awards Summary'!$H:$H,'Awards Summary'!$B:$B,$C39,'Awards Summary'!$J:$J,"DHR")</f>
        <v>0</v>
      </c>
      <c r="BS39" s="55">
        <f>SUMIFS('Disbursements Summary'!$E:$E,'Disbursements Summary'!$C:$C,$C39,'Disbursements Summary'!$A:$A,"DHR")</f>
        <v>0</v>
      </c>
      <c r="BT39" s="55">
        <f>SUMIFS('Awards Summary'!$H:$H,'Awards Summary'!$B:$B,$C39,'Awards Summary'!$J:$J,"DMNA")</f>
        <v>0</v>
      </c>
      <c r="BU39" s="55">
        <f>SUMIFS('Disbursements Summary'!$E:$E,'Disbursements Summary'!$C:$C,$C39,'Disbursements Summary'!$A:$A,"DMNA")</f>
        <v>0</v>
      </c>
      <c r="BV39" s="55">
        <f>SUMIFS('Awards Summary'!$H:$H,'Awards Summary'!$B:$B,$C39,'Awards Summary'!$J:$J,"TROOPERS")</f>
        <v>0</v>
      </c>
      <c r="BW39" s="55">
        <f>SUMIFS('Disbursements Summary'!$E:$E,'Disbursements Summary'!$C:$C,$C39,'Disbursements Summary'!$A:$A,"TROOPERS")</f>
        <v>0</v>
      </c>
      <c r="BX39" s="55">
        <f>SUMIFS('Awards Summary'!$H:$H,'Awards Summary'!$B:$B,$C39,'Awards Summary'!$J:$J,"DVA")</f>
        <v>0</v>
      </c>
      <c r="BY39" s="55">
        <f>SUMIFS('Disbursements Summary'!$E:$E,'Disbursements Summary'!$C:$C,$C39,'Disbursements Summary'!$A:$A,"DVA")</f>
        <v>0</v>
      </c>
      <c r="BZ39" s="55">
        <f>SUMIFS('Awards Summary'!$H:$H,'Awards Summary'!$B:$B,$C39,'Awards Summary'!$J:$J,"DASNY")</f>
        <v>0</v>
      </c>
      <c r="CA39" s="55">
        <f>SUMIFS('Disbursements Summary'!$E:$E,'Disbursements Summary'!$C:$C,$C39,'Disbursements Summary'!$A:$A,"DASNY")</f>
        <v>0</v>
      </c>
      <c r="CB39" s="55">
        <f>SUMIFS('Awards Summary'!$H:$H,'Awards Summary'!$B:$B,$C39,'Awards Summary'!$J:$J,"EGG")</f>
        <v>0</v>
      </c>
      <c r="CC39" s="55">
        <f>SUMIFS('Disbursements Summary'!$E:$E,'Disbursements Summary'!$C:$C,$C39,'Disbursements Summary'!$A:$A,"EGG")</f>
        <v>0</v>
      </c>
      <c r="CD39" s="55">
        <f>SUMIFS('Awards Summary'!$H:$H,'Awards Summary'!$B:$B,$C39,'Awards Summary'!$J:$J,"ESD")</f>
        <v>0</v>
      </c>
      <c r="CE39" s="55">
        <f>SUMIFS('Disbursements Summary'!$E:$E,'Disbursements Summary'!$C:$C,$C39,'Disbursements Summary'!$A:$A,"ESD")</f>
        <v>0</v>
      </c>
      <c r="CF39" s="55">
        <f>SUMIFS('Awards Summary'!$H:$H,'Awards Summary'!$B:$B,$C39,'Awards Summary'!$J:$J,"EFC")</f>
        <v>0</v>
      </c>
      <c r="CG39" s="55">
        <f>SUMIFS('Disbursements Summary'!$E:$E,'Disbursements Summary'!$C:$C,$C39,'Disbursements Summary'!$A:$A,"EFC")</f>
        <v>0</v>
      </c>
      <c r="CH39" s="55">
        <f>SUMIFS('Awards Summary'!$H:$H,'Awards Summary'!$B:$B,$C39,'Awards Summary'!$J:$J,"ECFSA")</f>
        <v>0</v>
      </c>
      <c r="CI39" s="55">
        <f>SUMIFS('Disbursements Summary'!$E:$E,'Disbursements Summary'!$C:$C,$C39,'Disbursements Summary'!$A:$A,"ECFSA")</f>
        <v>0</v>
      </c>
      <c r="CJ39" s="55">
        <f>SUMIFS('Awards Summary'!$H:$H,'Awards Summary'!$B:$B,$C39,'Awards Summary'!$J:$J,"ECMC")</f>
        <v>0</v>
      </c>
      <c r="CK39" s="55">
        <f>SUMIFS('Disbursements Summary'!$E:$E,'Disbursements Summary'!$C:$C,$C39,'Disbursements Summary'!$A:$A,"ECMC")</f>
        <v>0</v>
      </c>
      <c r="CL39" s="55">
        <f>SUMIFS('Awards Summary'!$H:$H,'Awards Summary'!$B:$B,$C39,'Awards Summary'!$J:$J,"CHAMBER")</f>
        <v>0</v>
      </c>
      <c r="CM39" s="55">
        <f>SUMIFS('Disbursements Summary'!$E:$E,'Disbursements Summary'!$C:$C,$C39,'Disbursements Summary'!$A:$A,"CHAMBER")</f>
        <v>0</v>
      </c>
      <c r="CN39" s="55">
        <f>SUMIFS('Awards Summary'!$H:$H,'Awards Summary'!$B:$B,$C39,'Awards Summary'!$J:$J,"GAMING")</f>
        <v>0</v>
      </c>
      <c r="CO39" s="55">
        <f>SUMIFS('Disbursements Summary'!$E:$E,'Disbursements Summary'!$C:$C,$C39,'Disbursements Summary'!$A:$A,"GAMING")</f>
        <v>0</v>
      </c>
      <c r="CP39" s="55">
        <f>SUMIFS('Awards Summary'!$H:$H,'Awards Summary'!$B:$B,$C39,'Awards Summary'!$J:$J,"GOER")</f>
        <v>0</v>
      </c>
      <c r="CQ39" s="55">
        <f>SUMIFS('Disbursements Summary'!$E:$E,'Disbursements Summary'!$C:$C,$C39,'Disbursements Summary'!$A:$A,"GOER")</f>
        <v>0</v>
      </c>
      <c r="CR39" s="55">
        <f>SUMIFS('Awards Summary'!$H:$H,'Awards Summary'!$B:$B,$C39,'Awards Summary'!$J:$J,"HESC")</f>
        <v>0</v>
      </c>
      <c r="CS39" s="55">
        <f>SUMIFS('Disbursements Summary'!$E:$E,'Disbursements Summary'!$C:$C,$C39,'Disbursements Summary'!$A:$A,"HESC")</f>
        <v>0</v>
      </c>
      <c r="CT39" s="55">
        <f>SUMIFS('Awards Summary'!$H:$H,'Awards Summary'!$B:$B,$C39,'Awards Summary'!$J:$J,"GOSR")</f>
        <v>0</v>
      </c>
      <c r="CU39" s="55">
        <f>SUMIFS('Disbursements Summary'!$E:$E,'Disbursements Summary'!$C:$C,$C39,'Disbursements Summary'!$A:$A,"GOSR")</f>
        <v>0</v>
      </c>
      <c r="CV39" s="55">
        <f>SUMIFS('Awards Summary'!$H:$H,'Awards Summary'!$B:$B,$C39,'Awards Summary'!$J:$J,"HRPT")</f>
        <v>0</v>
      </c>
      <c r="CW39" s="55">
        <f>SUMIFS('Disbursements Summary'!$E:$E,'Disbursements Summary'!$C:$C,$C39,'Disbursements Summary'!$A:$A,"HRPT")</f>
        <v>0</v>
      </c>
      <c r="CX39" s="55">
        <f>SUMIFS('Awards Summary'!$H:$H,'Awards Summary'!$B:$B,$C39,'Awards Summary'!$J:$J,"HRBRRD")</f>
        <v>0</v>
      </c>
      <c r="CY39" s="55">
        <f>SUMIFS('Disbursements Summary'!$E:$E,'Disbursements Summary'!$C:$C,$C39,'Disbursements Summary'!$A:$A,"HRBRRD")</f>
        <v>0</v>
      </c>
      <c r="CZ39" s="55">
        <f>SUMIFS('Awards Summary'!$H:$H,'Awards Summary'!$B:$B,$C39,'Awards Summary'!$J:$J,"ITS")</f>
        <v>0</v>
      </c>
      <c r="DA39" s="55">
        <f>SUMIFS('Disbursements Summary'!$E:$E,'Disbursements Summary'!$C:$C,$C39,'Disbursements Summary'!$A:$A,"ITS")</f>
        <v>0</v>
      </c>
      <c r="DB39" s="55">
        <f>SUMIFS('Awards Summary'!$H:$H,'Awards Summary'!$B:$B,$C39,'Awards Summary'!$J:$J,"JAVITS")</f>
        <v>0</v>
      </c>
      <c r="DC39" s="55">
        <f>SUMIFS('Disbursements Summary'!$E:$E,'Disbursements Summary'!$C:$C,$C39,'Disbursements Summary'!$A:$A,"JAVITS")</f>
        <v>0</v>
      </c>
      <c r="DD39" s="55">
        <f>SUMIFS('Awards Summary'!$H:$H,'Awards Summary'!$B:$B,$C39,'Awards Summary'!$J:$J,"JCOPE")</f>
        <v>0</v>
      </c>
      <c r="DE39" s="55">
        <f>SUMIFS('Disbursements Summary'!$E:$E,'Disbursements Summary'!$C:$C,$C39,'Disbursements Summary'!$A:$A,"JCOPE")</f>
        <v>0</v>
      </c>
      <c r="DF39" s="55">
        <f>SUMIFS('Awards Summary'!$H:$H,'Awards Summary'!$B:$B,$C39,'Awards Summary'!$J:$J,"JUSTICE")</f>
        <v>0</v>
      </c>
      <c r="DG39" s="55">
        <f>SUMIFS('Disbursements Summary'!$E:$E,'Disbursements Summary'!$C:$C,$C39,'Disbursements Summary'!$A:$A,"JUSTICE")</f>
        <v>0</v>
      </c>
      <c r="DH39" s="55">
        <f>SUMIFS('Awards Summary'!$H:$H,'Awards Summary'!$B:$B,$C39,'Awards Summary'!$J:$J,"LCWSA")</f>
        <v>0</v>
      </c>
      <c r="DI39" s="55">
        <f>SUMIFS('Disbursements Summary'!$E:$E,'Disbursements Summary'!$C:$C,$C39,'Disbursements Summary'!$A:$A,"LCWSA")</f>
        <v>0</v>
      </c>
      <c r="DJ39" s="55">
        <f>SUMIFS('Awards Summary'!$H:$H,'Awards Summary'!$B:$B,$C39,'Awards Summary'!$J:$J,"LIPA")</f>
        <v>0</v>
      </c>
      <c r="DK39" s="55">
        <f>SUMIFS('Disbursements Summary'!$E:$E,'Disbursements Summary'!$C:$C,$C39,'Disbursements Summary'!$A:$A,"LIPA")</f>
        <v>0</v>
      </c>
      <c r="DL39" s="55">
        <f>SUMIFS('Awards Summary'!$H:$H,'Awards Summary'!$B:$B,$C39,'Awards Summary'!$J:$J,"MTA")</f>
        <v>0</v>
      </c>
      <c r="DM39" s="55">
        <f>SUMIFS('Disbursements Summary'!$E:$E,'Disbursements Summary'!$C:$C,$C39,'Disbursements Summary'!$A:$A,"MTA")</f>
        <v>0</v>
      </c>
      <c r="DN39" s="55">
        <f>SUMIFS('Awards Summary'!$H:$H,'Awards Summary'!$B:$B,$C39,'Awards Summary'!$J:$J,"NIFA")</f>
        <v>0</v>
      </c>
      <c r="DO39" s="55">
        <f>SUMIFS('Disbursements Summary'!$E:$E,'Disbursements Summary'!$C:$C,$C39,'Disbursements Summary'!$A:$A,"NIFA")</f>
        <v>0</v>
      </c>
      <c r="DP39" s="55">
        <f>SUMIFS('Awards Summary'!$H:$H,'Awards Summary'!$B:$B,$C39,'Awards Summary'!$J:$J,"NHCC")</f>
        <v>0</v>
      </c>
      <c r="DQ39" s="55">
        <f>SUMIFS('Disbursements Summary'!$E:$E,'Disbursements Summary'!$C:$C,$C39,'Disbursements Summary'!$A:$A,"NHCC")</f>
        <v>0</v>
      </c>
      <c r="DR39" s="55">
        <f>SUMIFS('Awards Summary'!$H:$H,'Awards Summary'!$B:$B,$C39,'Awards Summary'!$J:$J,"NHT")</f>
        <v>0</v>
      </c>
      <c r="DS39" s="55">
        <f>SUMIFS('Disbursements Summary'!$E:$E,'Disbursements Summary'!$C:$C,$C39,'Disbursements Summary'!$A:$A,"NHT")</f>
        <v>0</v>
      </c>
      <c r="DT39" s="55">
        <f>SUMIFS('Awards Summary'!$H:$H,'Awards Summary'!$B:$B,$C39,'Awards Summary'!$J:$J,"NYPA")</f>
        <v>0</v>
      </c>
      <c r="DU39" s="55">
        <f>SUMIFS('Disbursements Summary'!$E:$E,'Disbursements Summary'!$C:$C,$C39,'Disbursements Summary'!$A:$A,"NYPA")</f>
        <v>0</v>
      </c>
      <c r="DV39" s="55">
        <f>SUMIFS('Awards Summary'!$H:$H,'Awards Summary'!$B:$B,$C39,'Awards Summary'!$J:$J,"NYSBA")</f>
        <v>0</v>
      </c>
      <c r="DW39" s="55">
        <f>SUMIFS('Disbursements Summary'!$E:$E,'Disbursements Summary'!$C:$C,$C39,'Disbursements Summary'!$A:$A,"NYSBA")</f>
        <v>0</v>
      </c>
      <c r="DX39" s="55">
        <f>SUMIFS('Awards Summary'!$H:$H,'Awards Summary'!$B:$B,$C39,'Awards Summary'!$J:$J,"NYSERDA")</f>
        <v>0</v>
      </c>
      <c r="DY39" s="55">
        <f>SUMIFS('Disbursements Summary'!$E:$E,'Disbursements Summary'!$C:$C,$C39,'Disbursements Summary'!$A:$A,"NYSERDA")</f>
        <v>0</v>
      </c>
      <c r="DZ39" s="55">
        <f>SUMIFS('Awards Summary'!$H:$H,'Awards Summary'!$B:$B,$C39,'Awards Summary'!$J:$J,"DHCR")</f>
        <v>0</v>
      </c>
      <c r="EA39" s="55">
        <f>SUMIFS('Disbursements Summary'!$E:$E,'Disbursements Summary'!$C:$C,$C39,'Disbursements Summary'!$A:$A,"DHCR")</f>
        <v>0</v>
      </c>
      <c r="EB39" s="55">
        <f>SUMIFS('Awards Summary'!$H:$H,'Awards Summary'!$B:$B,$C39,'Awards Summary'!$J:$J,"HFA")</f>
        <v>0</v>
      </c>
      <c r="EC39" s="55">
        <f>SUMIFS('Disbursements Summary'!$E:$E,'Disbursements Summary'!$C:$C,$C39,'Disbursements Summary'!$A:$A,"HFA")</f>
        <v>0</v>
      </c>
      <c r="ED39" s="55">
        <f>SUMIFS('Awards Summary'!$H:$H,'Awards Summary'!$B:$B,$C39,'Awards Summary'!$J:$J,"NYSIF")</f>
        <v>0</v>
      </c>
      <c r="EE39" s="55">
        <f>SUMIFS('Disbursements Summary'!$E:$E,'Disbursements Summary'!$C:$C,$C39,'Disbursements Summary'!$A:$A,"NYSIF")</f>
        <v>0</v>
      </c>
      <c r="EF39" s="55">
        <f>SUMIFS('Awards Summary'!$H:$H,'Awards Summary'!$B:$B,$C39,'Awards Summary'!$J:$J,"NYBREDS")</f>
        <v>0</v>
      </c>
      <c r="EG39" s="55">
        <f>SUMIFS('Disbursements Summary'!$E:$E,'Disbursements Summary'!$C:$C,$C39,'Disbursements Summary'!$A:$A,"NYBREDS")</f>
        <v>0</v>
      </c>
      <c r="EH39" s="55">
        <f>SUMIFS('Awards Summary'!$H:$H,'Awards Summary'!$B:$B,$C39,'Awards Summary'!$J:$J,"NYSTA")</f>
        <v>0</v>
      </c>
      <c r="EI39" s="55">
        <f>SUMIFS('Disbursements Summary'!$E:$E,'Disbursements Summary'!$C:$C,$C39,'Disbursements Summary'!$A:$A,"NYSTA")</f>
        <v>0</v>
      </c>
      <c r="EJ39" s="55">
        <f>SUMIFS('Awards Summary'!$H:$H,'Awards Summary'!$B:$B,$C39,'Awards Summary'!$J:$J,"NFWB")</f>
        <v>0</v>
      </c>
      <c r="EK39" s="55">
        <f>SUMIFS('Disbursements Summary'!$E:$E,'Disbursements Summary'!$C:$C,$C39,'Disbursements Summary'!$A:$A,"NFWB")</f>
        <v>0</v>
      </c>
      <c r="EL39" s="55">
        <f>SUMIFS('Awards Summary'!$H:$H,'Awards Summary'!$B:$B,$C39,'Awards Summary'!$J:$J,"NFTA")</f>
        <v>0</v>
      </c>
      <c r="EM39" s="55">
        <f>SUMIFS('Disbursements Summary'!$E:$E,'Disbursements Summary'!$C:$C,$C39,'Disbursements Summary'!$A:$A,"NFTA")</f>
        <v>0</v>
      </c>
      <c r="EN39" s="55">
        <f>SUMIFS('Awards Summary'!$H:$H,'Awards Summary'!$B:$B,$C39,'Awards Summary'!$J:$J,"OPWDD")</f>
        <v>0</v>
      </c>
      <c r="EO39" s="55">
        <f>SUMIFS('Disbursements Summary'!$E:$E,'Disbursements Summary'!$C:$C,$C39,'Disbursements Summary'!$A:$A,"OPWDD")</f>
        <v>0</v>
      </c>
      <c r="EP39" s="55">
        <f>SUMIFS('Awards Summary'!$H:$H,'Awards Summary'!$B:$B,$C39,'Awards Summary'!$J:$J,"AGING")</f>
        <v>0</v>
      </c>
      <c r="EQ39" s="55">
        <f>SUMIFS('Disbursements Summary'!$E:$E,'Disbursements Summary'!$C:$C,$C39,'Disbursements Summary'!$A:$A,"AGING")</f>
        <v>0</v>
      </c>
      <c r="ER39" s="55">
        <f>SUMIFS('Awards Summary'!$H:$H,'Awards Summary'!$B:$B,$C39,'Awards Summary'!$J:$J,"OPDV")</f>
        <v>0</v>
      </c>
      <c r="ES39" s="55">
        <f>SUMIFS('Disbursements Summary'!$E:$E,'Disbursements Summary'!$C:$C,$C39,'Disbursements Summary'!$A:$A,"OPDV")</f>
        <v>0</v>
      </c>
      <c r="ET39" s="55">
        <f>SUMIFS('Awards Summary'!$H:$H,'Awards Summary'!$B:$B,$C39,'Awards Summary'!$J:$J,"OVS")</f>
        <v>0</v>
      </c>
      <c r="EU39" s="55">
        <f>SUMIFS('Disbursements Summary'!$E:$E,'Disbursements Summary'!$C:$C,$C39,'Disbursements Summary'!$A:$A,"OVS")</f>
        <v>0</v>
      </c>
      <c r="EV39" s="55">
        <f>SUMIFS('Awards Summary'!$H:$H,'Awards Summary'!$B:$B,$C39,'Awards Summary'!$J:$J,"OASAS")</f>
        <v>0</v>
      </c>
      <c r="EW39" s="55">
        <f>SUMIFS('Disbursements Summary'!$E:$E,'Disbursements Summary'!$C:$C,$C39,'Disbursements Summary'!$A:$A,"OASAS")</f>
        <v>0</v>
      </c>
      <c r="EX39" s="55">
        <f>SUMIFS('Awards Summary'!$H:$H,'Awards Summary'!$B:$B,$C39,'Awards Summary'!$J:$J,"OCFS")</f>
        <v>0</v>
      </c>
      <c r="EY39" s="55">
        <f>SUMIFS('Disbursements Summary'!$E:$E,'Disbursements Summary'!$C:$C,$C39,'Disbursements Summary'!$A:$A,"OCFS")</f>
        <v>0</v>
      </c>
      <c r="EZ39" s="55">
        <f>SUMIFS('Awards Summary'!$H:$H,'Awards Summary'!$B:$B,$C39,'Awards Summary'!$J:$J,"OGS")</f>
        <v>0</v>
      </c>
      <c r="FA39" s="55">
        <f>SUMIFS('Disbursements Summary'!$E:$E,'Disbursements Summary'!$C:$C,$C39,'Disbursements Summary'!$A:$A,"OGS")</f>
        <v>0</v>
      </c>
      <c r="FB39" s="55">
        <f>SUMIFS('Awards Summary'!$H:$H,'Awards Summary'!$B:$B,$C39,'Awards Summary'!$J:$J,"OMH")</f>
        <v>0</v>
      </c>
      <c r="FC39" s="55">
        <f>SUMIFS('Disbursements Summary'!$E:$E,'Disbursements Summary'!$C:$C,$C39,'Disbursements Summary'!$A:$A,"OMH")</f>
        <v>0</v>
      </c>
      <c r="FD39" s="55">
        <f>SUMIFS('Awards Summary'!$H:$H,'Awards Summary'!$B:$B,$C39,'Awards Summary'!$J:$J,"PARKS")</f>
        <v>0</v>
      </c>
      <c r="FE39" s="55">
        <f>SUMIFS('Disbursements Summary'!$E:$E,'Disbursements Summary'!$C:$C,$C39,'Disbursements Summary'!$A:$A,"PARKS")</f>
        <v>0</v>
      </c>
      <c r="FF39" s="55">
        <f>SUMIFS('Awards Summary'!$H:$H,'Awards Summary'!$B:$B,$C39,'Awards Summary'!$J:$J,"OTDA")</f>
        <v>0</v>
      </c>
      <c r="FG39" s="55">
        <f>SUMIFS('Disbursements Summary'!$E:$E,'Disbursements Summary'!$C:$C,$C39,'Disbursements Summary'!$A:$A,"OTDA")</f>
        <v>0</v>
      </c>
      <c r="FH39" s="55">
        <f>SUMIFS('Awards Summary'!$H:$H,'Awards Summary'!$B:$B,$C39,'Awards Summary'!$J:$J,"OIG")</f>
        <v>0</v>
      </c>
      <c r="FI39" s="55">
        <f>SUMIFS('Disbursements Summary'!$E:$E,'Disbursements Summary'!$C:$C,$C39,'Disbursements Summary'!$A:$A,"OIG")</f>
        <v>0</v>
      </c>
      <c r="FJ39" s="55">
        <f>SUMIFS('Awards Summary'!$H:$H,'Awards Summary'!$B:$B,$C39,'Awards Summary'!$J:$J,"OMIG")</f>
        <v>0</v>
      </c>
      <c r="FK39" s="55">
        <f>SUMIFS('Disbursements Summary'!$E:$E,'Disbursements Summary'!$C:$C,$C39,'Disbursements Summary'!$A:$A,"OMIG")</f>
        <v>0</v>
      </c>
      <c r="FL39" s="55">
        <f>SUMIFS('Awards Summary'!$H:$H,'Awards Summary'!$B:$B,$C39,'Awards Summary'!$J:$J,"OSC")</f>
        <v>0</v>
      </c>
      <c r="FM39" s="55">
        <f>SUMIFS('Disbursements Summary'!$E:$E,'Disbursements Summary'!$C:$C,$C39,'Disbursements Summary'!$A:$A,"OSC")</f>
        <v>0</v>
      </c>
      <c r="FN39" s="55">
        <f>SUMIFS('Awards Summary'!$H:$H,'Awards Summary'!$B:$B,$C39,'Awards Summary'!$J:$J,"OWIG")</f>
        <v>0</v>
      </c>
      <c r="FO39" s="55">
        <f>SUMIFS('Disbursements Summary'!$E:$E,'Disbursements Summary'!$C:$C,$C39,'Disbursements Summary'!$A:$A,"OWIG")</f>
        <v>0</v>
      </c>
      <c r="FP39" s="55">
        <f>SUMIFS('Awards Summary'!$H:$H,'Awards Summary'!$B:$B,$C39,'Awards Summary'!$J:$J,"OGDEN")</f>
        <v>0</v>
      </c>
      <c r="FQ39" s="55">
        <f>SUMIFS('Disbursements Summary'!$E:$E,'Disbursements Summary'!$C:$C,$C39,'Disbursements Summary'!$A:$A,"OGDEN")</f>
        <v>0</v>
      </c>
      <c r="FR39" s="55">
        <f>SUMIFS('Awards Summary'!$H:$H,'Awards Summary'!$B:$B,$C39,'Awards Summary'!$J:$J,"ORDA")</f>
        <v>0</v>
      </c>
      <c r="FS39" s="55">
        <f>SUMIFS('Disbursements Summary'!$E:$E,'Disbursements Summary'!$C:$C,$C39,'Disbursements Summary'!$A:$A,"ORDA")</f>
        <v>0</v>
      </c>
      <c r="FT39" s="55">
        <f>SUMIFS('Awards Summary'!$H:$H,'Awards Summary'!$B:$B,$C39,'Awards Summary'!$J:$J,"OSWEGO")</f>
        <v>0</v>
      </c>
      <c r="FU39" s="55">
        <f>SUMIFS('Disbursements Summary'!$E:$E,'Disbursements Summary'!$C:$C,$C39,'Disbursements Summary'!$A:$A,"OSWEGO")</f>
        <v>0</v>
      </c>
      <c r="FV39" s="55">
        <f>SUMIFS('Awards Summary'!$H:$H,'Awards Summary'!$B:$B,$C39,'Awards Summary'!$J:$J,"PERB")</f>
        <v>0</v>
      </c>
      <c r="FW39" s="55">
        <f>SUMIFS('Disbursements Summary'!$E:$E,'Disbursements Summary'!$C:$C,$C39,'Disbursements Summary'!$A:$A,"PERB")</f>
        <v>0</v>
      </c>
      <c r="FX39" s="55">
        <f>SUMIFS('Awards Summary'!$H:$H,'Awards Summary'!$B:$B,$C39,'Awards Summary'!$J:$J,"RGRTA")</f>
        <v>0</v>
      </c>
      <c r="FY39" s="55">
        <f>SUMIFS('Disbursements Summary'!$E:$E,'Disbursements Summary'!$C:$C,$C39,'Disbursements Summary'!$A:$A,"RGRTA")</f>
        <v>0</v>
      </c>
      <c r="FZ39" s="55">
        <f>SUMIFS('Awards Summary'!$H:$H,'Awards Summary'!$B:$B,$C39,'Awards Summary'!$J:$J,"RIOC")</f>
        <v>0</v>
      </c>
      <c r="GA39" s="55">
        <f>SUMIFS('Disbursements Summary'!$E:$E,'Disbursements Summary'!$C:$C,$C39,'Disbursements Summary'!$A:$A,"RIOC")</f>
        <v>0</v>
      </c>
      <c r="GB39" s="55">
        <f>SUMIFS('Awards Summary'!$H:$H,'Awards Summary'!$B:$B,$C39,'Awards Summary'!$J:$J,"RPCI")</f>
        <v>0</v>
      </c>
      <c r="GC39" s="55">
        <f>SUMIFS('Disbursements Summary'!$E:$E,'Disbursements Summary'!$C:$C,$C39,'Disbursements Summary'!$A:$A,"RPCI")</f>
        <v>0</v>
      </c>
      <c r="GD39" s="55">
        <f>SUMIFS('Awards Summary'!$H:$H,'Awards Summary'!$B:$B,$C39,'Awards Summary'!$J:$J,"SMDA")</f>
        <v>0</v>
      </c>
      <c r="GE39" s="55">
        <f>SUMIFS('Disbursements Summary'!$E:$E,'Disbursements Summary'!$C:$C,$C39,'Disbursements Summary'!$A:$A,"SMDA")</f>
        <v>0</v>
      </c>
      <c r="GF39" s="55">
        <f>SUMIFS('Awards Summary'!$H:$H,'Awards Summary'!$B:$B,$C39,'Awards Summary'!$J:$J,"SCOC")</f>
        <v>0</v>
      </c>
      <c r="GG39" s="55">
        <f>SUMIFS('Disbursements Summary'!$E:$E,'Disbursements Summary'!$C:$C,$C39,'Disbursements Summary'!$A:$A,"SCOC")</f>
        <v>0</v>
      </c>
      <c r="GH39" s="55">
        <f>SUMIFS('Awards Summary'!$H:$H,'Awards Summary'!$B:$B,$C39,'Awards Summary'!$J:$J,"SUCF")</f>
        <v>0</v>
      </c>
      <c r="GI39" s="55">
        <f>SUMIFS('Disbursements Summary'!$E:$E,'Disbursements Summary'!$C:$C,$C39,'Disbursements Summary'!$A:$A,"SUCF")</f>
        <v>0</v>
      </c>
      <c r="GJ39" s="55">
        <f>SUMIFS('Awards Summary'!$H:$H,'Awards Summary'!$B:$B,$C39,'Awards Summary'!$J:$J,"SUNY")</f>
        <v>0</v>
      </c>
      <c r="GK39" s="55">
        <f>SUMIFS('Disbursements Summary'!$E:$E,'Disbursements Summary'!$C:$C,$C39,'Disbursements Summary'!$A:$A,"SUNY")</f>
        <v>0</v>
      </c>
      <c r="GL39" s="55">
        <f>SUMIFS('Awards Summary'!$H:$H,'Awards Summary'!$B:$B,$C39,'Awards Summary'!$J:$J,"SRAA")</f>
        <v>0</v>
      </c>
      <c r="GM39" s="55">
        <f>SUMIFS('Disbursements Summary'!$E:$E,'Disbursements Summary'!$C:$C,$C39,'Disbursements Summary'!$A:$A,"SRAA")</f>
        <v>0</v>
      </c>
      <c r="GN39" s="55">
        <f>SUMIFS('Awards Summary'!$H:$H,'Awards Summary'!$B:$B,$C39,'Awards Summary'!$J:$J,"UNDC")</f>
        <v>0</v>
      </c>
      <c r="GO39" s="55">
        <f>SUMIFS('Disbursements Summary'!$E:$E,'Disbursements Summary'!$C:$C,$C39,'Disbursements Summary'!$A:$A,"UNDC")</f>
        <v>0</v>
      </c>
      <c r="GP39" s="55">
        <f>SUMIFS('Awards Summary'!$H:$H,'Awards Summary'!$B:$B,$C39,'Awards Summary'!$J:$J,"MVWA")</f>
        <v>0</v>
      </c>
      <c r="GQ39" s="55">
        <f>SUMIFS('Disbursements Summary'!$E:$E,'Disbursements Summary'!$C:$C,$C39,'Disbursements Summary'!$A:$A,"MVWA")</f>
        <v>0</v>
      </c>
      <c r="GR39" s="55">
        <f>SUMIFS('Awards Summary'!$H:$H,'Awards Summary'!$B:$B,$C39,'Awards Summary'!$J:$J,"WMC")</f>
        <v>0</v>
      </c>
      <c r="GS39" s="55">
        <f>SUMIFS('Disbursements Summary'!$E:$E,'Disbursements Summary'!$C:$C,$C39,'Disbursements Summary'!$A:$A,"WMC")</f>
        <v>0</v>
      </c>
      <c r="GT39" s="55">
        <f>SUMIFS('Awards Summary'!$H:$H,'Awards Summary'!$B:$B,$C39,'Awards Summary'!$J:$J,"WCB")</f>
        <v>0</v>
      </c>
      <c r="GU39" s="55">
        <f>SUMIFS('Disbursements Summary'!$E:$E,'Disbursements Summary'!$C:$C,$C39,'Disbursements Summary'!$A:$A,"WCB")</f>
        <v>0</v>
      </c>
      <c r="GV39" s="32">
        <f t="shared" si="5"/>
        <v>0</v>
      </c>
      <c r="GW39" s="32">
        <f t="shared" si="6"/>
        <v>0</v>
      </c>
      <c r="GX39" s="30" t="b">
        <f t="shared" si="7"/>
        <v>1</v>
      </c>
      <c r="GY39" s="30" t="b">
        <f t="shared" si="8"/>
        <v>1</v>
      </c>
    </row>
    <row r="40" spans="1:207" s="30" customFormat="1">
      <c r="A40" s="22" t="str">
        <f t="shared" si="0"/>
        <v/>
      </c>
      <c r="B40" s="40" t="s">
        <v>83</v>
      </c>
      <c r="C40" s="16">
        <v>141067</v>
      </c>
      <c r="D40" s="26">
        <f>COUNTIF('Awards Summary'!B:B,"141067")</f>
        <v>0</v>
      </c>
      <c r="E40" s="45">
        <f>SUMIFS('Awards Summary'!H:H,'Awards Summary'!B:B,"141067")</f>
        <v>0</v>
      </c>
      <c r="F40" s="46">
        <f>SUMIFS('Disbursements Summary'!E:E,'Disbursements Summary'!C:C, "141067")</f>
        <v>0</v>
      </c>
      <c r="H40" s="55">
        <f>SUMIFS('Awards Summary'!$H:$H,'Awards Summary'!$B:$B,$C40,'Awards Summary'!$J:$J,"APA")</f>
        <v>0</v>
      </c>
      <c r="I40" s="55">
        <f>SUMIFS('Disbursements Summary'!$E:$E,'Disbursements Summary'!$C:$C,$C40,'Disbursements Summary'!$A:$A,"APA")</f>
        <v>0</v>
      </c>
      <c r="J40" s="55">
        <f>SUMIFS('Awards Summary'!$H:$H,'Awards Summary'!$B:$B,$C40,'Awards Summary'!$J:$J,"Ag&amp;Horse")</f>
        <v>0</v>
      </c>
      <c r="K40" s="55">
        <f>SUMIFS('Disbursements Summary'!$E:$E,'Disbursements Summary'!$C:$C,$C40,'Disbursements Summary'!$A:$A,"Ag&amp;Horse")</f>
        <v>0</v>
      </c>
      <c r="L40" s="55">
        <f>SUMIFS('Awards Summary'!$H:$H,'Awards Summary'!$B:$B,$C40,'Awards Summary'!$J:$J,"ACAA")</f>
        <v>0</v>
      </c>
      <c r="M40" s="55">
        <f>SUMIFS('Disbursements Summary'!$E:$E,'Disbursements Summary'!$C:$C,$C40,'Disbursements Summary'!$A:$A,"ACAA")</f>
        <v>0</v>
      </c>
      <c r="N40" s="55">
        <f>SUMIFS('Awards Summary'!$H:$H,'Awards Summary'!$B:$B,$C40,'Awards Summary'!$J:$J,"PortAlbany")</f>
        <v>0</v>
      </c>
      <c r="O40" s="55">
        <f>SUMIFS('Disbursements Summary'!$E:$E,'Disbursements Summary'!$C:$C,$C40,'Disbursements Summary'!$A:$A,"PortAlbany")</f>
        <v>0</v>
      </c>
      <c r="P40" s="55">
        <f>SUMIFS('Awards Summary'!$H:$H,'Awards Summary'!$B:$B,$C40,'Awards Summary'!$J:$J,"SLA")</f>
        <v>0</v>
      </c>
      <c r="Q40" s="55">
        <f>SUMIFS('Disbursements Summary'!$E:$E,'Disbursements Summary'!$C:$C,$C40,'Disbursements Summary'!$A:$A,"SLA")</f>
        <v>0</v>
      </c>
      <c r="R40" s="55">
        <f>SUMIFS('Awards Summary'!$H:$H,'Awards Summary'!$B:$B,$C40,'Awards Summary'!$J:$J,"BPCA")</f>
        <v>0</v>
      </c>
      <c r="S40" s="55">
        <f>SUMIFS('Disbursements Summary'!$E:$E,'Disbursements Summary'!$C:$C,$C40,'Disbursements Summary'!$A:$A,"BPCA")</f>
        <v>0</v>
      </c>
      <c r="T40" s="55">
        <f>SUMIFS('Awards Summary'!$H:$H,'Awards Summary'!$B:$B,$C40,'Awards Summary'!$J:$J,"ELECTIONS")</f>
        <v>0</v>
      </c>
      <c r="U40" s="55">
        <f>SUMIFS('Disbursements Summary'!$E:$E,'Disbursements Summary'!$C:$C,$C40,'Disbursements Summary'!$A:$A,"ELECTIONS")</f>
        <v>0</v>
      </c>
      <c r="V40" s="55">
        <f>SUMIFS('Awards Summary'!$H:$H,'Awards Summary'!$B:$B,$C40,'Awards Summary'!$J:$J,"BFSA")</f>
        <v>0</v>
      </c>
      <c r="W40" s="55">
        <f>SUMIFS('Disbursements Summary'!$E:$E,'Disbursements Summary'!$C:$C,$C40,'Disbursements Summary'!$A:$A,"BFSA")</f>
        <v>0</v>
      </c>
      <c r="X40" s="55">
        <f>SUMIFS('Awards Summary'!$H:$H,'Awards Summary'!$B:$B,$C40,'Awards Summary'!$J:$J,"CDTA")</f>
        <v>0</v>
      </c>
      <c r="Y40" s="55">
        <f>SUMIFS('Disbursements Summary'!$E:$E,'Disbursements Summary'!$C:$C,$C40,'Disbursements Summary'!$A:$A,"CDTA")</f>
        <v>0</v>
      </c>
      <c r="Z40" s="55">
        <f>SUMIFS('Awards Summary'!$H:$H,'Awards Summary'!$B:$B,$C40,'Awards Summary'!$J:$J,"CCWSA")</f>
        <v>0</v>
      </c>
      <c r="AA40" s="55">
        <f>SUMIFS('Disbursements Summary'!$E:$E,'Disbursements Summary'!$C:$C,$C40,'Disbursements Summary'!$A:$A,"CCWSA")</f>
        <v>0</v>
      </c>
      <c r="AB40" s="55">
        <f>SUMIFS('Awards Summary'!$H:$H,'Awards Summary'!$B:$B,$C40,'Awards Summary'!$J:$J,"CNYRTA")</f>
        <v>0</v>
      </c>
      <c r="AC40" s="55">
        <f>SUMIFS('Disbursements Summary'!$E:$E,'Disbursements Summary'!$C:$C,$C40,'Disbursements Summary'!$A:$A,"CNYRTA")</f>
        <v>0</v>
      </c>
      <c r="AD40" s="55">
        <f>SUMIFS('Awards Summary'!$H:$H,'Awards Summary'!$B:$B,$C40,'Awards Summary'!$J:$J,"CUCF")</f>
        <v>0</v>
      </c>
      <c r="AE40" s="55">
        <f>SUMIFS('Disbursements Summary'!$E:$E,'Disbursements Summary'!$C:$C,$C40,'Disbursements Summary'!$A:$A,"CUCF")</f>
        <v>0</v>
      </c>
      <c r="AF40" s="55">
        <f>SUMIFS('Awards Summary'!$H:$H,'Awards Summary'!$B:$B,$C40,'Awards Summary'!$J:$J,"CUNY")</f>
        <v>0</v>
      </c>
      <c r="AG40" s="55">
        <f>SUMIFS('Disbursements Summary'!$E:$E,'Disbursements Summary'!$C:$C,$C40,'Disbursements Summary'!$A:$A,"CUNY")</f>
        <v>0</v>
      </c>
      <c r="AH40" s="55">
        <f>SUMIFS('Awards Summary'!$H:$H,'Awards Summary'!$B:$B,$C40,'Awards Summary'!$J:$J,"ARTS")</f>
        <v>0</v>
      </c>
      <c r="AI40" s="55">
        <f>SUMIFS('Disbursements Summary'!$E:$E,'Disbursements Summary'!$C:$C,$C40,'Disbursements Summary'!$A:$A,"ARTS")</f>
        <v>0</v>
      </c>
      <c r="AJ40" s="55">
        <f>SUMIFS('Awards Summary'!$H:$H,'Awards Summary'!$B:$B,$C40,'Awards Summary'!$J:$J,"AG&amp;MKTS")</f>
        <v>0</v>
      </c>
      <c r="AK40" s="55">
        <f>SUMIFS('Disbursements Summary'!$E:$E,'Disbursements Summary'!$C:$C,$C40,'Disbursements Summary'!$A:$A,"AG&amp;MKTS")</f>
        <v>0</v>
      </c>
      <c r="AL40" s="55">
        <f>SUMIFS('Awards Summary'!$H:$H,'Awards Summary'!$B:$B,$C40,'Awards Summary'!$J:$J,"CS")</f>
        <v>0</v>
      </c>
      <c r="AM40" s="55">
        <f>SUMIFS('Disbursements Summary'!$E:$E,'Disbursements Summary'!$C:$C,$C40,'Disbursements Summary'!$A:$A,"CS")</f>
        <v>0</v>
      </c>
      <c r="AN40" s="55">
        <f>SUMIFS('Awards Summary'!$H:$H,'Awards Summary'!$B:$B,$C40,'Awards Summary'!$J:$J,"DOCCS")</f>
        <v>0</v>
      </c>
      <c r="AO40" s="55">
        <f>SUMIFS('Disbursements Summary'!$E:$E,'Disbursements Summary'!$C:$C,$C40,'Disbursements Summary'!$A:$A,"DOCCS")</f>
        <v>0</v>
      </c>
      <c r="AP40" s="55">
        <f>SUMIFS('Awards Summary'!$H:$H,'Awards Summary'!$B:$B,$C40,'Awards Summary'!$J:$J,"DED")</f>
        <v>0</v>
      </c>
      <c r="AQ40" s="55">
        <f>SUMIFS('Disbursements Summary'!$E:$E,'Disbursements Summary'!$C:$C,$C40,'Disbursements Summary'!$A:$A,"DED")</f>
        <v>0</v>
      </c>
      <c r="AR40" s="55">
        <f>SUMIFS('Awards Summary'!$H:$H,'Awards Summary'!$B:$B,$C40,'Awards Summary'!$J:$J,"DEC")</f>
        <v>0</v>
      </c>
      <c r="AS40" s="55">
        <f>SUMIFS('Disbursements Summary'!$E:$E,'Disbursements Summary'!$C:$C,$C40,'Disbursements Summary'!$A:$A,"DEC")</f>
        <v>0</v>
      </c>
      <c r="AT40" s="55">
        <f>SUMIFS('Awards Summary'!$H:$H,'Awards Summary'!$B:$B,$C40,'Awards Summary'!$J:$J,"DFS")</f>
        <v>0</v>
      </c>
      <c r="AU40" s="55">
        <f>SUMIFS('Disbursements Summary'!$E:$E,'Disbursements Summary'!$C:$C,$C40,'Disbursements Summary'!$A:$A,"DFS")</f>
        <v>0</v>
      </c>
      <c r="AV40" s="55">
        <f>SUMIFS('Awards Summary'!$H:$H,'Awards Summary'!$B:$B,$C40,'Awards Summary'!$J:$J,"DOH")</f>
        <v>0</v>
      </c>
      <c r="AW40" s="55">
        <f>SUMIFS('Disbursements Summary'!$E:$E,'Disbursements Summary'!$C:$C,$C40,'Disbursements Summary'!$A:$A,"DOH")</f>
        <v>0</v>
      </c>
      <c r="AX40" s="55">
        <f>SUMIFS('Awards Summary'!$H:$H,'Awards Summary'!$B:$B,$C40,'Awards Summary'!$J:$J,"DOL")</f>
        <v>0</v>
      </c>
      <c r="AY40" s="55">
        <f>SUMIFS('Disbursements Summary'!$E:$E,'Disbursements Summary'!$C:$C,$C40,'Disbursements Summary'!$A:$A,"DOL")</f>
        <v>0</v>
      </c>
      <c r="AZ40" s="55">
        <f>SUMIFS('Awards Summary'!$H:$H,'Awards Summary'!$B:$B,$C40,'Awards Summary'!$J:$J,"DMV")</f>
        <v>0</v>
      </c>
      <c r="BA40" s="55">
        <f>SUMIFS('Disbursements Summary'!$E:$E,'Disbursements Summary'!$C:$C,$C40,'Disbursements Summary'!$A:$A,"DMV")</f>
        <v>0</v>
      </c>
      <c r="BB40" s="55">
        <f>SUMIFS('Awards Summary'!$H:$H,'Awards Summary'!$B:$B,$C40,'Awards Summary'!$J:$J,"DPS")</f>
        <v>0</v>
      </c>
      <c r="BC40" s="55">
        <f>SUMIFS('Disbursements Summary'!$E:$E,'Disbursements Summary'!$C:$C,$C40,'Disbursements Summary'!$A:$A,"DPS")</f>
        <v>0</v>
      </c>
      <c r="BD40" s="55">
        <f>SUMIFS('Awards Summary'!$H:$H,'Awards Summary'!$B:$B,$C40,'Awards Summary'!$J:$J,"DOS")</f>
        <v>0</v>
      </c>
      <c r="BE40" s="55">
        <f>SUMIFS('Disbursements Summary'!$E:$E,'Disbursements Summary'!$C:$C,$C40,'Disbursements Summary'!$A:$A,"DOS")</f>
        <v>0</v>
      </c>
      <c r="BF40" s="55">
        <f>SUMIFS('Awards Summary'!$H:$H,'Awards Summary'!$B:$B,$C40,'Awards Summary'!$J:$J,"TAX")</f>
        <v>0</v>
      </c>
      <c r="BG40" s="55">
        <f>SUMIFS('Disbursements Summary'!$E:$E,'Disbursements Summary'!$C:$C,$C40,'Disbursements Summary'!$A:$A,"TAX")</f>
        <v>0</v>
      </c>
      <c r="BH40" s="55">
        <f>SUMIFS('Awards Summary'!$H:$H,'Awards Summary'!$B:$B,$C40,'Awards Summary'!$J:$J,"DOT")</f>
        <v>0</v>
      </c>
      <c r="BI40" s="55">
        <f>SUMIFS('Disbursements Summary'!$E:$E,'Disbursements Summary'!$C:$C,$C40,'Disbursements Summary'!$A:$A,"DOT")</f>
        <v>0</v>
      </c>
      <c r="BJ40" s="55">
        <f>SUMIFS('Awards Summary'!$H:$H,'Awards Summary'!$B:$B,$C40,'Awards Summary'!$J:$J,"DANC")</f>
        <v>0</v>
      </c>
      <c r="BK40" s="55">
        <f>SUMIFS('Disbursements Summary'!$E:$E,'Disbursements Summary'!$C:$C,$C40,'Disbursements Summary'!$A:$A,"DANC")</f>
        <v>0</v>
      </c>
      <c r="BL40" s="55">
        <f>SUMIFS('Awards Summary'!$H:$H,'Awards Summary'!$B:$B,$C40,'Awards Summary'!$J:$J,"DOB")</f>
        <v>0</v>
      </c>
      <c r="BM40" s="55">
        <f>SUMIFS('Disbursements Summary'!$E:$E,'Disbursements Summary'!$C:$C,$C40,'Disbursements Summary'!$A:$A,"DOB")</f>
        <v>0</v>
      </c>
      <c r="BN40" s="55">
        <f>SUMIFS('Awards Summary'!$H:$H,'Awards Summary'!$B:$B,$C40,'Awards Summary'!$J:$J,"DCJS")</f>
        <v>0</v>
      </c>
      <c r="BO40" s="55">
        <f>SUMIFS('Disbursements Summary'!$E:$E,'Disbursements Summary'!$C:$C,$C40,'Disbursements Summary'!$A:$A,"DCJS")</f>
        <v>0</v>
      </c>
      <c r="BP40" s="55">
        <f>SUMIFS('Awards Summary'!$H:$H,'Awards Summary'!$B:$B,$C40,'Awards Summary'!$J:$J,"DHSES")</f>
        <v>0</v>
      </c>
      <c r="BQ40" s="55">
        <f>SUMIFS('Disbursements Summary'!$E:$E,'Disbursements Summary'!$C:$C,$C40,'Disbursements Summary'!$A:$A,"DHSES")</f>
        <v>0</v>
      </c>
      <c r="BR40" s="55">
        <f>SUMIFS('Awards Summary'!$H:$H,'Awards Summary'!$B:$B,$C40,'Awards Summary'!$J:$J,"DHR")</f>
        <v>0</v>
      </c>
      <c r="BS40" s="55">
        <f>SUMIFS('Disbursements Summary'!$E:$E,'Disbursements Summary'!$C:$C,$C40,'Disbursements Summary'!$A:$A,"DHR")</f>
        <v>0</v>
      </c>
      <c r="BT40" s="55">
        <f>SUMIFS('Awards Summary'!$H:$H,'Awards Summary'!$B:$B,$C40,'Awards Summary'!$J:$J,"DMNA")</f>
        <v>0</v>
      </c>
      <c r="BU40" s="55">
        <f>SUMIFS('Disbursements Summary'!$E:$E,'Disbursements Summary'!$C:$C,$C40,'Disbursements Summary'!$A:$A,"DMNA")</f>
        <v>0</v>
      </c>
      <c r="BV40" s="55">
        <f>SUMIFS('Awards Summary'!$H:$H,'Awards Summary'!$B:$B,$C40,'Awards Summary'!$J:$J,"TROOPERS")</f>
        <v>0</v>
      </c>
      <c r="BW40" s="55">
        <f>SUMIFS('Disbursements Summary'!$E:$E,'Disbursements Summary'!$C:$C,$C40,'Disbursements Summary'!$A:$A,"TROOPERS")</f>
        <v>0</v>
      </c>
      <c r="BX40" s="55">
        <f>SUMIFS('Awards Summary'!$H:$H,'Awards Summary'!$B:$B,$C40,'Awards Summary'!$J:$J,"DVA")</f>
        <v>0</v>
      </c>
      <c r="BY40" s="55">
        <f>SUMIFS('Disbursements Summary'!$E:$E,'Disbursements Summary'!$C:$C,$C40,'Disbursements Summary'!$A:$A,"DVA")</f>
        <v>0</v>
      </c>
      <c r="BZ40" s="55">
        <f>SUMIFS('Awards Summary'!$H:$H,'Awards Summary'!$B:$B,$C40,'Awards Summary'!$J:$J,"DASNY")</f>
        <v>0</v>
      </c>
      <c r="CA40" s="55">
        <f>SUMIFS('Disbursements Summary'!$E:$E,'Disbursements Summary'!$C:$C,$C40,'Disbursements Summary'!$A:$A,"DASNY")</f>
        <v>0</v>
      </c>
      <c r="CB40" s="55">
        <f>SUMIFS('Awards Summary'!$H:$H,'Awards Summary'!$B:$B,$C40,'Awards Summary'!$J:$J,"EGG")</f>
        <v>0</v>
      </c>
      <c r="CC40" s="55">
        <f>SUMIFS('Disbursements Summary'!$E:$E,'Disbursements Summary'!$C:$C,$C40,'Disbursements Summary'!$A:$A,"EGG")</f>
        <v>0</v>
      </c>
      <c r="CD40" s="55">
        <f>SUMIFS('Awards Summary'!$H:$H,'Awards Summary'!$B:$B,$C40,'Awards Summary'!$J:$J,"ESD")</f>
        <v>0</v>
      </c>
      <c r="CE40" s="55">
        <f>SUMIFS('Disbursements Summary'!$E:$E,'Disbursements Summary'!$C:$C,$C40,'Disbursements Summary'!$A:$A,"ESD")</f>
        <v>0</v>
      </c>
      <c r="CF40" s="55">
        <f>SUMIFS('Awards Summary'!$H:$H,'Awards Summary'!$B:$B,$C40,'Awards Summary'!$J:$J,"EFC")</f>
        <v>0</v>
      </c>
      <c r="CG40" s="55">
        <f>SUMIFS('Disbursements Summary'!$E:$E,'Disbursements Summary'!$C:$C,$C40,'Disbursements Summary'!$A:$A,"EFC")</f>
        <v>0</v>
      </c>
      <c r="CH40" s="55">
        <f>SUMIFS('Awards Summary'!$H:$H,'Awards Summary'!$B:$B,$C40,'Awards Summary'!$J:$J,"ECFSA")</f>
        <v>0</v>
      </c>
      <c r="CI40" s="55">
        <f>SUMIFS('Disbursements Summary'!$E:$E,'Disbursements Summary'!$C:$C,$C40,'Disbursements Summary'!$A:$A,"ECFSA")</f>
        <v>0</v>
      </c>
      <c r="CJ40" s="55">
        <f>SUMIFS('Awards Summary'!$H:$H,'Awards Summary'!$B:$B,$C40,'Awards Summary'!$J:$J,"ECMC")</f>
        <v>0</v>
      </c>
      <c r="CK40" s="55">
        <f>SUMIFS('Disbursements Summary'!$E:$E,'Disbursements Summary'!$C:$C,$C40,'Disbursements Summary'!$A:$A,"ECMC")</f>
        <v>0</v>
      </c>
      <c r="CL40" s="55">
        <f>SUMIFS('Awards Summary'!$H:$H,'Awards Summary'!$B:$B,$C40,'Awards Summary'!$J:$J,"CHAMBER")</f>
        <v>0</v>
      </c>
      <c r="CM40" s="55">
        <f>SUMIFS('Disbursements Summary'!$E:$E,'Disbursements Summary'!$C:$C,$C40,'Disbursements Summary'!$A:$A,"CHAMBER")</f>
        <v>0</v>
      </c>
      <c r="CN40" s="55">
        <f>SUMIFS('Awards Summary'!$H:$H,'Awards Summary'!$B:$B,$C40,'Awards Summary'!$J:$J,"GAMING")</f>
        <v>0</v>
      </c>
      <c r="CO40" s="55">
        <f>SUMIFS('Disbursements Summary'!$E:$E,'Disbursements Summary'!$C:$C,$C40,'Disbursements Summary'!$A:$A,"GAMING")</f>
        <v>0</v>
      </c>
      <c r="CP40" s="55">
        <f>SUMIFS('Awards Summary'!$H:$H,'Awards Summary'!$B:$B,$C40,'Awards Summary'!$J:$J,"GOER")</f>
        <v>0</v>
      </c>
      <c r="CQ40" s="55">
        <f>SUMIFS('Disbursements Summary'!$E:$E,'Disbursements Summary'!$C:$C,$C40,'Disbursements Summary'!$A:$A,"GOER")</f>
        <v>0</v>
      </c>
      <c r="CR40" s="55">
        <f>SUMIFS('Awards Summary'!$H:$H,'Awards Summary'!$B:$B,$C40,'Awards Summary'!$J:$J,"HESC")</f>
        <v>0</v>
      </c>
      <c r="CS40" s="55">
        <f>SUMIFS('Disbursements Summary'!$E:$E,'Disbursements Summary'!$C:$C,$C40,'Disbursements Summary'!$A:$A,"HESC")</f>
        <v>0</v>
      </c>
      <c r="CT40" s="55">
        <f>SUMIFS('Awards Summary'!$H:$H,'Awards Summary'!$B:$B,$C40,'Awards Summary'!$J:$J,"GOSR")</f>
        <v>0</v>
      </c>
      <c r="CU40" s="55">
        <f>SUMIFS('Disbursements Summary'!$E:$E,'Disbursements Summary'!$C:$C,$C40,'Disbursements Summary'!$A:$A,"GOSR")</f>
        <v>0</v>
      </c>
      <c r="CV40" s="55">
        <f>SUMIFS('Awards Summary'!$H:$H,'Awards Summary'!$B:$B,$C40,'Awards Summary'!$J:$J,"HRPT")</f>
        <v>0</v>
      </c>
      <c r="CW40" s="55">
        <f>SUMIFS('Disbursements Summary'!$E:$E,'Disbursements Summary'!$C:$C,$C40,'Disbursements Summary'!$A:$A,"HRPT")</f>
        <v>0</v>
      </c>
      <c r="CX40" s="55">
        <f>SUMIFS('Awards Summary'!$H:$H,'Awards Summary'!$B:$B,$C40,'Awards Summary'!$J:$J,"HRBRRD")</f>
        <v>0</v>
      </c>
      <c r="CY40" s="55">
        <f>SUMIFS('Disbursements Summary'!$E:$E,'Disbursements Summary'!$C:$C,$C40,'Disbursements Summary'!$A:$A,"HRBRRD")</f>
        <v>0</v>
      </c>
      <c r="CZ40" s="55">
        <f>SUMIFS('Awards Summary'!$H:$H,'Awards Summary'!$B:$B,$C40,'Awards Summary'!$J:$J,"ITS")</f>
        <v>0</v>
      </c>
      <c r="DA40" s="55">
        <f>SUMIFS('Disbursements Summary'!$E:$E,'Disbursements Summary'!$C:$C,$C40,'Disbursements Summary'!$A:$A,"ITS")</f>
        <v>0</v>
      </c>
      <c r="DB40" s="55">
        <f>SUMIFS('Awards Summary'!$H:$H,'Awards Summary'!$B:$B,$C40,'Awards Summary'!$J:$J,"JAVITS")</f>
        <v>0</v>
      </c>
      <c r="DC40" s="55">
        <f>SUMIFS('Disbursements Summary'!$E:$E,'Disbursements Summary'!$C:$C,$C40,'Disbursements Summary'!$A:$A,"JAVITS")</f>
        <v>0</v>
      </c>
      <c r="DD40" s="55">
        <f>SUMIFS('Awards Summary'!$H:$H,'Awards Summary'!$B:$B,$C40,'Awards Summary'!$J:$J,"JCOPE")</f>
        <v>0</v>
      </c>
      <c r="DE40" s="55">
        <f>SUMIFS('Disbursements Summary'!$E:$E,'Disbursements Summary'!$C:$C,$C40,'Disbursements Summary'!$A:$A,"JCOPE")</f>
        <v>0</v>
      </c>
      <c r="DF40" s="55">
        <f>SUMIFS('Awards Summary'!$H:$H,'Awards Summary'!$B:$B,$C40,'Awards Summary'!$J:$J,"JUSTICE")</f>
        <v>0</v>
      </c>
      <c r="DG40" s="55">
        <f>SUMIFS('Disbursements Summary'!$E:$E,'Disbursements Summary'!$C:$C,$C40,'Disbursements Summary'!$A:$A,"JUSTICE")</f>
        <v>0</v>
      </c>
      <c r="DH40" s="55">
        <f>SUMIFS('Awards Summary'!$H:$H,'Awards Summary'!$B:$B,$C40,'Awards Summary'!$J:$J,"LCWSA")</f>
        <v>0</v>
      </c>
      <c r="DI40" s="55">
        <f>SUMIFS('Disbursements Summary'!$E:$E,'Disbursements Summary'!$C:$C,$C40,'Disbursements Summary'!$A:$A,"LCWSA")</f>
        <v>0</v>
      </c>
      <c r="DJ40" s="55">
        <f>SUMIFS('Awards Summary'!$H:$H,'Awards Summary'!$B:$B,$C40,'Awards Summary'!$J:$J,"LIPA")</f>
        <v>0</v>
      </c>
      <c r="DK40" s="55">
        <f>SUMIFS('Disbursements Summary'!$E:$E,'Disbursements Summary'!$C:$C,$C40,'Disbursements Summary'!$A:$A,"LIPA")</f>
        <v>0</v>
      </c>
      <c r="DL40" s="55">
        <f>SUMIFS('Awards Summary'!$H:$H,'Awards Summary'!$B:$B,$C40,'Awards Summary'!$J:$J,"MTA")</f>
        <v>0</v>
      </c>
      <c r="DM40" s="55">
        <f>SUMIFS('Disbursements Summary'!$E:$E,'Disbursements Summary'!$C:$C,$C40,'Disbursements Summary'!$A:$A,"MTA")</f>
        <v>0</v>
      </c>
      <c r="DN40" s="55">
        <f>SUMIFS('Awards Summary'!$H:$H,'Awards Summary'!$B:$B,$C40,'Awards Summary'!$J:$J,"NIFA")</f>
        <v>0</v>
      </c>
      <c r="DO40" s="55">
        <f>SUMIFS('Disbursements Summary'!$E:$E,'Disbursements Summary'!$C:$C,$C40,'Disbursements Summary'!$A:$A,"NIFA")</f>
        <v>0</v>
      </c>
      <c r="DP40" s="55">
        <f>SUMIFS('Awards Summary'!$H:$H,'Awards Summary'!$B:$B,$C40,'Awards Summary'!$J:$J,"NHCC")</f>
        <v>0</v>
      </c>
      <c r="DQ40" s="55">
        <f>SUMIFS('Disbursements Summary'!$E:$E,'Disbursements Summary'!$C:$C,$C40,'Disbursements Summary'!$A:$A,"NHCC")</f>
        <v>0</v>
      </c>
      <c r="DR40" s="55">
        <f>SUMIFS('Awards Summary'!$H:$H,'Awards Summary'!$B:$B,$C40,'Awards Summary'!$J:$J,"NHT")</f>
        <v>0</v>
      </c>
      <c r="DS40" s="55">
        <f>SUMIFS('Disbursements Summary'!$E:$E,'Disbursements Summary'!$C:$C,$C40,'Disbursements Summary'!$A:$A,"NHT")</f>
        <v>0</v>
      </c>
      <c r="DT40" s="55">
        <f>SUMIFS('Awards Summary'!$H:$H,'Awards Summary'!$B:$B,$C40,'Awards Summary'!$J:$J,"NYPA")</f>
        <v>0</v>
      </c>
      <c r="DU40" s="55">
        <f>SUMIFS('Disbursements Summary'!$E:$E,'Disbursements Summary'!$C:$C,$C40,'Disbursements Summary'!$A:$A,"NYPA")</f>
        <v>0</v>
      </c>
      <c r="DV40" s="55">
        <f>SUMIFS('Awards Summary'!$H:$H,'Awards Summary'!$B:$B,$C40,'Awards Summary'!$J:$J,"NYSBA")</f>
        <v>0</v>
      </c>
      <c r="DW40" s="55">
        <f>SUMIFS('Disbursements Summary'!$E:$E,'Disbursements Summary'!$C:$C,$C40,'Disbursements Summary'!$A:$A,"NYSBA")</f>
        <v>0</v>
      </c>
      <c r="DX40" s="55">
        <f>SUMIFS('Awards Summary'!$H:$H,'Awards Summary'!$B:$B,$C40,'Awards Summary'!$J:$J,"NYSERDA")</f>
        <v>0</v>
      </c>
      <c r="DY40" s="55">
        <f>SUMIFS('Disbursements Summary'!$E:$E,'Disbursements Summary'!$C:$C,$C40,'Disbursements Summary'!$A:$A,"NYSERDA")</f>
        <v>0</v>
      </c>
      <c r="DZ40" s="55">
        <f>SUMIFS('Awards Summary'!$H:$H,'Awards Summary'!$B:$B,$C40,'Awards Summary'!$J:$J,"DHCR")</f>
        <v>0</v>
      </c>
      <c r="EA40" s="55">
        <f>SUMIFS('Disbursements Summary'!$E:$E,'Disbursements Summary'!$C:$C,$C40,'Disbursements Summary'!$A:$A,"DHCR")</f>
        <v>0</v>
      </c>
      <c r="EB40" s="55">
        <f>SUMIFS('Awards Summary'!$H:$H,'Awards Summary'!$B:$B,$C40,'Awards Summary'!$J:$J,"HFA")</f>
        <v>0</v>
      </c>
      <c r="EC40" s="55">
        <f>SUMIFS('Disbursements Summary'!$E:$E,'Disbursements Summary'!$C:$C,$C40,'Disbursements Summary'!$A:$A,"HFA")</f>
        <v>0</v>
      </c>
      <c r="ED40" s="55">
        <f>SUMIFS('Awards Summary'!$H:$H,'Awards Summary'!$B:$B,$C40,'Awards Summary'!$J:$J,"NYSIF")</f>
        <v>0</v>
      </c>
      <c r="EE40" s="55">
        <f>SUMIFS('Disbursements Summary'!$E:$E,'Disbursements Summary'!$C:$C,$C40,'Disbursements Summary'!$A:$A,"NYSIF")</f>
        <v>0</v>
      </c>
      <c r="EF40" s="55">
        <f>SUMIFS('Awards Summary'!$H:$H,'Awards Summary'!$B:$B,$C40,'Awards Summary'!$J:$J,"NYBREDS")</f>
        <v>0</v>
      </c>
      <c r="EG40" s="55">
        <f>SUMIFS('Disbursements Summary'!$E:$E,'Disbursements Summary'!$C:$C,$C40,'Disbursements Summary'!$A:$A,"NYBREDS")</f>
        <v>0</v>
      </c>
      <c r="EH40" s="55">
        <f>SUMIFS('Awards Summary'!$H:$H,'Awards Summary'!$B:$B,$C40,'Awards Summary'!$J:$J,"NYSTA")</f>
        <v>0</v>
      </c>
      <c r="EI40" s="55">
        <f>SUMIFS('Disbursements Summary'!$E:$E,'Disbursements Summary'!$C:$C,$C40,'Disbursements Summary'!$A:$A,"NYSTA")</f>
        <v>0</v>
      </c>
      <c r="EJ40" s="55">
        <f>SUMIFS('Awards Summary'!$H:$H,'Awards Summary'!$B:$B,$C40,'Awards Summary'!$J:$J,"NFWB")</f>
        <v>0</v>
      </c>
      <c r="EK40" s="55">
        <f>SUMIFS('Disbursements Summary'!$E:$E,'Disbursements Summary'!$C:$C,$C40,'Disbursements Summary'!$A:$A,"NFWB")</f>
        <v>0</v>
      </c>
      <c r="EL40" s="55">
        <f>SUMIFS('Awards Summary'!$H:$H,'Awards Summary'!$B:$B,$C40,'Awards Summary'!$J:$J,"NFTA")</f>
        <v>0</v>
      </c>
      <c r="EM40" s="55">
        <f>SUMIFS('Disbursements Summary'!$E:$E,'Disbursements Summary'!$C:$C,$C40,'Disbursements Summary'!$A:$A,"NFTA")</f>
        <v>0</v>
      </c>
      <c r="EN40" s="55">
        <f>SUMIFS('Awards Summary'!$H:$H,'Awards Summary'!$B:$B,$C40,'Awards Summary'!$J:$J,"OPWDD")</f>
        <v>0</v>
      </c>
      <c r="EO40" s="55">
        <f>SUMIFS('Disbursements Summary'!$E:$E,'Disbursements Summary'!$C:$C,$C40,'Disbursements Summary'!$A:$A,"OPWDD")</f>
        <v>0</v>
      </c>
      <c r="EP40" s="55">
        <f>SUMIFS('Awards Summary'!$H:$H,'Awards Summary'!$B:$B,$C40,'Awards Summary'!$J:$J,"AGING")</f>
        <v>0</v>
      </c>
      <c r="EQ40" s="55">
        <f>SUMIFS('Disbursements Summary'!$E:$E,'Disbursements Summary'!$C:$C,$C40,'Disbursements Summary'!$A:$A,"AGING")</f>
        <v>0</v>
      </c>
      <c r="ER40" s="55">
        <f>SUMIFS('Awards Summary'!$H:$H,'Awards Summary'!$B:$B,$C40,'Awards Summary'!$J:$J,"OPDV")</f>
        <v>0</v>
      </c>
      <c r="ES40" s="55">
        <f>SUMIFS('Disbursements Summary'!$E:$E,'Disbursements Summary'!$C:$C,$C40,'Disbursements Summary'!$A:$A,"OPDV")</f>
        <v>0</v>
      </c>
      <c r="ET40" s="55">
        <f>SUMIFS('Awards Summary'!$H:$H,'Awards Summary'!$B:$B,$C40,'Awards Summary'!$J:$J,"OVS")</f>
        <v>0</v>
      </c>
      <c r="EU40" s="55">
        <f>SUMIFS('Disbursements Summary'!$E:$E,'Disbursements Summary'!$C:$C,$C40,'Disbursements Summary'!$A:$A,"OVS")</f>
        <v>0</v>
      </c>
      <c r="EV40" s="55">
        <f>SUMIFS('Awards Summary'!$H:$H,'Awards Summary'!$B:$B,$C40,'Awards Summary'!$J:$J,"OASAS")</f>
        <v>0</v>
      </c>
      <c r="EW40" s="55">
        <f>SUMIFS('Disbursements Summary'!$E:$E,'Disbursements Summary'!$C:$C,$C40,'Disbursements Summary'!$A:$A,"OASAS")</f>
        <v>0</v>
      </c>
      <c r="EX40" s="55">
        <f>SUMIFS('Awards Summary'!$H:$H,'Awards Summary'!$B:$B,$C40,'Awards Summary'!$J:$J,"OCFS")</f>
        <v>0</v>
      </c>
      <c r="EY40" s="55">
        <f>SUMIFS('Disbursements Summary'!$E:$E,'Disbursements Summary'!$C:$C,$C40,'Disbursements Summary'!$A:$A,"OCFS")</f>
        <v>0</v>
      </c>
      <c r="EZ40" s="55">
        <f>SUMIFS('Awards Summary'!$H:$H,'Awards Summary'!$B:$B,$C40,'Awards Summary'!$J:$J,"OGS")</f>
        <v>0</v>
      </c>
      <c r="FA40" s="55">
        <f>SUMIFS('Disbursements Summary'!$E:$E,'Disbursements Summary'!$C:$C,$C40,'Disbursements Summary'!$A:$A,"OGS")</f>
        <v>0</v>
      </c>
      <c r="FB40" s="55">
        <f>SUMIFS('Awards Summary'!$H:$H,'Awards Summary'!$B:$B,$C40,'Awards Summary'!$J:$J,"OMH")</f>
        <v>0</v>
      </c>
      <c r="FC40" s="55">
        <f>SUMIFS('Disbursements Summary'!$E:$E,'Disbursements Summary'!$C:$C,$C40,'Disbursements Summary'!$A:$A,"OMH")</f>
        <v>0</v>
      </c>
      <c r="FD40" s="55">
        <f>SUMIFS('Awards Summary'!$H:$H,'Awards Summary'!$B:$B,$C40,'Awards Summary'!$J:$J,"PARKS")</f>
        <v>0</v>
      </c>
      <c r="FE40" s="55">
        <f>SUMIFS('Disbursements Summary'!$E:$E,'Disbursements Summary'!$C:$C,$C40,'Disbursements Summary'!$A:$A,"PARKS")</f>
        <v>0</v>
      </c>
      <c r="FF40" s="55">
        <f>SUMIFS('Awards Summary'!$H:$H,'Awards Summary'!$B:$B,$C40,'Awards Summary'!$J:$J,"OTDA")</f>
        <v>0</v>
      </c>
      <c r="FG40" s="55">
        <f>SUMIFS('Disbursements Summary'!$E:$E,'Disbursements Summary'!$C:$C,$C40,'Disbursements Summary'!$A:$A,"OTDA")</f>
        <v>0</v>
      </c>
      <c r="FH40" s="55">
        <f>SUMIFS('Awards Summary'!$H:$H,'Awards Summary'!$B:$B,$C40,'Awards Summary'!$J:$J,"OIG")</f>
        <v>0</v>
      </c>
      <c r="FI40" s="55">
        <f>SUMIFS('Disbursements Summary'!$E:$E,'Disbursements Summary'!$C:$C,$C40,'Disbursements Summary'!$A:$A,"OIG")</f>
        <v>0</v>
      </c>
      <c r="FJ40" s="55">
        <f>SUMIFS('Awards Summary'!$H:$H,'Awards Summary'!$B:$B,$C40,'Awards Summary'!$J:$J,"OMIG")</f>
        <v>0</v>
      </c>
      <c r="FK40" s="55">
        <f>SUMIFS('Disbursements Summary'!$E:$E,'Disbursements Summary'!$C:$C,$C40,'Disbursements Summary'!$A:$A,"OMIG")</f>
        <v>0</v>
      </c>
      <c r="FL40" s="55">
        <f>SUMIFS('Awards Summary'!$H:$H,'Awards Summary'!$B:$B,$C40,'Awards Summary'!$J:$J,"OSC")</f>
        <v>0</v>
      </c>
      <c r="FM40" s="55">
        <f>SUMIFS('Disbursements Summary'!$E:$E,'Disbursements Summary'!$C:$C,$C40,'Disbursements Summary'!$A:$A,"OSC")</f>
        <v>0</v>
      </c>
      <c r="FN40" s="55">
        <f>SUMIFS('Awards Summary'!$H:$H,'Awards Summary'!$B:$B,$C40,'Awards Summary'!$J:$J,"OWIG")</f>
        <v>0</v>
      </c>
      <c r="FO40" s="55">
        <f>SUMIFS('Disbursements Summary'!$E:$E,'Disbursements Summary'!$C:$C,$C40,'Disbursements Summary'!$A:$A,"OWIG")</f>
        <v>0</v>
      </c>
      <c r="FP40" s="55">
        <f>SUMIFS('Awards Summary'!$H:$H,'Awards Summary'!$B:$B,$C40,'Awards Summary'!$J:$J,"OGDEN")</f>
        <v>0</v>
      </c>
      <c r="FQ40" s="55">
        <f>SUMIFS('Disbursements Summary'!$E:$E,'Disbursements Summary'!$C:$C,$C40,'Disbursements Summary'!$A:$A,"OGDEN")</f>
        <v>0</v>
      </c>
      <c r="FR40" s="55">
        <f>SUMIFS('Awards Summary'!$H:$H,'Awards Summary'!$B:$B,$C40,'Awards Summary'!$J:$J,"ORDA")</f>
        <v>0</v>
      </c>
      <c r="FS40" s="55">
        <f>SUMIFS('Disbursements Summary'!$E:$E,'Disbursements Summary'!$C:$C,$C40,'Disbursements Summary'!$A:$A,"ORDA")</f>
        <v>0</v>
      </c>
      <c r="FT40" s="55">
        <f>SUMIFS('Awards Summary'!$H:$H,'Awards Summary'!$B:$B,$C40,'Awards Summary'!$J:$J,"OSWEGO")</f>
        <v>0</v>
      </c>
      <c r="FU40" s="55">
        <f>SUMIFS('Disbursements Summary'!$E:$E,'Disbursements Summary'!$C:$C,$C40,'Disbursements Summary'!$A:$A,"OSWEGO")</f>
        <v>0</v>
      </c>
      <c r="FV40" s="55">
        <f>SUMIFS('Awards Summary'!$H:$H,'Awards Summary'!$B:$B,$C40,'Awards Summary'!$J:$J,"PERB")</f>
        <v>0</v>
      </c>
      <c r="FW40" s="55">
        <f>SUMIFS('Disbursements Summary'!$E:$E,'Disbursements Summary'!$C:$C,$C40,'Disbursements Summary'!$A:$A,"PERB")</f>
        <v>0</v>
      </c>
      <c r="FX40" s="55">
        <f>SUMIFS('Awards Summary'!$H:$H,'Awards Summary'!$B:$B,$C40,'Awards Summary'!$J:$J,"RGRTA")</f>
        <v>0</v>
      </c>
      <c r="FY40" s="55">
        <f>SUMIFS('Disbursements Summary'!$E:$E,'Disbursements Summary'!$C:$C,$C40,'Disbursements Summary'!$A:$A,"RGRTA")</f>
        <v>0</v>
      </c>
      <c r="FZ40" s="55">
        <f>SUMIFS('Awards Summary'!$H:$H,'Awards Summary'!$B:$B,$C40,'Awards Summary'!$J:$J,"RIOC")</f>
        <v>0</v>
      </c>
      <c r="GA40" s="55">
        <f>SUMIFS('Disbursements Summary'!$E:$E,'Disbursements Summary'!$C:$C,$C40,'Disbursements Summary'!$A:$A,"RIOC")</f>
        <v>0</v>
      </c>
      <c r="GB40" s="55">
        <f>SUMIFS('Awards Summary'!$H:$H,'Awards Summary'!$B:$B,$C40,'Awards Summary'!$J:$J,"RPCI")</f>
        <v>0</v>
      </c>
      <c r="GC40" s="55">
        <f>SUMIFS('Disbursements Summary'!$E:$E,'Disbursements Summary'!$C:$C,$C40,'Disbursements Summary'!$A:$A,"RPCI")</f>
        <v>0</v>
      </c>
      <c r="GD40" s="55">
        <f>SUMIFS('Awards Summary'!$H:$H,'Awards Summary'!$B:$B,$C40,'Awards Summary'!$J:$J,"SMDA")</f>
        <v>0</v>
      </c>
      <c r="GE40" s="55">
        <f>SUMIFS('Disbursements Summary'!$E:$E,'Disbursements Summary'!$C:$C,$C40,'Disbursements Summary'!$A:$A,"SMDA")</f>
        <v>0</v>
      </c>
      <c r="GF40" s="55">
        <f>SUMIFS('Awards Summary'!$H:$H,'Awards Summary'!$B:$B,$C40,'Awards Summary'!$J:$J,"SCOC")</f>
        <v>0</v>
      </c>
      <c r="GG40" s="55">
        <f>SUMIFS('Disbursements Summary'!$E:$E,'Disbursements Summary'!$C:$C,$C40,'Disbursements Summary'!$A:$A,"SCOC")</f>
        <v>0</v>
      </c>
      <c r="GH40" s="55">
        <f>SUMIFS('Awards Summary'!$H:$H,'Awards Summary'!$B:$B,$C40,'Awards Summary'!$J:$J,"SUCF")</f>
        <v>0</v>
      </c>
      <c r="GI40" s="55">
        <f>SUMIFS('Disbursements Summary'!$E:$E,'Disbursements Summary'!$C:$C,$C40,'Disbursements Summary'!$A:$A,"SUCF")</f>
        <v>0</v>
      </c>
      <c r="GJ40" s="55">
        <f>SUMIFS('Awards Summary'!$H:$H,'Awards Summary'!$B:$B,$C40,'Awards Summary'!$J:$J,"SUNY")</f>
        <v>0</v>
      </c>
      <c r="GK40" s="55">
        <f>SUMIFS('Disbursements Summary'!$E:$E,'Disbursements Summary'!$C:$C,$C40,'Disbursements Summary'!$A:$A,"SUNY")</f>
        <v>0</v>
      </c>
      <c r="GL40" s="55">
        <f>SUMIFS('Awards Summary'!$H:$H,'Awards Summary'!$B:$B,$C40,'Awards Summary'!$J:$J,"SRAA")</f>
        <v>0</v>
      </c>
      <c r="GM40" s="55">
        <f>SUMIFS('Disbursements Summary'!$E:$E,'Disbursements Summary'!$C:$C,$C40,'Disbursements Summary'!$A:$A,"SRAA")</f>
        <v>0</v>
      </c>
      <c r="GN40" s="55">
        <f>SUMIFS('Awards Summary'!$H:$H,'Awards Summary'!$B:$B,$C40,'Awards Summary'!$J:$J,"UNDC")</f>
        <v>0</v>
      </c>
      <c r="GO40" s="55">
        <f>SUMIFS('Disbursements Summary'!$E:$E,'Disbursements Summary'!$C:$C,$C40,'Disbursements Summary'!$A:$A,"UNDC")</f>
        <v>0</v>
      </c>
      <c r="GP40" s="55">
        <f>SUMIFS('Awards Summary'!$H:$H,'Awards Summary'!$B:$B,$C40,'Awards Summary'!$J:$J,"MVWA")</f>
        <v>0</v>
      </c>
      <c r="GQ40" s="55">
        <f>SUMIFS('Disbursements Summary'!$E:$E,'Disbursements Summary'!$C:$C,$C40,'Disbursements Summary'!$A:$A,"MVWA")</f>
        <v>0</v>
      </c>
      <c r="GR40" s="55">
        <f>SUMIFS('Awards Summary'!$H:$H,'Awards Summary'!$B:$B,$C40,'Awards Summary'!$J:$J,"WMC")</f>
        <v>0</v>
      </c>
      <c r="GS40" s="55">
        <f>SUMIFS('Disbursements Summary'!$E:$E,'Disbursements Summary'!$C:$C,$C40,'Disbursements Summary'!$A:$A,"WMC")</f>
        <v>0</v>
      </c>
      <c r="GT40" s="55">
        <f>SUMIFS('Awards Summary'!$H:$H,'Awards Summary'!$B:$B,$C40,'Awards Summary'!$J:$J,"WCB")</f>
        <v>0</v>
      </c>
      <c r="GU40" s="55">
        <f>SUMIFS('Disbursements Summary'!$E:$E,'Disbursements Summary'!$C:$C,$C40,'Disbursements Summary'!$A:$A,"WCB")</f>
        <v>0</v>
      </c>
      <c r="GV40" s="32">
        <f t="shared" si="5"/>
        <v>0</v>
      </c>
      <c r="GW40" s="32">
        <f t="shared" si="6"/>
        <v>0</v>
      </c>
      <c r="GX40" s="30" t="b">
        <f t="shared" si="7"/>
        <v>1</v>
      </c>
      <c r="GY40" s="30" t="b">
        <f t="shared" si="8"/>
        <v>1</v>
      </c>
    </row>
    <row r="41" spans="1:207" s="30" customFormat="1">
      <c r="A41" s="22" t="str">
        <f t="shared" si="0"/>
        <v/>
      </c>
      <c r="B41" s="40" t="s">
        <v>120</v>
      </c>
      <c r="C41" s="16">
        <v>141071</v>
      </c>
      <c r="D41" s="26">
        <f>COUNTIF('Awards Summary'!B:B,"141071")</f>
        <v>0</v>
      </c>
      <c r="E41" s="45">
        <f>SUMIFS('Awards Summary'!H:H,'Awards Summary'!B:B,"141071")</f>
        <v>0</v>
      </c>
      <c r="F41" s="46">
        <f>SUMIFS('Disbursements Summary'!E:E,'Disbursements Summary'!C:C, "141071")</f>
        <v>0</v>
      </c>
      <c r="H41" s="55">
        <f>SUMIFS('Awards Summary'!$H:$H,'Awards Summary'!$B:$B,$C41,'Awards Summary'!$J:$J,"APA")</f>
        <v>0</v>
      </c>
      <c r="I41" s="55">
        <f>SUMIFS('Disbursements Summary'!$E:$E,'Disbursements Summary'!$C:$C,$C41,'Disbursements Summary'!$A:$A,"APA")</f>
        <v>0</v>
      </c>
      <c r="J41" s="55">
        <f>SUMIFS('Awards Summary'!$H:$H,'Awards Summary'!$B:$B,$C41,'Awards Summary'!$J:$J,"Ag&amp;Horse")</f>
        <v>0</v>
      </c>
      <c r="K41" s="55">
        <f>SUMIFS('Disbursements Summary'!$E:$E,'Disbursements Summary'!$C:$C,$C41,'Disbursements Summary'!$A:$A,"Ag&amp;Horse")</f>
        <v>0</v>
      </c>
      <c r="L41" s="55">
        <f>SUMIFS('Awards Summary'!$H:$H,'Awards Summary'!$B:$B,$C41,'Awards Summary'!$J:$J,"ACAA")</f>
        <v>0</v>
      </c>
      <c r="M41" s="55">
        <f>SUMIFS('Disbursements Summary'!$E:$E,'Disbursements Summary'!$C:$C,$C41,'Disbursements Summary'!$A:$A,"ACAA")</f>
        <v>0</v>
      </c>
      <c r="N41" s="55">
        <f>SUMIFS('Awards Summary'!$H:$H,'Awards Summary'!$B:$B,$C41,'Awards Summary'!$J:$J,"PortAlbany")</f>
        <v>0</v>
      </c>
      <c r="O41" s="55">
        <f>SUMIFS('Disbursements Summary'!$E:$E,'Disbursements Summary'!$C:$C,$C41,'Disbursements Summary'!$A:$A,"PortAlbany")</f>
        <v>0</v>
      </c>
      <c r="P41" s="55">
        <f>SUMIFS('Awards Summary'!$H:$H,'Awards Summary'!$B:$B,$C41,'Awards Summary'!$J:$J,"SLA")</f>
        <v>0</v>
      </c>
      <c r="Q41" s="55">
        <f>SUMIFS('Disbursements Summary'!$E:$E,'Disbursements Summary'!$C:$C,$C41,'Disbursements Summary'!$A:$A,"SLA")</f>
        <v>0</v>
      </c>
      <c r="R41" s="55">
        <f>SUMIFS('Awards Summary'!$H:$H,'Awards Summary'!$B:$B,$C41,'Awards Summary'!$J:$J,"BPCA")</f>
        <v>0</v>
      </c>
      <c r="S41" s="55">
        <f>SUMIFS('Disbursements Summary'!$E:$E,'Disbursements Summary'!$C:$C,$C41,'Disbursements Summary'!$A:$A,"BPCA")</f>
        <v>0</v>
      </c>
      <c r="T41" s="55">
        <f>SUMIFS('Awards Summary'!$H:$H,'Awards Summary'!$B:$B,$C41,'Awards Summary'!$J:$J,"ELECTIONS")</f>
        <v>0</v>
      </c>
      <c r="U41" s="55">
        <f>SUMIFS('Disbursements Summary'!$E:$E,'Disbursements Summary'!$C:$C,$C41,'Disbursements Summary'!$A:$A,"ELECTIONS")</f>
        <v>0</v>
      </c>
      <c r="V41" s="55">
        <f>SUMIFS('Awards Summary'!$H:$H,'Awards Summary'!$B:$B,$C41,'Awards Summary'!$J:$J,"BFSA")</f>
        <v>0</v>
      </c>
      <c r="W41" s="55">
        <f>SUMIFS('Disbursements Summary'!$E:$E,'Disbursements Summary'!$C:$C,$C41,'Disbursements Summary'!$A:$A,"BFSA")</f>
        <v>0</v>
      </c>
      <c r="X41" s="55">
        <f>SUMIFS('Awards Summary'!$H:$H,'Awards Summary'!$B:$B,$C41,'Awards Summary'!$J:$J,"CDTA")</f>
        <v>0</v>
      </c>
      <c r="Y41" s="55">
        <f>SUMIFS('Disbursements Summary'!$E:$E,'Disbursements Summary'!$C:$C,$C41,'Disbursements Summary'!$A:$A,"CDTA")</f>
        <v>0</v>
      </c>
      <c r="Z41" s="55">
        <f>SUMIFS('Awards Summary'!$H:$H,'Awards Summary'!$B:$B,$C41,'Awards Summary'!$J:$J,"CCWSA")</f>
        <v>0</v>
      </c>
      <c r="AA41" s="55">
        <f>SUMIFS('Disbursements Summary'!$E:$E,'Disbursements Summary'!$C:$C,$C41,'Disbursements Summary'!$A:$A,"CCWSA")</f>
        <v>0</v>
      </c>
      <c r="AB41" s="55">
        <f>SUMIFS('Awards Summary'!$H:$H,'Awards Summary'!$B:$B,$C41,'Awards Summary'!$J:$J,"CNYRTA")</f>
        <v>0</v>
      </c>
      <c r="AC41" s="55">
        <f>SUMIFS('Disbursements Summary'!$E:$E,'Disbursements Summary'!$C:$C,$C41,'Disbursements Summary'!$A:$A,"CNYRTA")</f>
        <v>0</v>
      </c>
      <c r="AD41" s="55">
        <f>SUMIFS('Awards Summary'!$H:$H,'Awards Summary'!$B:$B,$C41,'Awards Summary'!$J:$J,"CUCF")</f>
        <v>0</v>
      </c>
      <c r="AE41" s="55">
        <f>SUMIFS('Disbursements Summary'!$E:$E,'Disbursements Summary'!$C:$C,$C41,'Disbursements Summary'!$A:$A,"CUCF")</f>
        <v>0</v>
      </c>
      <c r="AF41" s="55">
        <f>SUMIFS('Awards Summary'!$H:$H,'Awards Summary'!$B:$B,$C41,'Awards Summary'!$J:$J,"CUNY")</f>
        <v>0</v>
      </c>
      <c r="AG41" s="55">
        <f>SUMIFS('Disbursements Summary'!$E:$E,'Disbursements Summary'!$C:$C,$C41,'Disbursements Summary'!$A:$A,"CUNY")</f>
        <v>0</v>
      </c>
      <c r="AH41" s="55">
        <f>SUMIFS('Awards Summary'!$H:$H,'Awards Summary'!$B:$B,$C41,'Awards Summary'!$J:$J,"ARTS")</f>
        <v>0</v>
      </c>
      <c r="AI41" s="55">
        <f>SUMIFS('Disbursements Summary'!$E:$E,'Disbursements Summary'!$C:$C,$C41,'Disbursements Summary'!$A:$A,"ARTS")</f>
        <v>0</v>
      </c>
      <c r="AJ41" s="55">
        <f>SUMIFS('Awards Summary'!$H:$H,'Awards Summary'!$B:$B,$C41,'Awards Summary'!$J:$J,"AG&amp;MKTS")</f>
        <v>0</v>
      </c>
      <c r="AK41" s="55">
        <f>SUMIFS('Disbursements Summary'!$E:$E,'Disbursements Summary'!$C:$C,$C41,'Disbursements Summary'!$A:$A,"AG&amp;MKTS")</f>
        <v>0</v>
      </c>
      <c r="AL41" s="55">
        <f>SUMIFS('Awards Summary'!$H:$H,'Awards Summary'!$B:$B,$C41,'Awards Summary'!$J:$J,"CS")</f>
        <v>0</v>
      </c>
      <c r="AM41" s="55">
        <f>SUMIFS('Disbursements Summary'!$E:$E,'Disbursements Summary'!$C:$C,$C41,'Disbursements Summary'!$A:$A,"CS")</f>
        <v>0</v>
      </c>
      <c r="AN41" s="55">
        <f>SUMIFS('Awards Summary'!$H:$H,'Awards Summary'!$B:$B,$C41,'Awards Summary'!$J:$J,"DOCCS")</f>
        <v>0</v>
      </c>
      <c r="AO41" s="55">
        <f>SUMIFS('Disbursements Summary'!$E:$E,'Disbursements Summary'!$C:$C,$C41,'Disbursements Summary'!$A:$A,"DOCCS")</f>
        <v>0</v>
      </c>
      <c r="AP41" s="55">
        <f>SUMIFS('Awards Summary'!$H:$H,'Awards Summary'!$B:$B,$C41,'Awards Summary'!$J:$J,"DED")</f>
        <v>0</v>
      </c>
      <c r="AQ41" s="55">
        <f>SUMIFS('Disbursements Summary'!$E:$E,'Disbursements Summary'!$C:$C,$C41,'Disbursements Summary'!$A:$A,"DED")</f>
        <v>0</v>
      </c>
      <c r="AR41" s="55">
        <f>SUMIFS('Awards Summary'!$H:$H,'Awards Summary'!$B:$B,$C41,'Awards Summary'!$J:$J,"DEC")</f>
        <v>0</v>
      </c>
      <c r="AS41" s="55">
        <f>SUMIFS('Disbursements Summary'!$E:$E,'Disbursements Summary'!$C:$C,$C41,'Disbursements Summary'!$A:$A,"DEC")</f>
        <v>0</v>
      </c>
      <c r="AT41" s="55">
        <f>SUMIFS('Awards Summary'!$H:$H,'Awards Summary'!$B:$B,$C41,'Awards Summary'!$J:$J,"DFS")</f>
        <v>0</v>
      </c>
      <c r="AU41" s="55">
        <f>SUMIFS('Disbursements Summary'!$E:$E,'Disbursements Summary'!$C:$C,$C41,'Disbursements Summary'!$A:$A,"DFS")</f>
        <v>0</v>
      </c>
      <c r="AV41" s="55">
        <f>SUMIFS('Awards Summary'!$H:$H,'Awards Summary'!$B:$B,$C41,'Awards Summary'!$J:$J,"DOH")</f>
        <v>0</v>
      </c>
      <c r="AW41" s="55">
        <f>SUMIFS('Disbursements Summary'!$E:$E,'Disbursements Summary'!$C:$C,$C41,'Disbursements Summary'!$A:$A,"DOH")</f>
        <v>0</v>
      </c>
      <c r="AX41" s="55">
        <f>SUMIFS('Awards Summary'!$H:$H,'Awards Summary'!$B:$B,$C41,'Awards Summary'!$J:$J,"DOL")</f>
        <v>0</v>
      </c>
      <c r="AY41" s="55">
        <f>SUMIFS('Disbursements Summary'!$E:$E,'Disbursements Summary'!$C:$C,$C41,'Disbursements Summary'!$A:$A,"DOL")</f>
        <v>0</v>
      </c>
      <c r="AZ41" s="55">
        <f>SUMIFS('Awards Summary'!$H:$H,'Awards Summary'!$B:$B,$C41,'Awards Summary'!$J:$J,"DMV")</f>
        <v>0</v>
      </c>
      <c r="BA41" s="55">
        <f>SUMIFS('Disbursements Summary'!$E:$E,'Disbursements Summary'!$C:$C,$C41,'Disbursements Summary'!$A:$A,"DMV")</f>
        <v>0</v>
      </c>
      <c r="BB41" s="55">
        <f>SUMIFS('Awards Summary'!$H:$H,'Awards Summary'!$B:$B,$C41,'Awards Summary'!$J:$J,"DPS")</f>
        <v>0</v>
      </c>
      <c r="BC41" s="55">
        <f>SUMIFS('Disbursements Summary'!$E:$E,'Disbursements Summary'!$C:$C,$C41,'Disbursements Summary'!$A:$A,"DPS")</f>
        <v>0</v>
      </c>
      <c r="BD41" s="55">
        <f>SUMIFS('Awards Summary'!$H:$H,'Awards Summary'!$B:$B,$C41,'Awards Summary'!$J:$J,"DOS")</f>
        <v>0</v>
      </c>
      <c r="BE41" s="55">
        <f>SUMIFS('Disbursements Summary'!$E:$E,'Disbursements Summary'!$C:$C,$C41,'Disbursements Summary'!$A:$A,"DOS")</f>
        <v>0</v>
      </c>
      <c r="BF41" s="55">
        <f>SUMIFS('Awards Summary'!$H:$H,'Awards Summary'!$B:$B,$C41,'Awards Summary'!$J:$J,"TAX")</f>
        <v>0</v>
      </c>
      <c r="BG41" s="55">
        <f>SUMIFS('Disbursements Summary'!$E:$E,'Disbursements Summary'!$C:$C,$C41,'Disbursements Summary'!$A:$A,"TAX")</f>
        <v>0</v>
      </c>
      <c r="BH41" s="55">
        <f>SUMIFS('Awards Summary'!$H:$H,'Awards Summary'!$B:$B,$C41,'Awards Summary'!$J:$J,"DOT")</f>
        <v>0</v>
      </c>
      <c r="BI41" s="55">
        <f>SUMIFS('Disbursements Summary'!$E:$E,'Disbursements Summary'!$C:$C,$C41,'Disbursements Summary'!$A:$A,"DOT")</f>
        <v>0</v>
      </c>
      <c r="BJ41" s="55">
        <f>SUMIFS('Awards Summary'!$H:$H,'Awards Summary'!$B:$B,$C41,'Awards Summary'!$J:$J,"DANC")</f>
        <v>0</v>
      </c>
      <c r="BK41" s="55">
        <f>SUMIFS('Disbursements Summary'!$E:$E,'Disbursements Summary'!$C:$C,$C41,'Disbursements Summary'!$A:$A,"DANC")</f>
        <v>0</v>
      </c>
      <c r="BL41" s="55">
        <f>SUMIFS('Awards Summary'!$H:$H,'Awards Summary'!$B:$B,$C41,'Awards Summary'!$J:$J,"DOB")</f>
        <v>0</v>
      </c>
      <c r="BM41" s="55">
        <f>SUMIFS('Disbursements Summary'!$E:$E,'Disbursements Summary'!$C:$C,$C41,'Disbursements Summary'!$A:$A,"DOB")</f>
        <v>0</v>
      </c>
      <c r="BN41" s="55">
        <f>SUMIFS('Awards Summary'!$H:$H,'Awards Summary'!$B:$B,$C41,'Awards Summary'!$J:$J,"DCJS")</f>
        <v>0</v>
      </c>
      <c r="BO41" s="55">
        <f>SUMIFS('Disbursements Summary'!$E:$E,'Disbursements Summary'!$C:$C,$C41,'Disbursements Summary'!$A:$A,"DCJS")</f>
        <v>0</v>
      </c>
      <c r="BP41" s="55">
        <f>SUMIFS('Awards Summary'!$H:$H,'Awards Summary'!$B:$B,$C41,'Awards Summary'!$J:$J,"DHSES")</f>
        <v>0</v>
      </c>
      <c r="BQ41" s="55">
        <f>SUMIFS('Disbursements Summary'!$E:$E,'Disbursements Summary'!$C:$C,$C41,'Disbursements Summary'!$A:$A,"DHSES")</f>
        <v>0</v>
      </c>
      <c r="BR41" s="55">
        <f>SUMIFS('Awards Summary'!$H:$H,'Awards Summary'!$B:$B,$C41,'Awards Summary'!$J:$J,"DHR")</f>
        <v>0</v>
      </c>
      <c r="BS41" s="55">
        <f>SUMIFS('Disbursements Summary'!$E:$E,'Disbursements Summary'!$C:$C,$C41,'Disbursements Summary'!$A:$A,"DHR")</f>
        <v>0</v>
      </c>
      <c r="BT41" s="55">
        <f>SUMIFS('Awards Summary'!$H:$H,'Awards Summary'!$B:$B,$C41,'Awards Summary'!$J:$J,"DMNA")</f>
        <v>0</v>
      </c>
      <c r="BU41" s="55">
        <f>SUMIFS('Disbursements Summary'!$E:$E,'Disbursements Summary'!$C:$C,$C41,'Disbursements Summary'!$A:$A,"DMNA")</f>
        <v>0</v>
      </c>
      <c r="BV41" s="55">
        <f>SUMIFS('Awards Summary'!$H:$H,'Awards Summary'!$B:$B,$C41,'Awards Summary'!$J:$J,"TROOPERS")</f>
        <v>0</v>
      </c>
      <c r="BW41" s="55">
        <f>SUMIFS('Disbursements Summary'!$E:$E,'Disbursements Summary'!$C:$C,$C41,'Disbursements Summary'!$A:$A,"TROOPERS")</f>
        <v>0</v>
      </c>
      <c r="BX41" s="55">
        <f>SUMIFS('Awards Summary'!$H:$H,'Awards Summary'!$B:$B,$C41,'Awards Summary'!$J:$J,"DVA")</f>
        <v>0</v>
      </c>
      <c r="BY41" s="55">
        <f>SUMIFS('Disbursements Summary'!$E:$E,'Disbursements Summary'!$C:$C,$C41,'Disbursements Summary'!$A:$A,"DVA")</f>
        <v>0</v>
      </c>
      <c r="BZ41" s="55">
        <f>SUMIFS('Awards Summary'!$H:$H,'Awards Summary'!$B:$B,$C41,'Awards Summary'!$J:$J,"DASNY")</f>
        <v>0</v>
      </c>
      <c r="CA41" s="55">
        <f>SUMIFS('Disbursements Summary'!$E:$E,'Disbursements Summary'!$C:$C,$C41,'Disbursements Summary'!$A:$A,"DASNY")</f>
        <v>0</v>
      </c>
      <c r="CB41" s="55">
        <f>SUMIFS('Awards Summary'!$H:$H,'Awards Summary'!$B:$B,$C41,'Awards Summary'!$J:$J,"EGG")</f>
        <v>0</v>
      </c>
      <c r="CC41" s="55">
        <f>SUMIFS('Disbursements Summary'!$E:$E,'Disbursements Summary'!$C:$C,$C41,'Disbursements Summary'!$A:$A,"EGG")</f>
        <v>0</v>
      </c>
      <c r="CD41" s="55">
        <f>SUMIFS('Awards Summary'!$H:$H,'Awards Summary'!$B:$B,$C41,'Awards Summary'!$J:$J,"ESD")</f>
        <v>0</v>
      </c>
      <c r="CE41" s="55">
        <f>SUMIFS('Disbursements Summary'!$E:$E,'Disbursements Summary'!$C:$C,$C41,'Disbursements Summary'!$A:$A,"ESD")</f>
        <v>0</v>
      </c>
      <c r="CF41" s="55">
        <f>SUMIFS('Awards Summary'!$H:$H,'Awards Summary'!$B:$B,$C41,'Awards Summary'!$J:$J,"EFC")</f>
        <v>0</v>
      </c>
      <c r="CG41" s="55">
        <f>SUMIFS('Disbursements Summary'!$E:$E,'Disbursements Summary'!$C:$C,$C41,'Disbursements Summary'!$A:$A,"EFC")</f>
        <v>0</v>
      </c>
      <c r="CH41" s="55">
        <f>SUMIFS('Awards Summary'!$H:$H,'Awards Summary'!$B:$B,$C41,'Awards Summary'!$J:$J,"ECFSA")</f>
        <v>0</v>
      </c>
      <c r="CI41" s="55">
        <f>SUMIFS('Disbursements Summary'!$E:$E,'Disbursements Summary'!$C:$C,$C41,'Disbursements Summary'!$A:$A,"ECFSA")</f>
        <v>0</v>
      </c>
      <c r="CJ41" s="55">
        <f>SUMIFS('Awards Summary'!$H:$H,'Awards Summary'!$B:$B,$C41,'Awards Summary'!$J:$J,"ECMC")</f>
        <v>0</v>
      </c>
      <c r="CK41" s="55">
        <f>SUMIFS('Disbursements Summary'!$E:$E,'Disbursements Summary'!$C:$C,$C41,'Disbursements Summary'!$A:$A,"ECMC")</f>
        <v>0</v>
      </c>
      <c r="CL41" s="55">
        <f>SUMIFS('Awards Summary'!$H:$H,'Awards Summary'!$B:$B,$C41,'Awards Summary'!$J:$J,"CHAMBER")</f>
        <v>0</v>
      </c>
      <c r="CM41" s="55">
        <f>SUMIFS('Disbursements Summary'!$E:$E,'Disbursements Summary'!$C:$C,$C41,'Disbursements Summary'!$A:$A,"CHAMBER")</f>
        <v>0</v>
      </c>
      <c r="CN41" s="55">
        <f>SUMIFS('Awards Summary'!$H:$H,'Awards Summary'!$B:$B,$C41,'Awards Summary'!$J:$J,"GAMING")</f>
        <v>0</v>
      </c>
      <c r="CO41" s="55">
        <f>SUMIFS('Disbursements Summary'!$E:$E,'Disbursements Summary'!$C:$C,$C41,'Disbursements Summary'!$A:$A,"GAMING")</f>
        <v>0</v>
      </c>
      <c r="CP41" s="55">
        <f>SUMIFS('Awards Summary'!$H:$H,'Awards Summary'!$B:$B,$C41,'Awards Summary'!$J:$J,"GOER")</f>
        <v>0</v>
      </c>
      <c r="CQ41" s="55">
        <f>SUMIFS('Disbursements Summary'!$E:$E,'Disbursements Summary'!$C:$C,$C41,'Disbursements Summary'!$A:$A,"GOER")</f>
        <v>0</v>
      </c>
      <c r="CR41" s="55">
        <f>SUMIFS('Awards Summary'!$H:$H,'Awards Summary'!$B:$B,$C41,'Awards Summary'!$J:$J,"HESC")</f>
        <v>0</v>
      </c>
      <c r="CS41" s="55">
        <f>SUMIFS('Disbursements Summary'!$E:$E,'Disbursements Summary'!$C:$C,$C41,'Disbursements Summary'!$A:$A,"HESC")</f>
        <v>0</v>
      </c>
      <c r="CT41" s="55">
        <f>SUMIFS('Awards Summary'!$H:$H,'Awards Summary'!$B:$B,$C41,'Awards Summary'!$J:$J,"GOSR")</f>
        <v>0</v>
      </c>
      <c r="CU41" s="55">
        <f>SUMIFS('Disbursements Summary'!$E:$E,'Disbursements Summary'!$C:$C,$C41,'Disbursements Summary'!$A:$A,"GOSR")</f>
        <v>0</v>
      </c>
      <c r="CV41" s="55">
        <f>SUMIFS('Awards Summary'!$H:$H,'Awards Summary'!$B:$B,$C41,'Awards Summary'!$J:$J,"HRPT")</f>
        <v>0</v>
      </c>
      <c r="CW41" s="55">
        <f>SUMIFS('Disbursements Summary'!$E:$E,'Disbursements Summary'!$C:$C,$C41,'Disbursements Summary'!$A:$A,"HRPT")</f>
        <v>0</v>
      </c>
      <c r="CX41" s="55">
        <f>SUMIFS('Awards Summary'!$H:$H,'Awards Summary'!$B:$B,$C41,'Awards Summary'!$J:$J,"HRBRRD")</f>
        <v>0</v>
      </c>
      <c r="CY41" s="55">
        <f>SUMIFS('Disbursements Summary'!$E:$E,'Disbursements Summary'!$C:$C,$C41,'Disbursements Summary'!$A:$A,"HRBRRD")</f>
        <v>0</v>
      </c>
      <c r="CZ41" s="55">
        <f>SUMIFS('Awards Summary'!$H:$H,'Awards Summary'!$B:$B,$C41,'Awards Summary'!$J:$J,"ITS")</f>
        <v>0</v>
      </c>
      <c r="DA41" s="55">
        <f>SUMIFS('Disbursements Summary'!$E:$E,'Disbursements Summary'!$C:$C,$C41,'Disbursements Summary'!$A:$A,"ITS")</f>
        <v>0</v>
      </c>
      <c r="DB41" s="55">
        <f>SUMIFS('Awards Summary'!$H:$H,'Awards Summary'!$B:$B,$C41,'Awards Summary'!$J:$J,"JAVITS")</f>
        <v>0</v>
      </c>
      <c r="DC41" s="55">
        <f>SUMIFS('Disbursements Summary'!$E:$E,'Disbursements Summary'!$C:$C,$C41,'Disbursements Summary'!$A:$A,"JAVITS")</f>
        <v>0</v>
      </c>
      <c r="DD41" s="55">
        <f>SUMIFS('Awards Summary'!$H:$H,'Awards Summary'!$B:$B,$C41,'Awards Summary'!$J:$J,"JCOPE")</f>
        <v>0</v>
      </c>
      <c r="DE41" s="55">
        <f>SUMIFS('Disbursements Summary'!$E:$E,'Disbursements Summary'!$C:$C,$C41,'Disbursements Summary'!$A:$A,"JCOPE")</f>
        <v>0</v>
      </c>
      <c r="DF41" s="55">
        <f>SUMIFS('Awards Summary'!$H:$H,'Awards Summary'!$B:$B,$C41,'Awards Summary'!$J:$J,"JUSTICE")</f>
        <v>0</v>
      </c>
      <c r="DG41" s="55">
        <f>SUMIFS('Disbursements Summary'!$E:$E,'Disbursements Summary'!$C:$C,$C41,'Disbursements Summary'!$A:$A,"JUSTICE")</f>
        <v>0</v>
      </c>
      <c r="DH41" s="55">
        <f>SUMIFS('Awards Summary'!$H:$H,'Awards Summary'!$B:$B,$C41,'Awards Summary'!$J:$J,"LCWSA")</f>
        <v>0</v>
      </c>
      <c r="DI41" s="55">
        <f>SUMIFS('Disbursements Summary'!$E:$E,'Disbursements Summary'!$C:$C,$C41,'Disbursements Summary'!$A:$A,"LCWSA")</f>
        <v>0</v>
      </c>
      <c r="DJ41" s="55">
        <f>SUMIFS('Awards Summary'!$H:$H,'Awards Summary'!$B:$B,$C41,'Awards Summary'!$J:$J,"LIPA")</f>
        <v>0</v>
      </c>
      <c r="DK41" s="55">
        <f>SUMIFS('Disbursements Summary'!$E:$E,'Disbursements Summary'!$C:$C,$C41,'Disbursements Summary'!$A:$A,"LIPA")</f>
        <v>0</v>
      </c>
      <c r="DL41" s="55">
        <f>SUMIFS('Awards Summary'!$H:$H,'Awards Summary'!$B:$B,$C41,'Awards Summary'!$J:$J,"MTA")</f>
        <v>0</v>
      </c>
      <c r="DM41" s="55">
        <f>SUMIFS('Disbursements Summary'!$E:$E,'Disbursements Summary'!$C:$C,$C41,'Disbursements Summary'!$A:$A,"MTA")</f>
        <v>0</v>
      </c>
      <c r="DN41" s="55">
        <f>SUMIFS('Awards Summary'!$H:$H,'Awards Summary'!$B:$B,$C41,'Awards Summary'!$J:$J,"NIFA")</f>
        <v>0</v>
      </c>
      <c r="DO41" s="55">
        <f>SUMIFS('Disbursements Summary'!$E:$E,'Disbursements Summary'!$C:$C,$C41,'Disbursements Summary'!$A:$A,"NIFA")</f>
        <v>0</v>
      </c>
      <c r="DP41" s="55">
        <f>SUMIFS('Awards Summary'!$H:$H,'Awards Summary'!$B:$B,$C41,'Awards Summary'!$J:$J,"NHCC")</f>
        <v>0</v>
      </c>
      <c r="DQ41" s="55">
        <f>SUMIFS('Disbursements Summary'!$E:$E,'Disbursements Summary'!$C:$C,$C41,'Disbursements Summary'!$A:$A,"NHCC")</f>
        <v>0</v>
      </c>
      <c r="DR41" s="55">
        <f>SUMIFS('Awards Summary'!$H:$H,'Awards Summary'!$B:$B,$C41,'Awards Summary'!$J:$J,"NHT")</f>
        <v>0</v>
      </c>
      <c r="DS41" s="55">
        <f>SUMIFS('Disbursements Summary'!$E:$E,'Disbursements Summary'!$C:$C,$C41,'Disbursements Summary'!$A:$A,"NHT")</f>
        <v>0</v>
      </c>
      <c r="DT41" s="55">
        <f>SUMIFS('Awards Summary'!$H:$H,'Awards Summary'!$B:$B,$C41,'Awards Summary'!$J:$J,"NYPA")</f>
        <v>0</v>
      </c>
      <c r="DU41" s="55">
        <f>SUMIFS('Disbursements Summary'!$E:$E,'Disbursements Summary'!$C:$C,$C41,'Disbursements Summary'!$A:$A,"NYPA")</f>
        <v>0</v>
      </c>
      <c r="DV41" s="55">
        <f>SUMIFS('Awards Summary'!$H:$H,'Awards Summary'!$B:$B,$C41,'Awards Summary'!$J:$J,"NYSBA")</f>
        <v>0</v>
      </c>
      <c r="DW41" s="55">
        <f>SUMIFS('Disbursements Summary'!$E:$E,'Disbursements Summary'!$C:$C,$C41,'Disbursements Summary'!$A:$A,"NYSBA")</f>
        <v>0</v>
      </c>
      <c r="DX41" s="55">
        <f>SUMIFS('Awards Summary'!$H:$H,'Awards Summary'!$B:$B,$C41,'Awards Summary'!$J:$J,"NYSERDA")</f>
        <v>0</v>
      </c>
      <c r="DY41" s="55">
        <f>SUMIFS('Disbursements Summary'!$E:$E,'Disbursements Summary'!$C:$C,$C41,'Disbursements Summary'!$A:$A,"NYSERDA")</f>
        <v>0</v>
      </c>
      <c r="DZ41" s="55">
        <f>SUMIFS('Awards Summary'!$H:$H,'Awards Summary'!$B:$B,$C41,'Awards Summary'!$J:$J,"DHCR")</f>
        <v>0</v>
      </c>
      <c r="EA41" s="55">
        <f>SUMIFS('Disbursements Summary'!$E:$E,'Disbursements Summary'!$C:$C,$C41,'Disbursements Summary'!$A:$A,"DHCR")</f>
        <v>0</v>
      </c>
      <c r="EB41" s="55">
        <f>SUMIFS('Awards Summary'!$H:$H,'Awards Summary'!$B:$B,$C41,'Awards Summary'!$J:$J,"HFA")</f>
        <v>0</v>
      </c>
      <c r="EC41" s="55">
        <f>SUMIFS('Disbursements Summary'!$E:$E,'Disbursements Summary'!$C:$C,$C41,'Disbursements Summary'!$A:$A,"HFA")</f>
        <v>0</v>
      </c>
      <c r="ED41" s="55">
        <f>SUMIFS('Awards Summary'!$H:$H,'Awards Summary'!$B:$B,$C41,'Awards Summary'!$J:$J,"NYSIF")</f>
        <v>0</v>
      </c>
      <c r="EE41" s="55">
        <f>SUMIFS('Disbursements Summary'!$E:$E,'Disbursements Summary'!$C:$C,$C41,'Disbursements Summary'!$A:$A,"NYSIF")</f>
        <v>0</v>
      </c>
      <c r="EF41" s="55">
        <f>SUMIFS('Awards Summary'!$H:$H,'Awards Summary'!$B:$B,$C41,'Awards Summary'!$J:$J,"NYBREDS")</f>
        <v>0</v>
      </c>
      <c r="EG41" s="55">
        <f>SUMIFS('Disbursements Summary'!$E:$E,'Disbursements Summary'!$C:$C,$C41,'Disbursements Summary'!$A:$A,"NYBREDS")</f>
        <v>0</v>
      </c>
      <c r="EH41" s="55">
        <f>SUMIFS('Awards Summary'!$H:$H,'Awards Summary'!$B:$B,$C41,'Awards Summary'!$J:$J,"NYSTA")</f>
        <v>0</v>
      </c>
      <c r="EI41" s="55">
        <f>SUMIFS('Disbursements Summary'!$E:$E,'Disbursements Summary'!$C:$C,$C41,'Disbursements Summary'!$A:$A,"NYSTA")</f>
        <v>0</v>
      </c>
      <c r="EJ41" s="55">
        <f>SUMIFS('Awards Summary'!$H:$H,'Awards Summary'!$B:$B,$C41,'Awards Summary'!$J:$J,"NFWB")</f>
        <v>0</v>
      </c>
      <c r="EK41" s="55">
        <f>SUMIFS('Disbursements Summary'!$E:$E,'Disbursements Summary'!$C:$C,$C41,'Disbursements Summary'!$A:$A,"NFWB")</f>
        <v>0</v>
      </c>
      <c r="EL41" s="55">
        <f>SUMIFS('Awards Summary'!$H:$H,'Awards Summary'!$B:$B,$C41,'Awards Summary'!$J:$J,"NFTA")</f>
        <v>0</v>
      </c>
      <c r="EM41" s="55">
        <f>SUMIFS('Disbursements Summary'!$E:$E,'Disbursements Summary'!$C:$C,$C41,'Disbursements Summary'!$A:$A,"NFTA")</f>
        <v>0</v>
      </c>
      <c r="EN41" s="55">
        <f>SUMIFS('Awards Summary'!$H:$H,'Awards Summary'!$B:$B,$C41,'Awards Summary'!$J:$J,"OPWDD")</f>
        <v>0</v>
      </c>
      <c r="EO41" s="55">
        <f>SUMIFS('Disbursements Summary'!$E:$E,'Disbursements Summary'!$C:$C,$C41,'Disbursements Summary'!$A:$A,"OPWDD")</f>
        <v>0</v>
      </c>
      <c r="EP41" s="55">
        <f>SUMIFS('Awards Summary'!$H:$H,'Awards Summary'!$B:$B,$C41,'Awards Summary'!$J:$J,"AGING")</f>
        <v>0</v>
      </c>
      <c r="EQ41" s="55">
        <f>SUMIFS('Disbursements Summary'!$E:$E,'Disbursements Summary'!$C:$C,$C41,'Disbursements Summary'!$A:$A,"AGING")</f>
        <v>0</v>
      </c>
      <c r="ER41" s="55">
        <f>SUMIFS('Awards Summary'!$H:$H,'Awards Summary'!$B:$B,$C41,'Awards Summary'!$J:$J,"OPDV")</f>
        <v>0</v>
      </c>
      <c r="ES41" s="55">
        <f>SUMIFS('Disbursements Summary'!$E:$E,'Disbursements Summary'!$C:$C,$C41,'Disbursements Summary'!$A:$A,"OPDV")</f>
        <v>0</v>
      </c>
      <c r="ET41" s="55">
        <f>SUMIFS('Awards Summary'!$H:$H,'Awards Summary'!$B:$B,$C41,'Awards Summary'!$J:$J,"OVS")</f>
        <v>0</v>
      </c>
      <c r="EU41" s="55">
        <f>SUMIFS('Disbursements Summary'!$E:$E,'Disbursements Summary'!$C:$C,$C41,'Disbursements Summary'!$A:$A,"OVS")</f>
        <v>0</v>
      </c>
      <c r="EV41" s="55">
        <f>SUMIFS('Awards Summary'!$H:$H,'Awards Summary'!$B:$B,$C41,'Awards Summary'!$J:$J,"OASAS")</f>
        <v>0</v>
      </c>
      <c r="EW41" s="55">
        <f>SUMIFS('Disbursements Summary'!$E:$E,'Disbursements Summary'!$C:$C,$C41,'Disbursements Summary'!$A:$A,"OASAS")</f>
        <v>0</v>
      </c>
      <c r="EX41" s="55">
        <f>SUMIFS('Awards Summary'!$H:$H,'Awards Summary'!$B:$B,$C41,'Awards Summary'!$J:$J,"OCFS")</f>
        <v>0</v>
      </c>
      <c r="EY41" s="55">
        <f>SUMIFS('Disbursements Summary'!$E:$E,'Disbursements Summary'!$C:$C,$C41,'Disbursements Summary'!$A:$A,"OCFS")</f>
        <v>0</v>
      </c>
      <c r="EZ41" s="55">
        <f>SUMIFS('Awards Summary'!$H:$H,'Awards Summary'!$B:$B,$C41,'Awards Summary'!$J:$J,"OGS")</f>
        <v>0</v>
      </c>
      <c r="FA41" s="55">
        <f>SUMIFS('Disbursements Summary'!$E:$E,'Disbursements Summary'!$C:$C,$C41,'Disbursements Summary'!$A:$A,"OGS")</f>
        <v>0</v>
      </c>
      <c r="FB41" s="55">
        <f>SUMIFS('Awards Summary'!$H:$H,'Awards Summary'!$B:$B,$C41,'Awards Summary'!$J:$J,"OMH")</f>
        <v>0</v>
      </c>
      <c r="FC41" s="55">
        <f>SUMIFS('Disbursements Summary'!$E:$E,'Disbursements Summary'!$C:$C,$C41,'Disbursements Summary'!$A:$A,"OMH")</f>
        <v>0</v>
      </c>
      <c r="FD41" s="55">
        <f>SUMIFS('Awards Summary'!$H:$H,'Awards Summary'!$B:$B,$C41,'Awards Summary'!$J:$J,"PARKS")</f>
        <v>0</v>
      </c>
      <c r="FE41" s="55">
        <f>SUMIFS('Disbursements Summary'!$E:$E,'Disbursements Summary'!$C:$C,$C41,'Disbursements Summary'!$A:$A,"PARKS")</f>
        <v>0</v>
      </c>
      <c r="FF41" s="55">
        <f>SUMIFS('Awards Summary'!$H:$H,'Awards Summary'!$B:$B,$C41,'Awards Summary'!$J:$J,"OTDA")</f>
        <v>0</v>
      </c>
      <c r="FG41" s="55">
        <f>SUMIFS('Disbursements Summary'!$E:$E,'Disbursements Summary'!$C:$C,$C41,'Disbursements Summary'!$A:$A,"OTDA")</f>
        <v>0</v>
      </c>
      <c r="FH41" s="55">
        <f>SUMIFS('Awards Summary'!$H:$H,'Awards Summary'!$B:$B,$C41,'Awards Summary'!$J:$J,"OIG")</f>
        <v>0</v>
      </c>
      <c r="FI41" s="55">
        <f>SUMIFS('Disbursements Summary'!$E:$E,'Disbursements Summary'!$C:$C,$C41,'Disbursements Summary'!$A:$A,"OIG")</f>
        <v>0</v>
      </c>
      <c r="FJ41" s="55">
        <f>SUMIFS('Awards Summary'!$H:$H,'Awards Summary'!$B:$B,$C41,'Awards Summary'!$J:$J,"OMIG")</f>
        <v>0</v>
      </c>
      <c r="FK41" s="55">
        <f>SUMIFS('Disbursements Summary'!$E:$E,'Disbursements Summary'!$C:$C,$C41,'Disbursements Summary'!$A:$A,"OMIG")</f>
        <v>0</v>
      </c>
      <c r="FL41" s="55">
        <f>SUMIFS('Awards Summary'!$H:$H,'Awards Summary'!$B:$B,$C41,'Awards Summary'!$J:$J,"OSC")</f>
        <v>0</v>
      </c>
      <c r="FM41" s="55">
        <f>SUMIFS('Disbursements Summary'!$E:$E,'Disbursements Summary'!$C:$C,$C41,'Disbursements Summary'!$A:$A,"OSC")</f>
        <v>0</v>
      </c>
      <c r="FN41" s="55">
        <f>SUMIFS('Awards Summary'!$H:$H,'Awards Summary'!$B:$B,$C41,'Awards Summary'!$J:$J,"OWIG")</f>
        <v>0</v>
      </c>
      <c r="FO41" s="55">
        <f>SUMIFS('Disbursements Summary'!$E:$E,'Disbursements Summary'!$C:$C,$C41,'Disbursements Summary'!$A:$A,"OWIG")</f>
        <v>0</v>
      </c>
      <c r="FP41" s="55">
        <f>SUMIFS('Awards Summary'!$H:$H,'Awards Summary'!$B:$B,$C41,'Awards Summary'!$J:$J,"OGDEN")</f>
        <v>0</v>
      </c>
      <c r="FQ41" s="55">
        <f>SUMIFS('Disbursements Summary'!$E:$E,'Disbursements Summary'!$C:$C,$C41,'Disbursements Summary'!$A:$A,"OGDEN")</f>
        <v>0</v>
      </c>
      <c r="FR41" s="55">
        <f>SUMIFS('Awards Summary'!$H:$H,'Awards Summary'!$B:$B,$C41,'Awards Summary'!$J:$J,"ORDA")</f>
        <v>0</v>
      </c>
      <c r="FS41" s="55">
        <f>SUMIFS('Disbursements Summary'!$E:$E,'Disbursements Summary'!$C:$C,$C41,'Disbursements Summary'!$A:$A,"ORDA")</f>
        <v>0</v>
      </c>
      <c r="FT41" s="55">
        <f>SUMIFS('Awards Summary'!$H:$H,'Awards Summary'!$B:$B,$C41,'Awards Summary'!$J:$J,"OSWEGO")</f>
        <v>0</v>
      </c>
      <c r="FU41" s="55">
        <f>SUMIFS('Disbursements Summary'!$E:$E,'Disbursements Summary'!$C:$C,$C41,'Disbursements Summary'!$A:$A,"OSWEGO")</f>
        <v>0</v>
      </c>
      <c r="FV41" s="55">
        <f>SUMIFS('Awards Summary'!$H:$H,'Awards Summary'!$B:$B,$C41,'Awards Summary'!$J:$J,"PERB")</f>
        <v>0</v>
      </c>
      <c r="FW41" s="55">
        <f>SUMIFS('Disbursements Summary'!$E:$E,'Disbursements Summary'!$C:$C,$C41,'Disbursements Summary'!$A:$A,"PERB")</f>
        <v>0</v>
      </c>
      <c r="FX41" s="55">
        <f>SUMIFS('Awards Summary'!$H:$H,'Awards Summary'!$B:$B,$C41,'Awards Summary'!$J:$J,"RGRTA")</f>
        <v>0</v>
      </c>
      <c r="FY41" s="55">
        <f>SUMIFS('Disbursements Summary'!$E:$E,'Disbursements Summary'!$C:$C,$C41,'Disbursements Summary'!$A:$A,"RGRTA")</f>
        <v>0</v>
      </c>
      <c r="FZ41" s="55">
        <f>SUMIFS('Awards Summary'!$H:$H,'Awards Summary'!$B:$B,$C41,'Awards Summary'!$J:$J,"RIOC")</f>
        <v>0</v>
      </c>
      <c r="GA41" s="55">
        <f>SUMIFS('Disbursements Summary'!$E:$E,'Disbursements Summary'!$C:$C,$C41,'Disbursements Summary'!$A:$A,"RIOC")</f>
        <v>0</v>
      </c>
      <c r="GB41" s="55">
        <f>SUMIFS('Awards Summary'!$H:$H,'Awards Summary'!$B:$B,$C41,'Awards Summary'!$J:$J,"RPCI")</f>
        <v>0</v>
      </c>
      <c r="GC41" s="55">
        <f>SUMIFS('Disbursements Summary'!$E:$E,'Disbursements Summary'!$C:$C,$C41,'Disbursements Summary'!$A:$A,"RPCI")</f>
        <v>0</v>
      </c>
      <c r="GD41" s="55">
        <f>SUMIFS('Awards Summary'!$H:$H,'Awards Summary'!$B:$B,$C41,'Awards Summary'!$J:$J,"SMDA")</f>
        <v>0</v>
      </c>
      <c r="GE41" s="55">
        <f>SUMIFS('Disbursements Summary'!$E:$E,'Disbursements Summary'!$C:$C,$C41,'Disbursements Summary'!$A:$A,"SMDA")</f>
        <v>0</v>
      </c>
      <c r="GF41" s="55">
        <f>SUMIFS('Awards Summary'!$H:$H,'Awards Summary'!$B:$B,$C41,'Awards Summary'!$J:$J,"SCOC")</f>
        <v>0</v>
      </c>
      <c r="GG41" s="55">
        <f>SUMIFS('Disbursements Summary'!$E:$E,'Disbursements Summary'!$C:$C,$C41,'Disbursements Summary'!$A:$A,"SCOC")</f>
        <v>0</v>
      </c>
      <c r="GH41" s="55">
        <f>SUMIFS('Awards Summary'!$H:$H,'Awards Summary'!$B:$B,$C41,'Awards Summary'!$J:$J,"SUCF")</f>
        <v>0</v>
      </c>
      <c r="GI41" s="55">
        <f>SUMIFS('Disbursements Summary'!$E:$E,'Disbursements Summary'!$C:$C,$C41,'Disbursements Summary'!$A:$A,"SUCF")</f>
        <v>0</v>
      </c>
      <c r="GJ41" s="55">
        <f>SUMIFS('Awards Summary'!$H:$H,'Awards Summary'!$B:$B,$C41,'Awards Summary'!$J:$J,"SUNY")</f>
        <v>0</v>
      </c>
      <c r="GK41" s="55">
        <f>SUMIFS('Disbursements Summary'!$E:$E,'Disbursements Summary'!$C:$C,$C41,'Disbursements Summary'!$A:$A,"SUNY")</f>
        <v>0</v>
      </c>
      <c r="GL41" s="55">
        <f>SUMIFS('Awards Summary'!$H:$H,'Awards Summary'!$B:$B,$C41,'Awards Summary'!$J:$J,"SRAA")</f>
        <v>0</v>
      </c>
      <c r="GM41" s="55">
        <f>SUMIFS('Disbursements Summary'!$E:$E,'Disbursements Summary'!$C:$C,$C41,'Disbursements Summary'!$A:$A,"SRAA")</f>
        <v>0</v>
      </c>
      <c r="GN41" s="55">
        <f>SUMIFS('Awards Summary'!$H:$H,'Awards Summary'!$B:$B,$C41,'Awards Summary'!$J:$J,"UNDC")</f>
        <v>0</v>
      </c>
      <c r="GO41" s="55">
        <f>SUMIFS('Disbursements Summary'!$E:$E,'Disbursements Summary'!$C:$C,$C41,'Disbursements Summary'!$A:$A,"UNDC")</f>
        <v>0</v>
      </c>
      <c r="GP41" s="55">
        <f>SUMIFS('Awards Summary'!$H:$H,'Awards Summary'!$B:$B,$C41,'Awards Summary'!$J:$J,"MVWA")</f>
        <v>0</v>
      </c>
      <c r="GQ41" s="55">
        <f>SUMIFS('Disbursements Summary'!$E:$E,'Disbursements Summary'!$C:$C,$C41,'Disbursements Summary'!$A:$A,"MVWA")</f>
        <v>0</v>
      </c>
      <c r="GR41" s="55">
        <f>SUMIFS('Awards Summary'!$H:$H,'Awards Summary'!$B:$B,$C41,'Awards Summary'!$J:$J,"WMC")</f>
        <v>0</v>
      </c>
      <c r="GS41" s="55">
        <f>SUMIFS('Disbursements Summary'!$E:$E,'Disbursements Summary'!$C:$C,$C41,'Disbursements Summary'!$A:$A,"WMC")</f>
        <v>0</v>
      </c>
      <c r="GT41" s="55">
        <f>SUMIFS('Awards Summary'!$H:$H,'Awards Summary'!$B:$B,$C41,'Awards Summary'!$J:$J,"WCB")</f>
        <v>0</v>
      </c>
      <c r="GU41" s="55">
        <f>SUMIFS('Disbursements Summary'!$E:$E,'Disbursements Summary'!$C:$C,$C41,'Disbursements Summary'!$A:$A,"WCB")</f>
        <v>0</v>
      </c>
      <c r="GV41" s="32">
        <f t="shared" si="5"/>
        <v>0</v>
      </c>
      <c r="GW41" s="32">
        <f t="shared" si="6"/>
        <v>0</v>
      </c>
      <c r="GX41" s="30" t="b">
        <f t="shared" si="7"/>
        <v>1</v>
      </c>
      <c r="GY41" s="30" t="b">
        <f t="shared" si="8"/>
        <v>1</v>
      </c>
    </row>
    <row r="42" spans="1:207" s="30" customFormat="1">
      <c r="A42" s="22" t="str">
        <f t="shared" si="0"/>
        <v/>
      </c>
      <c r="B42" s="40" t="s">
        <v>45</v>
      </c>
      <c r="C42" s="16">
        <v>141072</v>
      </c>
      <c r="D42" s="26">
        <f>COUNTIF('Awards Summary'!B:B,"141072")</f>
        <v>0</v>
      </c>
      <c r="E42" s="45">
        <f>SUMIFS('Awards Summary'!H:H,'Awards Summary'!B:B,"141072")</f>
        <v>0</v>
      </c>
      <c r="F42" s="46">
        <f>SUMIFS('Disbursements Summary'!E:E,'Disbursements Summary'!C:C, "141072")</f>
        <v>0</v>
      </c>
      <c r="H42" s="55">
        <f>SUMIFS('Awards Summary'!$H:$H,'Awards Summary'!$B:$B,$C42,'Awards Summary'!$J:$J,"APA")</f>
        <v>0</v>
      </c>
      <c r="I42" s="55">
        <f>SUMIFS('Disbursements Summary'!$E:$E,'Disbursements Summary'!$C:$C,$C42,'Disbursements Summary'!$A:$A,"APA")</f>
        <v>0</v>
      </c>
      <c r="J42" s="55">
        <f>SUMIFS('Awards Summary'!$H:$H,'Awards Summary'!$B:$B,$C42,'Awards Summary'!$J:$J,"Ag&amp;Horse")</f>
        <v>0</v>
      </c>
      <c r="K42" s="55">
        <f>SUMIFS('Disbursements Summary'!$E:$E,'Disbursements Summary'!$C:$C,$C42,'Disbursements Summary'!$A:$A,"Ag&amp;Horse")</f>
        <v>0</v>
      </c>
      <c r="L42" s="55">
        <f>SUMIFS('Awards Summary'!$H:$H,'Awards Summary'!$B:$B,$C42,'Awards Summary'!$J:$J,"ACAA")</f>
        <v>0</v>
      </c>
      <c r="M42" s="55">
        <f>SUMIFS('Disbursements Summary'!$E:$E,'Disbursements Summary'!$C:$C,$C42,'Disbursements Summary'!$A:$A,"ACAA")</f>
        <v>0</v>
      </c>
      <c r="N42" s="55">
        <f>SUMIFS('Awards Summary'!$H:$H,'Awards Summary'!$B:$B,$C42,'Awards Summary'!$J:$J,"PortAlbany")</f>
        <v>0</v>
      </c>
      <c r="O42" s="55">
        <f>SUMIFS('Disbursements Summary'!$E:$E,'Disbursements Summary'!$C:$C,$C42,'Disbursements Summary'!$A:$A,"PortAlbany")</f>
        <v>0</v>
      </c>
      <c r="P42" s="55">
        <f>SUMIFS('Awards Summary'!$H:$H,'Awards Summary'!$B:$B,$C42,'Awards Summary'!$J:$J,"SLA")</f>
        <v>0</v>
      </c>
      <c r="Q42" s="55">
        <f>SUMIFS('Disbursements Summary'!$E:$E,'Disbursements Summary'!$C:$C,$C42,'Disbursements Summary'!$A:$A,"SLA")</f>
        <v>0</v>
      </c>
      <c r="R42" s="55">
        <f>SUMIFS('Awards Summary'!$H:$H,'Awards Summary'!$B:$B,$C42,'Awards Summary'!$J:$J,"BPCA")</f>
        <v>0</v>
      </c>
      <c r="S42" s="55">
        <f>SUMIFS('Disbursements Summary'!$E:$E,'Disbursements Summary'!$C:$C,$C42,'Disbursements Summary'!$A:$A,"BPCA")</f>
        <v>0</v>
      </c>
      <c r="T42" s="55">
        <f>SUMIFS('Awards Summary'!$H:$H,'Awards Summary'!$B:$B,$C42,'Awards Summary'!$J:$J,"ELECTIONS")</f>
        <v>0</v>
      </c>
      <c r="U42" s="55">
        <f>SUMIFS('Disbursements Summary'!$E:$E,'Disbursements Summary'!$C:$C,$C42,'Disbursements Summary'!$A:$A,"ELECTIONS")</f>
        <v>0</v>
      </c>
      <c r="V42" s="55">
        <f>SUMIFS('Awards Summary'!$H:$H,'Awards Summary'!$B:$B,$C42,'Awards Summary'!$J:$J,"BFSA")</f>
        <v>0</v>
      </c>
      <c r="W42" s="55">
        <f>SUMIFS('Disbursements Summary'!$E:$E,'Disbursements Summary'!$C:$C,$C42,'Disbursements Summary'!$A:$A,"BFSA")</f>
        <v>0</v>
      </c>
      <c r="X42" s="55">
        <f>SUMIFS('Awards Summary'!$H:$H,'Awards Summary'!$B:$B,$C42,'Awards Summary'!$J:$J,"CDTA")</f>
        <v>0</v>
      </c>
      <c r="Y42" s="55">
        <f>SUMIFS('Disbursements Summary'!$E:$E,'Disbursements Summary'!$C:$C,$C42,'Disbursements Summary'!$A:$A,"CDTA")</f>
        <v>0</v>
      </c>
      <c r="Z42" s="55">
        <f>SUMIFS('Awards Summary'!$H:$H,'Awards Summary'!$B:$B,$C42,'Awards Summary'!$J:$J,"CCWSA")</f>
        <v>0</v>
      </c>
      <c r="AA42" s="55">
        <f>SUMIFS('Disbursements Summary'!$E:$E,'Disbursements Summary'!$C:$C,$C42,'Disbursements Summary'!$A:$A,"CCWSA")</f>
        <v>0</v>
      </c>
      <c r="AB42" s="55">
        <f>SUMIFS('Awards Summary'!$H:$H,'Awards Summary'!$B:$B,$C42,'Awards Summary'!$J:$J,"CNYRTA")</f>
        <v>0</v>
      </c>
      <c r="AC42" s="55">
        <f>SUMIFS('Disbursements Summary'!$E:$E,'Disbursements Summary'!$C:$C,$C42,'Disbursements Summary'!$A:$A,"CNYRTA")</f>
        <v>0</v>
      </c>
      <c r="AD42" s="55">
        <f>SUMIFS('Awards Summary'!$H:$H,'Awards Summary'!$B:$B,$C42,'Awards Summary'!$J:$J,"CUCF")</f>
        <v>0</v>
      </c>
      <c r="AE42" s="55">
        <f>SUMIFS('Disbursements Summary'!$E:$E,'Disbursements Summary'!$C:$C,$C42,'Disbursements Summary'!$A:$A,"CUCF")</f>
        <v>0</v>
      </c>
      <c r="AF42" s="55">
        <f>SUMIFS('Awards Summary'!$H:$H,'Awards Summary'!$B:$B,$C42,'Awards Summary'!$J:$J,"CUNY")</f>
        <v>0</v>
      </c>
      <c r="AG42" s="55">
        <f>SUMIFS('Disbursements Summary'!$E:$E,'Disbursements Summary'!$C:$C,$C42,'Disbursements Summary'!$A:$A,"CUNY")</f>
        <v>0</v>
      </c>
      <c r="AH42" s="55">
        <f>SUMIFS('Awards Summary'!$H:$H,'Awards Summary'!$B:$B,$C42,'Awards Summary'!$J:$J,"ARTS")</f>
        <v>0</v>
      </c>
      <c r="AI42" s="55">
        <f>SUMIFS('Disbursements Summary'!$E:$E,'Disbursements Summary'!$C:$C,$C42,'Disbursements Summary'!$A:$A,"ARTS")</f>
        <v>0</v>
      </c>
      <c r="AJ42" s="55">
        <f>SUMIFS('Awards Summary'!$H:$H,'Awards Summary'!$B:$B,$C42,'Awards Summary'!$J:$J,"AG&amp;MKTS")</f>
        <v>0</v>
      </c>
      <c r="AK42" s="55">
        <f>SUMIFS('Disbursements Summary'!$E:$E,'Disbursements Summary'!$C:$C,$C42,'Disbursements Summary'!$A:$A,"AG&amp;MKTS")</f>
        <v>0</v>
      </c>
      <c r="AL42" s="55">
        <f>SUMIFS('Awards Summary'!$H:$H,'Awards Summary'!$B:$B,$C42,'Awards Summary'!$J:$J,"CS")</f>
        <v>0</v>
      </c>
      <c r="AM42" s="55">
        <f>SUMIFS('Disbursements Summary'!$E:$E,'Disbursements Summary'!$C:$C,$C42,'Disbursements Summary'!$A:$A,"CS")</f>
        <v>0</v>
      </c>
      <c r="AN42" s="55">
        <f>SUMIFS('Awards Summary'!$H:$H,'Awards Summary'!$B:$B,$C42,'Awards Summary'!$J:$J,"DOCCS")</f>
        <v>0</v>
      </c>
      <c r="AO42" s="55">
        <f>SUMIFS('Disbursements Summary'!$E:$E,'Disbursements Summary'!$C:$C,$C42,'Disbursements Summary'!$A:$A,"DOCCS")</f>
        <v>0</v>
      </c>
      <c r="AP42" s="55">
        <f>SUMIFS('Awards Summary'!$H:$H,'Awards Summary'!$B:$B,$C42,'Awards Summary'!$J:$J,"DED")</f>
        <v>0</v>
      </c>
      <c r="AQ42" s="55">
        <f>SUMIFS('Disbursements Summary'!$E:$E,'Disbursements Summary'!$C:$C,$C42,'Disbursements Summary'!$A:$A,"DED")</f>
        <v>0</v>
      </c>
      <c r="AR42" s="55">
        <f>SUMIFS('Awards Summary'!$H:$H,'Awards Summary'!$B:$B,$C42,'Awards Summary'!$J:$J,"DEC")</f>
        <v>0</v>
      </c>
      <c r="AS42" s="55">
        <f>SUMIFS('Disbursements Summary'!$E:$E,'Disbursements Summary'!$C:$C,$C42,'Disbursements Summary'!$A:$A,"DEC")</f>
        <v>0</v>
      </c>
      <c r="AT42" s="55">
        <f>SUMIFS('Awards Summary'!$H:$H,'Awards Summary'!$B:$B,$C42,'Awards Summary'!$J:$J,"DFS")</f>
        <v>0</v>
      </c>
      <c r="AU42" s="55">
        <f>SUMIFS('Disbursements Summary'!$E:$E,'Disbursements Summary'!$C:$C,$C42,'Disbursements Summary'!$A:$A,"DFS")</f>
        <v>0</v>
      </c>
      <c r="AV42" s="55">
        <f>SUMIFS('Awards Summary'!$H:$H,'Awards Summary'!$B:$B,$C42,'Awards Summary'!$J:$J,"DOH")</f>
        <v>0</v>
      </c>
      <c r="AW42" s="55">
        <f>SUMIFS('Disbursements Summary'!$E:$E,'Disbursements Summary'!$C:$C,$C42,'Disbursements Summary'!$A:$A,"DOH")</f>
        <v>0</v>
      </c>
      <c r="AX42" s="55">
        <f>SUMIFS('Awards Summary'!$H:$H,'Awards Summary'!$B:$B,$C42,'Awards Summary'!$J:$J,"DOL")</f>
        <v>0</v>
      </c>
      <c r="AY42" s="55">
        <f>SUMIFS('Disbursements Summary'!$E:$E,'Disbursements Summary'!$C:$C,$C42,'Disbursements Summary'!$A:$A,"DOL")</f>
        <v>0</v>
      </c>
      <c r="AZ42" s="55">
        <f>SUMIFS('Awards Summary'!$H:$H,'Awards Summary'!$B:$B,$C42,'Awards Summary'!$J:$J,"DMV")</f>
        <v>0</v>
      </c>
      <c r="BA42" s="55">
        <f>SUMIFS('Disbursements Summary'!$E:$E,'Disbursements Summary'!$C:$C,$C42,'Disbursements Summary'!$A:$A,"DMV")</f>
        <v>0</v>
      </c>
      <c r="BB42" s="55">
        <f>SUMIFS('Awards Summary'!$H:$H,'Awards Summary'!$B:$B,$C42,'Awards Summary'!$J:$J,"DPS")</f>
        <v>0</v>
      </c>
      <c r="BC42" s="55">
        <f>SUMIFS('Disbursements Summary'!$E:$E,'Disbursements Summary'!$C:$C,$C42,'Disbursements Summary'!$A:$A,"DPS")</f>
        <v>0</v>
      </c>
      <c r="BD42" s="55">
        <f>SUMIFS('Awards Summary'!$H:$H,'Awards Summary'!$B:$B,$C42,'Awards Summary'!$J:$J,"DOS")</f>
        <v>0</v>
      </c>
      <c r="BE42" s="55">
        <f>SUMIFS('Disbursements Summary'!$E:$E,'Disbursements Summary'!$C:$C,$C42,'Disbursements Summary'!$A:$A,"DOS")</f>
        <v>0</v>
      </c>
      <c r="BF42" s="55">
        <f>SUMIFS('Awards Summary'!$H:$H,'Awards Summary'!$B:$B,$C42,'Awards Summary'!$J:$J,"TAX")</f>
        <v>0</v>
      </c>
      <c r="BG42" s="55">
        <f>SUMIFS('Disbursements Summary'!$E:$E,'Disbursements Summary'!$C:$C,$C42,'Disbursements Summary'!$A:$A,"TAX")</f>
        <v>0</v>
      </c>
      <c r="BH42" s="55">
        <f>SUMIFS('Awards Summary'!$H:$H,'Awards Summary'!$B:$B,$C42,'Awards Summary'!$J:$J,"DOT")</f>
        <v>0</v>
      </c>
      <c r="BI42" s="55">
        <f>SUMIFS('Disbursements Summary'!$E:$E,'Disbursements Summary'!$C:$C,$C42,'Disbursements Summary'!$A:$A,"DOT")</f>
        <v>0</v>
      </c>
      <c r="BJ42" s="55">
        <f>SUMIFS('Awards Summary'!$H:$H,'Awards Summary'!$B:$B,$C42,'Awards Summary'!$J:$J,"DANC")</f>
        <v>0</v>
      </c>
      <c r="BK42" s="55">
        <f>SUMIFS('Disbursements Summary'!$E:$E,'Disbursements Summary'!$C:$C,$C42,'Disbursements Summary'!$A:$A,"DANC")</f>
        <v>0</v>
      </c>
      <c r="BL42" s="55">
        <f>SUMIFS('Awards Summary'!$H:$H,'Awards Summary'!$B:$B,$C42,'Awards Summary'!$J:$J,"DOB")</f>
        <v>0</v>
      </c>
      <c r="BM42" s="55">
        <f>SUMIFS('Disbursements Summary'!$E:$E,'Disbursements Summary'!$C:$C,$C42,'Disbursements Summary'!$A:$A,"DOB")</f>
        <v>0</v>
      </c>
      <c r="BN42" s="55">
        <f>SUMIFS('Awards Summary'!$H:$H,'Awards Summary'!$B:$B,$C42,'Awards Summary'!$J:$J,"DCJS")</f>
        <v>0</v>
      </c>
      <c r="BO42" s="55">
        <f>SUMIFS('Disbursements Summary'!$E:$E,'Disbursements Summary'!$C:$C,$C42,'Disbursements Summary'!$A:$A,"DCJS")</f>
        <v>0</v>
      </c>
      <c r="BP42" s="55">
        <f>SUMIFS('Awards Summary'!$H:$H,'Awards Summary'!$B:$B,$C42,'Awards Summary'!$J:$J,"DHSES")</f>
        <v>0</v>
      </c>
      <c r="BQ42" s="55">
        <f>SUMIFS('Disbursements Summary'!$E:$E,'Disbursements Summary'!$C:$C,$C42,'Disbursements Summary'!$A:$A,"DHSES")</f>
        <v>0</v>
      </c>
      <c r="BR42" s="55">
        <f>SUMIFS('Awards Summary'!$H:$H,'Awards Summary'!$B:$B,$C42,'Awards Summary'!$J:$J,"DHR")</f>
        <v>0</v>
      </c>
      <c r="BS42" s="55">
        <f>SUMIFS('Disbursements Summary'!$E:$E,'Disbursements Summary'!$C:$C,$C42,'Disbursements Summary'!$A:$A,"DHR")</f>
        <v>0</v>
      </c>
      <c r="BT42" s="55">
        <f>SUMIFS('Awards Summary'!$H:$H,'Awards Summary'!$B:$B,$C42,'Awards Summary'!$J:$J,"DMNA")</f>
        <v>0</v>
      </c>
      <c r="BU42" s="55">
        <f>SUMIFS('Disbursements Summary'!$E:$E,'Disbursements Summary'!$C:$C,$C42,'Disbursements Summary'!$A:$A,"DMNA")</f>
        <v>0</v>
      </c>
      <c r="BV42" s="55">
        <f>SUMIFS('Awards Summary'!$H:$H,'Awards Summary'!$B:$B,$C42,'Awards Summary'!$J:$J,"TROOPERS")</f>
        <v>0</v>
      </c>
      <c r="BW42" s="55">
        <f>SUMIFS('Disbursements Summary'!$E:$E,'Disbursements Summary'!$C:$C,$C42,'Disbursements Summary'!$A:$A,"TROOPERS")</f>
        <v>0</v>
      </c>
      <c r="BX42" s="55">
        <f>SUMIFS('Awards Summary'!$H:$H,'Awards Summary'!$B:$B,$C42,'Awards Summary'!$J:$J,"DVA")</f>
        <v>0</v>
      </c>
      <c r="BY42" s="55">
        <f>SUMIFS('Disbursements Summary'!$E:$E,'Disbursements Summary'!$C:$C,$C42,'Disbursements Summary'!$A:$A,"DVA")</f>
        <v>0</v>
      </c>
      <c r="BZ42" s="55">
        <f>SUMIFS('Awards Summary'!$H:$H,'Awards Summary'!$B:$B,$C42,'Awards Summary'!$J:$J,"DASNY")</f>
        <v>0</v>
      </c>
      <c r="CA42" s="55">
        <f>SUMIFS('Disbursements Summary'!$E:$E,'Disbursements Summary'!$C:$C,$C42,'Disbursements Summary'!$A:$A,"DASNY")</f>
        <v>0</v>
      </c>
      <c r="CB42" s="55">
        <f>SUMIFS('Awards Summary'!$H:$H,'Awards Summary'!$B:$B,$C42,'Awards Summary'!$J:$J,"EGG")</f>
        <v>0</v>
      </c>
      <c r="CC42" s="55">
        <f>SUMIFS('Disbursements Summary'!$E:$E,'Disbursements Summary'!$C:$C,$C42,'Disbursements Summary'!$A:$A,"EGG")</f>
        <v>0</v>
      </c>
      <c r="CD42" s="55">
        <f>SUMIFS('Awards Summary'!$H:$H,'Awards Summary'!$B:$B,$C42,'Awards Summary'!$J:$J,"ESD")</f>
        <v>0</v>
      </c>
      <c r="CE42" s="55">
        <f>SUMIFS('Disbursements Summary'!$E:$E,'Disbursements Summary'!$C:$C,$C42,'Disbursements Summary'!$A:$A,"ESD")</f>
        <v>0</v>
      </c>
      <c r="CF42" s="55">
        <f>SUMIFS('Awards Summary'!$H:$H,'Awards Summary'!$B:$B,$C42,'Awards Summary'!$J:$J,"EFC")</f>
        <v>0</v>
      </c>
      <c r="CG42" s="55">
        <f>SUMIFS('Disbursements Summary'!$E:$E,'Disbursements Summary'!$C:$C,$C42,'Disbursements Summary'!$A:$A,"EFC")</f>
        <v>0</v>
      </c>
      <c r="CH42" s="55">
        <f>SUMIFS('Awards Summary'!$H:$H,'Awards Summary'!$B:$B,$C42,'Awards Summary'!$J:$J,"ECFSA")</f>
        <v>0</v>
      </c>
      <c r="CI42" s="55">
        <f>SUMIFS('Disbursements Summary'!$E:$E,'Disbursements Summary'!$C:$C,$C42,'Disbursements Summary'!$A:$A,"ECFSA")</f>
        <v>0</v>
      </c>
      <c r="CJ42" s="55">
        <f>SUMIFS('Awards Summary'!$H:$H,'Awards Summary'!$B:$B,$C42,'Awards Summary'!$J:$J,"ECMC")</f>
        <v>0</v>
      </c>
      <c r="CK42" s="55">
        <f>SUMIFS('Disbursements Summary'!$E:$E,'Disbursements Summary'!$C:$C,$C42,'Disbursements Summary'!$A:$A,"ECMC")</f>
        <v>0</v>
      </c>
      <c r="CL42" s="55">
        <f>SUMIFS('Awards Summary'!$H:$H,'Awards Summary'!$B:$B,$C42,'Awards Summary'!$J:$J,"CHAMBER")</f>
        <v>0</v>
      </c>
      <c r="CM42" s="55">
        <f>SUMIFS('Disbursements Summary'!$E:$E,'Disbursements Summary'!$C:$C,$C42,'Disbursements Summary'!$A:$A,"CHAMBER")</f>
        <v>0</v>
      </c>
      <c r="CN42" s="55">
        <f>SUMIFS('Awards Summary'!$H:$H,'Awards Summary'!$B:$B,$C42,'Awards Summary'!$J:$J,"GAMING")</f>
        <v>0</v>
      </c>
      <c r="CO42" s="55">
        <f>SUMIFS('Disbursements Summary'!$E:$E,'Disbursements Summary'!$C:$C,$C42,'Disbursements Summary'!$A:$A,"GAMING")</f>
        <v>0</v>
      </c>
      <c r="CP42" s="55">
        <f>SUMIFS('Awards Summary'!$H:$H,'Awards Summary'!$B:$B,$C42,'Awards Summary'!$J:$J,"GOER")</f>
        <v>0</v>
      </c>
      <c r="CQ42" s="55">
        <f>SUMIFS('Disbursements Summary'!$E:$E,'Disbursements Summary'!$C:$C,$C42,'Disbursements Summary'!$A:$A,"GOER")</f>
        <v>0</v>
      </c>
      <c r="CR42" s="55">
        <f>SUMIFS('Awards Summary'!$H:$H,'Awards Summary'!$B:$B,$C42,'Awards Summary'!$J:$J,"HESC")</f>
        <v>0</v>
      </c>
      <c r="CS42" s="55">
        <f>SUMIFS('Disbursements Summary'!$E:$E,'Disbursements Summary'!$C:$C,$C42,'Disbursements Summary'!$A:$A,"HESC")</f>
        <v>0</v>
      </c>
      <c r="CT42" s="55">
        <f>SUMIFS('Awards Summary'!$H:$H,'Awards Summary'!$B:$B,$C42,'Awards Summary'!$J:$J,"GOSR")</f>
        <v>0</v>
      </c>
      <c r="CU42" s="55">
        <f>SUMIFS('Disbursements Summary'!$E:$E,'Disbursements Summary'!$C:$C,$C42,'Disbursements Summary'!$A:$A,"GOSR")</f>
        <v>0</v>
      </c>
      <c r="CV42" s="55">
        <f>SUMIFS('Awards Summary'!$H:$H,'Awards Summary'!$B:$B,$C42,'Awards Summary'!$J:$J,"HRPT")</f>
        <v>0</v>
      </c>
      <c r="CW42" s="55">
        <f>SUMIFS('Disbursements Summary'!$E:$E,'Disbursements Summary'!$C:$C,$C42,'Disbursements Summary'!$A:$A,"HRPT")</f>
        <v>0</v>
      </c>
      <c r="CX42" s="55">
        <f>SUMIFS('Awards Summary'!$H:$H,'Awards Summary'!$B:$B,$C42,'Awards Summary'!$J:$J,"HRBRRD")</f>
        <v>0</v>
      </c>
      <c r="CY42" s="55">
        <f>SUMIFS('Disbursements Summary'!$E:$E,'Disbursements Summary'!$C:$C,$C42,'Disbursements Summary'!$A:$A,"HRBRRD")</f>
        <v>0</v>
      </c>
      <c r="CZ42" s="55">
        <f>SUMIFS('Awards Summary'!$H:$H,'Awards Summary'!$B:$B,$C42,'Awards Summary'!$J:$J,"ITS")</f>
        <v>0</v>
      </c>
      <c r="DA42" s="55">
        <f>SUMIFS('Disbursements Summary'!$E:$E,'Disbursements Summary'!$C:$C,$C42,'Disbursements Summary'!$A:$A,"ITS")</f>
        <v>0</v>
      </c>
      <c r="DB42" s="55">
        <f>SUMIFS('Awards Summary'!$H:$H,'Awards Summary'!$B:$B,$C42,'Awards Summary'!$J:$J,"JAVITS")</f>
        <v>0</v>
      </c>
      <c r="DC42" s="55">
        <f>SUMIFS('Disbursements Summary'!$E:$E,'Disbursements Summary'!$C:$C,$C42,'Disbursements Summary'!$A:$A,"JAVITS")</f>
        <v>0</v>
      </c>
      <c r="DD42" s="55">
        <f>SUMIFS('Awards Summary'!$H:$H,'Awards Summary'!$B:$B,$C42,'Awards Summary'!$J:$J,"JCOPE")</f>
        <v>0</v>
      </c>
      <c r="DE42" s="55">
        <f>SUMIFS('Disbursements Summary'!$E:$E,'Disbursements Summary'!$C:$C,$C42,'Disbursements Summary'!$A:$A,"JCOPE")</f>
        <v>0</v>
      </c>
      <c r="DF42" s="55">
        <f>SUMIFS('Awards Summary'!$H:$H,'Awards Summary'!$B:$B,$C42,'Awards Summary'!$J:$J,"JUSTICE")</f>
        <v>0</v>
      </c>
      <c r="DG42" s="55">
        <f>SUMIFS('Disbursements Summary'!$E:$E,'Disbursements Summary'!$C:$C,$C42,'Disbursements Summary'!$A:$A,"JUSTICE")</f>
        <v>0</v>
      </c>
      <c r="DH42" s="55">
        <f>SUMIFS('Awards Summary'!$H:$H,'Awards Summary'!$B:$B,$C42,'Awards Summary'!$J:$J,"LCWSA")</f>
        <v>0</v>
      </c>
      <c r="DI42" s="55">
        <f>SUMIFS('Disbursements Summary'!$E:$E,'Disbursements Summary'!$C:$C,$C42,'Disbursements Summary'!$A:$A,"LCWSA")</f>
        <v>0</v>
      </c>
      <c r="DJ42" s="55">
        <f>SUMIFS('Awards Summary'!$H:$H,'Awards Summary'!$B:$B,$C42,'Awards Summary'!$J:$J,"LIPA")</f>
        <v>0</v>
      </c>
      <c r="DK42" s="55">
        <f>SUMIFS('Disbursements Summary'!$E:$E,'Disbursements Summary'!$C:$C,$C42,'Disbursements Summary'!$A:$A,"LIPA")</f>
        <v>0</v>
      </c>
      <c r="DL42" s="55">
        <f>SUMIFS('Awards Summary'!$H:$H,'Awards Summary'!$B:$B,$C42,'Awards Summary'!$J:$J,"MTA")</f>
        <v>0</v>
      </c>
      <c r="DM42" s="55">
        <f>SUMIFS('Disbursements Summary'!$E:$E,'Disbursements Summary'!$C:$C,$C42,'Disbursements Summary'!$A:$A,"MTA")</f>
        <v>0</v>
      </c>
      <c r="DN42" s="55">
        <f>SUMIFS('Awards Summary'!$H:$H,'Awards Summary'!$B:$B,$C42,'Awards Summary'!$J:$J,"NIFA")</f>
        <v>0</v>
      </c>
      <c r="DO42" s="55">
        <f>SUMIFS('Disbursements Summary'!$E:$E,'Disbursements Summary'!$C:$C,$C42,'Disbursements Summary'!$A:$A,"NIFA")</f>
        <v>0</v>
      </c>
      <c r="DP42" s="55">
        <f>SUMIFS('Awards Summary'!$H:$H,'Awards Summary'!$B:$B,$C42,'Awards Summary'!$J:$J,"NHCC")</f>
        <v>0</v>
      </c>
      <c r="DQ42" s="55">
        <f>SUMIFS('Disbursements Summary'!$E:$E,'Disbursements Summary'!$C:$C,$C42,'Disbursements Summary'!$A:$A,"NHCC")</f>
        <v>0</v>
      </c>
      <c r="DR42" s="55">
        <f>SUMIFS('Awards Summary'!$H:$H,'Awards Summary'!$B:$B,$C42,'Awards Summary'!$J:$J,"NHT")</f>
        <v>0</v>
      </c>
      <c r="DS42" s="55">
        <f>SUMIFS('Disbursements Summary'!$E:$E,'Disbursements Summary'!$C:$C,$C42,'Disbursements Summary'!$A:$A,"NHT")</f>
        <v>0</v>
      </c>
      <c r="DT42" s="55">
        <f>SUMIFS('Awards Summary'!$H:$H,'Awards Summary'!$B:$B,$C42,'Awards Summary'!$J:$J,"NYPA")</f>
        <v>0</v>
      </c>
      <c r="DU42" s="55">
        <f>SUMIFS('Disbursements Summary'!$E:$E,'Disbursements Summary'!$C:$C,$C42,'Disbursements Summary'!$A:$A,"NYPA")</f>
        <v>0</v>
      </c>
      <c r="DV42" s="55">
        <f>SUMIFS('Awards Summary'!$H:$H,'Awards Summary'!$B:$B,$C42,'Awards Summary'!$J:$J,"NYSBA")</f>
        <v>0</v>
      </c>
      <c r="DW42" s="55">
        <f>SUMIFS('Disbursements Summary'!$E:$E,'Disbursements Summary'!$C:$C,$C42,'Disbursements Summary'!$A:$A,"NYSBA")</f>
        <v>0</v>
      </c>
      <c r="DX42" s="55">
        <f>SUMIFS('Awards Summary'!$H:$H,'Awards Summary'!$B:$B,$C42,'Awards Summary'!$J:$J,"NYSERDA")</f>
        <v>0</v>
      </c>
      <c r="DY42" s="55">
        <f>SUMIFS('Disbursements Summary'!$E:$E,'Disbursements Summary'!$C:$C,$C42,'Disbursements Summary'!$A:$A,"NYSERDA")</f>
        <v>0</v>
      </c>
      <c r="DZ42" s="55">
        <f>SUMIFS('Awards Summary'!$H:$H,'Awards Summary'!$B:$B,$C42,'Awards Summary'!$J:$J,"DHCR")</f>
        <v>0</v>
      </c>
      <c r="EA42" s="55">
        <f>SUMIFS('Disbursements Summary'!$E:$E,'Disbursements Summary'!$C:$C,$C42,'Disbursements Summary'!$A:$A,"DHCR")</f>
        <v>0</v>
      </c>
      <c r="EB42" s="55">
        <f>SUMIFS('Awards Summary'!$H:$H,'Awards Summary'!$B:$B,$C42,'Awards Summary'!$J:$J,"HFA")</f>
        <v>0</v>
      </c>
      <c r="EC42" s="55">
        <f>SUMIFS('Disbursements Summary'!$E:$E,'Disbursements Summary'!$C:$C,$C42,'Disbursements Summary'!$A:$A,"HFA")</f>
        <v>0</v>
      </c>
      <c r="ED42" s="55">
        <f>SUMIFS('Awards Summary'!$H:$H,'Awards Summary'!$B:$B,$C42,'Awards Summary'!$J:$J,"NYSIF")</f>
        <v>0</v>
      </c>
      <c r="EE42" s="55">
        <f>SUMIFS('Disbursements Summary'!$E:$E,'Disbursements Summary'!$C:$C,$C42,'Disbursements Summary'!$A:$A,"NYSIF")</f>
        <v>0</v>
      </c>
      <c r="EF42" s="55">
        <f>SUMIFS('Awards Summary'!$H:$H,'Awards Summary'!$B:$B,$C42,'Awards Summary'!$J:$J,"NYBREDS")</f>
        <v>0</v>
      </c>
      <c r="EG42" s="55">
        <f>SUMIFS('Disbursements Summary'!$E:$E,'Disbursements Summary'!$C:$C,$C42,'Disbursements Summary'!$A:$A,"NYBREDS")</f>
        <v>0</v>
      </c>
      <c r="EH42" s="55">
        <f>SUMIFS('Awards Summary'!$H:$H,'Awards Summary'!$B:$B,$C42,'Awards Summary'!$J:$J,"NYSTA")</f>
        <v>0</v>
      </c>
      <c r="EI42" s="55">
        <f>SUMIFS('Disbursements Summary'!$E:$E,'Disbursements Summary'!$C:$C,$C42,'Disbursements Summary'!$A:$A,"NYSTA")</f>
        <v>0</v>
      </c>
      <c r="EJ42" s="55">
        <f>SUMIFS('Awards Summary'!$H:$H,'Awards Summary'!$B:$B,$C42,'Awards Summary'!$J:$J,"NFWB")</f>
        <v>0</v>
      </c>
      <c r="EK42" s="55">
        <f>SUMIFS('Disbursements Summary'!$E:$E,'Disbursements Summary'!$C:$C,$C42,'Disbursements Summary'!$A:$A,"NFWB")</f>
        <v>0</v>
      </c>
      <c r="EL42" s="55">
        <f>SUMIFS('Awards Summary'!$H:$H,'Awards Summary'!$B:$B,$C42,'Awards Summary'!$J:$J,"NFTA")</f>
        <v>0</v>
      </c>
      <c r="EM42" s="55">
        <f>SUMIFS('Disbursements Summary'!$E:$E,'Disbursements Summary'!$C:$C,$C42,'Disbursements Summary'!$A:$A,"NFTA")</f>
        <v>0</v>
      </c>
      <c r="EN42" s="55">
        <f>SUMIFS('Awards Summary'!$H:$H,'Awards Summary'!$B:$B,$C42,'Awards Summary'!$J:$J,"OPWDD")</f>
        <v>0</v>
      </c>
      <c r="EO42" s="55">
        <f>SUMIFS('Disbursements Summary'!$E:$E,'Disbursements Summary'!$C:$C,$C42,'Disbursements Summary'!$A:$A,"OPWDD")</f>
        <v>0</v>
      </c>
      <c r="EP42" s="55">
        <f>SUMIFS('Awards Summary'!$H:$H,'Awards Summary'!$B:$B,$C42,'Awards Summary'!$J:$J,"AGING")</f>
        <v>0</v>
      </c>
      <c r="EQ42" s="55">
        <f>SUMIFS('Disbursements Summary'!$E:$E,'Disbursements Summary'!$C:$C,$C42,'Disbursements Summary'!$A:$A,"AGING")</f>
        <v>0</v>
      </c>
      <c r="ER42" s="55">
        <f>SUMIFS('Awards Summary'!$H:$H,'Awards Summary'!$B:$B,$C42,'Awards Summary'!$J:$J,"OPDV")</f>
        <v>0</v>
      </c>
      <c r="ES42" s="55">
        <f>SUMIFS('Disbursements Summary'!$E:$E,'Disbursements Summary'!$C:$C,$C42,'Disbursements Summary'!$A:$A,"OPDV")</f>
        <v>0</v>
      </c>
      <c r="ET42" s="55">
        <f>SUMIFS('Awards Summary'!$H:$H,'Awards Summary'!$B:$B,$C42,'Awards Summary'!$J:$J,"OVS")</f>
        <v>0</v>
      </c>
      <c r="EU42" s="55">
        <f>SUMIFS('Disbursements Summary'!$E:$E,'Disbursements Summary'!$C:$C,$C42,'Disbursements Summary'!$A:$A,"OVS")</f>
        <v>0</v>
      </c>
      <c r="EV42" s="55">
        <f>SUMIFS('Awards Summary'!$H:$H,'Awards Summary'!$B:$B,$C42,'Awards Summary'!$J:$J,"OASAS")</f>
        <v>0</v>
      </c>
      <c r="EW42" s="55">
        <f>SUMIFS('Disbursements Summary'!$E:$E,'Disbursements Summary'!$C:$C,$C42,'Disbursements Summary'!$A:$A,"OASAS")</f>
        <v>0</v>
      </c>
      <c r="EX42" s="55">
        <f>SUMIFS('Awards Summary'!$H:$H,'Awards Summary'!$B:$B,$C42,'Awards Summary'!$J:$J,"OCFS")</f>
        <v>0</v>
      </c>
      <c r="EY42" s="55">
        <f>SUMIFS('Disbursements Summary'!$E:$E,'Disbursements Summary'!$C:$C,$C42,'Disbursements Summary'!$A:$A,"OCFS")</f>
        <v>0</v>
      </c>
      <c r="EZ42" s="55">
        <f>SUMIFS('Awards Summary'!$H:$H,'Awards Summary'!$B:$B,$C42,'Awards Summary'!$J:$J,"OGS")</f>
        <v>0</v>
      </c>
      <c r="FA42" s="55">
        <f>SUMIFS('Disbursements Summary'!$E:$E,'Disbursements Summary'!$C:$C,$C42,'Disbursements Summary'!$A:$A,"OGS")</f>
        <v>0</v>
      </c>
      <c r="FB42" s="55">
        <f>SUMIFS('Awards Summary'!$H:$H,'Awards Summary'!$B:$B,$C42,'Awards Summary'!$J:$J,"OMH")</f>
        <v>0</v>
      </c>
      <c r="FC42" s="55">
        <f>SUMIFS('Disbursements Summary'!$E:$E,'Disbursements Summary'!$C:$C,$C42,'Disbursements Summary'!$A:$A,"OMH")</f>
        <v>0</v>
      </c>
      <c r="FD42" s="55">
        <f>SUMIFS('Awards Summary'!$H:$H,'Awards Summary'!$B:$B,$C42,'Awards Summary'!$J:$J,"PARKS")</f>
        <v>0</v>
      </c>
      <c r="FE42" s="55">
        <f>SUMIFS('Disbursements Summary'!$E:$E,'Disbursements Summary'!$C:$C,$C42,'Disbursements Summary'!$A:$A,"PARKS")</f>
        <v>0</v>
      </c>
      <c r="FF42" s="55">
        <f>SUMIFS('Awards Summary'!$H:$H,'Awards Summary'!$B:$B,$C42,'Awards Summary'!$J:$J,"OTDA")</f>
        <v>0</v>
      </c>
      <c r="FG42" s="55">
        <f>SUMIFS('Disbursements Summary'!$E:$E,'Disbursements Summary'!$C:$C,$C42,'Disbursements Summary'!$A:$A,"OTDA")</f>
        <v>0</v>
      </c>
      <c r="FH42" s="55">
        <f>SUMIFS('Awards Summary'!$H:$H,'Awards Summary'!$B:$B,$C42,'Awards Summary'!$J:$J,"OIG")</f>
        <v>0</v>
      </c>
      <c r="FI42" s="55">
        <f>SUMIFS('Disbursements Summary'!$E:$E,'Disbursements Summary'!$C:$C,$C42,'Disbursements Summary'!$A:$A,"OIG")</f>
        <v>0</v>
      </c>
      <c r="FJ42" s="55">
        <f>SUMIFS('Awards Summary'!$H:$H,'Awards Summary'!$B:$B,$C42,'Awards Summary'!$J:$J,"OMIG")</f>
        <v>0</v>
      </c>
      <c r="FK42" s="55">
        <f>SUMIFS('Disbursements Summary'!$E:$E,'Disbursements Summary'!$C:$C,$C42,'Disbursements Summary'!$A:$A,"OMIG")</f>
        <v>0</v>
      </c>
      <c r="FL42" s="55">
        <f>SUMIFS('Awards Summary'!$H:$H,'Awards Summary'!$B:$B,$C42,'Awards Summary'!$J:$J,"OSC")</f>
        <v>0</v>
      </c>
      <c r="FM42" s="55">
        <f>SUMIFS('Disbursements Summary'!$E:$E,'Disbursements Summary'!$C:$C,$C42,'Disbursements Summary'!$A:$A,"OSC")</f>
        <v>0</v>
      </c>
      <c r="FN42" s="55">
        <f>SUMIFS('Awards Summary'!$H:$H,'Awards Summary'!$B:$B,$C42,'Awards Summary'!$J:$J,"OWIG")</f>
        <v>0</v>
      </c>
      <c r="FO42" s="55">
        <f>SUMIFS('Disbursements Summary'!$E:$E,'Disbursements Summary'!$C:$C,$C42,'Disbursements Summary'!$A:$A,"OWIG")</f>
        <v>0</v>
      </c>
      <c r="FP42" s="55">
        <f>SUMIFS('Awards Summary'!$H:$H,'Awards Summary'!$B:$B,$C42,'Awards Summary'!$J:$J,"OGDEN")</f>
        <v>0</v>
      </c>
      <c r="FQ42" s="55">
        <f>SUMIFS('Disbursements Summary'!$E:$E,'Disbursements Summary'!$C:$C,$C42,'Disbursements Summary'!$A:$A,"OGDEN")</f>
        <v>0</v>
      </c>
      <c r="FR42" s="55">
        <f>SUMIFS('Awards Summary'!$H:$H,'Awards Summary'!$B:$B,$C42,'Awards Summary'!$J:$J,"ORDA")</f>
        <v>0</v>
      </c>
      <c r="FS42" s="55">
        <f>SUMIFS('Disbursements Summary'!$E:$E,'Disbursements Summary'!$C:$C,$C42,'Disbursements Summary'!$A:$A,"ORDA")</f>
        <v>0</v>
      </c>
      <c r="FT42" s="55">
        <f>SUMIFS('Awards Summary'!$H:$H,'Awards Summary'!$B:$B,$C42,'Awards Summary'!$J:$J,"OSWEGO")</f>
        <v>0</v>
      </c>
      <c r="FU42" s="55">
        <f>SUMIFS('Disbursements Summary'!$E:$E,'Disbursements Summary'!$C:$C,$C42,'Disbursements Summary'!$A:$A,"OSWEGO")</f>
        <v>0</v>
      </c>
      <c r="FV42" s="55">
        <f>SUMIFS('Awards Summary'!$H:$H,'Awards Summary'!$B:$B,$C42,'Awards Summary'!$J:$J,"PERB")</f>
        <v>0</v>
      </c>
      <c r="FW42" s="55">
        <f>SUMIFS('Disbursements Summary'!$E:$E,'Disbursements Summary'!$C:$C,$C42,'Disbursements Summary'!$A:$A,"PERB")</f>
        <v>0</v>
      </c>
      <c r="FX42" s="55">
        <f>SUMIFS('Awards Summary'!$H:$H,'Awards Summary'!$B:$B,$C42,'Awards Summary'!$J:$J,"RGRTA")</f>
        <v>0</v>
      </c>
      <c r="FY42" s="55">
        <f>SUMIFS('Disbursements Summary'!$E:$E,'Disbursements Summary'!$C:$C,$C42,'Disbursements Summary'!$A:$A,"RGRTA")</f>
        <v>0</v>
      </c>
      <c r="FZ42" s="55">
        <f>SUMIFS('Awards Summary'!$H:$H,'Awards Summary'!$B:$B,$C42,'Awards Summary'!$J:$J,"RIOC")</f>
        <v>0</v>
      </c>
      <c r="GA42" s="55">
        <f>SUMIFS('Disbursements Summary'!$E:$E,'Disbursements Summary'!$C:$C,$C42,'Disbursements Summary'!$A:$A,"RIOC")</f>
        <v>0</v>
      </c>
      <c r="GB42" s="55">
        <f>SUMIFS('Awards Summary'!$H:$H,'Awards Summary'!$B:$B,$C42,'Awards Summary'!$J:$J,"RPCI")</f>
        <v>0</v>
      </c>
      <c r="GC42" s="55">
        <f>SUMIFS('Disbursements Summary'!$E:$E,'Disbursements Summary'!$C:$C,$C42,'Disbursements Summary'!$A:$A,"RPCI")</f>
        <v>0</v>
      </c>
      <c r="GD42" s="55">
        <f>SUMIFS('Awards Summary'!$H:$H,'Awards Summary'!$B:$B,$C42,'Awards Summary'!$J:$J,"SMDA")</f>
        <v>0</v>
      </c>
      <c r="GE42" s="55">
        <f>SUMIFS('Disbursements Summary'!$E:$E,'Disbursements Summary'!$C:$C,$C42,'Disbursements Summary'!$A:$A,"SMDA")</f>
        <v>0</v>
      </c>
      <c r="GF42" s="55">
        <f>SUMIFS('Awards Summary'!$H:$H,'Awards Summary'!$B:$B,$C42,'Awards Summary'!$J:$J,"SCOC")</f>
        <v>0</v>
      </c>
      <c r="GG42" s="55">
        <f>SUMIFS('Disbursements Summary'!$E:$E,'Disbursements Summary'!$C:$C,$C42,'Disbursements Summary'!$A:$A,"SCOC")</f>
        <v>0</v>
      </c>
      <c r="GH42" s="55">
        <f>SUMIFS('Awards Summary'!$H:$H,'Awards Summary'!$B:$B,$C42,'Awards Summary'!$J:$J,"SUCF")</f>
        <v>0</v>
      </c>
      <c r="GI42" s="55">
        <f>SUMIFS('Disbursements Summary'!$E:$E,'Disbursements Summary'!$C:$C,$C42,'Disbursements Summary'!$A:$A,"SUCF")</f>
        <v>0</v>
      </c>
      <c r="GJ42" s="55">
        <f>SUMIFS('Awards Summary'!$H:$H,'Awards Summary'!$B:$B,$C42,'Awards Summary'!$J:$J,"SUNY")</f>
        <v>0</v>
      </c>
      <c r="GK42" s="55">
        <f>SUMIFS('Disbursements Summary'!$E:$E,'Disbursements Summary'!$C:$C,$C42,'Disbursements Summary'!$A:$A,"SUNY")</f>
        <v>0</v>
      </c>
      <c r="GL42" s="55">
        <f>SUMIFS('Awards Summary'!$H:$H,'Awards Summary'!$B:$B,$C42,'Awards Summary'!$J:$J,"SRAA")</f>
        <v>0</v>
      </c>
      <c r="GM42" s="55">
        <f>SUMIFS('Disbursements Summary'!$E:$E,'Disbursements Summary'!$C:$C,$C42,'Disbursements Summary'!$A:$A,"SRAA")</f>
        <v>0</v>
      </c>
      <c r="GN42" s="55">
        <f>SUMIFS('Awards Summary'!$H:$H,'Awards Summary'!$B:$B,$C42,'Awards Summary'!$J:$J,"UNDC")</f>
        <v>0</v>
      </c>
      <c r="GO42" s="55">
        <f>SUMIFS('Disbursements Summary'!$E:$E,'Disbursements Summary'!$C:$C,$C42,'Disbursements Summary'!$A:$A,"UNDC")</f>
        <v>0</v>
      </c>
      <c r="GP42" s="55">
        <f>SUMIFS('Awards Summary'!$H:$H,'Awards Summary'!$B:$B,$C42,'Awards Summary'!$J:$J,"MVWA")</f>
        <v>0</v>
      </c>
      <c r="GQ42" s="55">
        <f>SUMIFS('Disbursements Summary'!$E:$E,'Disbursements Summary'!$C:$C,$C42,'Disbursements Summary'!$A:$A,"MVWA")</f>
        <v>0</v>
      </c>
      <c r="GR42" s="55">
        <f>SUMIFS('Awards Summary'!$H:$H,'Awards Summary'!$B:$B,$C42,'Awards Summary'!$J:$J,"WMC")</f>
        <v>0</v>
      </c>
      <c r="GS42" s="55">
        <f>SUMIFS('Disbursements Summary'!$E:$E,'Disbursements Summary'!$C:$C,$C42,'Disbursements Summary'!$A:$A,"WMC")</f>
        <v>0</v>
      </c>
      <c r="GT42" s="55">
        <f>SUMIFS('Awards Summary'!$H:$H,'Awards Summary'!$B:$B,$C42,'Awards Summary'!$J:$J,"WCB")</f>
        <v>0</v>
      </c>
      <c r="GU42" s="55">
        <f>SUMIFS('Disbursements Summary'!$E:$E,'Disbursements Summary'!$C:$C,$C42,'Disbursements Summary'!$A:$A,"WCB")</f>
        <v>0</v>
      </c>
      <c r="GV42" s="32">
        <f t="shared" si="5"/>
        <v>0</v>
      </c>
      <c r="GW42" s="32">
        <f t="shared" si="6"/>
        <v>0</v>
      </c>
      <c r="GX42" s="30" t="b">
        <f t="shared" si="7"/>
        <v>1</v>
      </c>
      <c r="GY42" s="30" t="b">
        <f t="shared" si="8"/>
        <v>1</v>
      </c>
    </row>
    <row r="43" spans="1:207" s="30" customFormat="1">
      <c r="A43" s="22" t="str">
        <f t="shared" si="0"/>
        <v/>
      </c>
      <c r="B43" s="40" t="s">
        <v>100</v>
      </c>
      <c r="C43" s="16">
        <v>141073</v>
      </c>
      <c r="D43" s="26">
        <f>COUNTIF('Awards Summary'!B:B,"141073")</f>
        <v>0</v>
      </c>
      <c r="E43" s="45">
        <f>SUMIFS('Awards Summary'!H:H,'Awards Summary'!B:B,"141073")</f>
        <v>0</v>
      </c>
      <c r="F43" s="46">
        <f>SUMIFS('Disbursements Summary'!E:E,'Disbursements Summary'!C:C, "141073")</f>
        <v>0</v>
      </c>
      <c r="H43" s="55">
        <f>SUMIFS('Awards Summary'!$H:$H,'Awards Summary'!$B:$B,$C43,'Awards Summary'!$J:$J,"APA")</f>
        <v>0</v>
      </c>
      <c r="I43" s="55">
        <f>SUMIFS('Disbursements Summary'!$E:$E,'Disbursements Summary'!$C:$C,$C43,'Disbursements Summary'!$A:$A,"APA")</f>
        <v>0</v>
      </c>
      <c r="J43" s="55">
        <f>SUMIFS('Awards Summary'!$H:$H,'Awards Summary'!$B:$B,$C43,'Awards Summary'!$J:$J,"Ag&amp;Horse")</f>
        <v>0</v>
      </c>
      <c r="K43" s="55">
        <f>SUMIFS('Disbursements Summary'!$E:$E,'Disbursements Summary'!$C:$C,$C43,'Disbursements Summary'!$A:$A,"Ag&amp;Horse")</f>
        <v>0</v>
      </c>
      <c r="L43" s="55">
        <f>SUMIFS('Awards Summary'!$H:$H,'Awards Summary'!$B:$B,$C43,'Awards Summary'!$J:$J,"ACAA")</f>
        <v>0</v>
      </c>
      <c r="M43" s="55">
        <f>SUMIFS('Disbursements Summary'!$E:$E,'Disbursements Summary'!$C:$C,$C43,'Disbursements Summary'!$A:$A,"ACAA")</f>
        <v>0</v>
      </c>
      <c r="N43" s="55">
        <f>SUMIFS('Awards Summary'!$H:$H,'Awards Summary'!$B:$B,$C43,'Awards Summary'!$J:$J,"PortAlbany")</f>
        <v>0</v>
      </c>
      <c r="O43" s="55">
        <f>SUMIFS('Disbursements Summary'!$E:$E,'Disbursements Summary'!$C:$C,$C43,'Disbursements Summary'!$A:$A,"PortAlbany")</f>
        <v>0</v>
      </c>
      <c r="P43" s="55">
        <f>SUMIFS('Awards Summary'!$H:$H,'Awards Summary'!$B:$B,$C43,'Awards Summary'!$J:$J,"SLA")</f>
        <v>0</v>
      </c>
      <c r="Q43" s="55">
        <f>SUMIFS('Disbursements Summary'!$E:$E,'Disbursements Summary'!$C:$C,$C43,'Disbursements Summary'!$A:$A,"SLA")</f>
        <v>0</v>
      </c>
      <c r="R43" s="55">
        <f>SUMIFS('Awards Summary'!$H:$H,'Awards Summary'!$B:$B,$C43,'Awards Summary'!$J:$J,"BPCA")</f>
        <v>0</v>
      </c>
      <c r="S43" s="55">
        <f>SUMIFS('Disbursements Summary'!$E:$E,'Disbursements Summary'!$C:$C,$C43,'Disbursements Summary'!$A:$A,"BPCA")</f>
        <v>0</v>
      </c>
      <c r="T43" s="55">
        <f>SUMIFS('Awards Summary'!$H:$H,'Awards Summary'!$B:$B,$C43,'Awards Summary'!$J:$J,"ELECTIONS")</f>
        <v>0</v>
      </c>
      <c r="U43" s="55">
        <f>SUMIFS('Disbursements Summary'!$E:$E,'Disbursements Summary'!$C:$C,$C43,'Disbursements Summary'!$A:$A,"ELECTIONS")</f>
        <v>0</v>
      </c>
      <c r="V43" s="55">
        <f>SUMIFS('Awards Summary'!$H:$H,'Awards Summary'!$B:$B,$C43,'Awards Summary'!$J:$J,"BFSA")</f>
        <v>0</v>
      </c>
      <c r="W43" s="55">
        <f>SUMIFS('Disbursements Summary'!$E:$E,'Disbursements Summary'!$C:$C,$C43,'Disbursements Summary'!$A:$A,"BFSA")</f>
        <v>0</v>
      </c>
      <c r="X43" s="55">
        <f>SUMIFS('Awards Summary'!$H:$H,'Awards Summary'!$B:$B,$C43,'Awards Summary'!$J:$J,"CDTA")</f>
        <v>0</v>
      </c>
      <c r="Y43" s="55">
        <f>SUMIFS('Disbursements Summary'!$E:$E,'Disbursements Summary'!$C:$C,$C43,'Disbursements Summary'!$A:$A,"CDTA")</f>
        <v>0</v>
      </c>
      <c r="Z43" s="55">
        <f>SUMIFS('Awards Summary'!$H:$H,'Awards Summary'!$B:$B,$C43,'Awards Summary'!$J:$J,"CCWSA")</f>
        <v>0</v>
      </c>
      <c r="AA43" s="55">
        <f>SUMIFS('Disbursements Summary'!$E:$E,'Disbursements Summary'!$C:$C,$C43,'Disbursements Summary'!$A:$A,"CCWSA")</f>
        <v>0</v>
      </c>
      <c r="AB43" s="55">
        <f>SUMIFS('Awards Summary'!$H:$H,'Awards Summary'!$B:$B,$C43,'Awards Summary'!$J:$J,"CNYRTA")</f>
        <v>0</v>
      </c>
      <c r="AC43" s="55">
        <f>SUMIFS('Disbursements Summary'!$E:$E,'Disbursements Summary'!$C:$C,$C43,'Disbursements Summary'!$A:$A,"CNYRTA")</f>
        <v>0</v>
      </c>
      <c r="AD43" s="55">
        <f>SUMIFS('Awards Summary'!$H:$H,'Awards Summary'!$B:$B,$C43,'Awards Summary'!$J:$J,"CUCF")</f>
        <v>0</v>
      </c>
      <c r="AE43" s="55">
        <f>SUMIFS('Disbursements Summary'!$E:$E,'Disbursements Summary'!$C:$C,$C43,'Disbursements Summary'!$A:$A,"CUCF")</f>
        <v>0</v>
      </c>
      <c r="AF43" s="55">
        <f>SUMIFS('Awards Summary'!$H:$H,'Awards Summary'!$B:$B,$C43,'Awards Summary'!$J:$J,"CUNY")</f>
        <v>0</v>
      </c>
      <c r="AG43" s="55">
        <f>SUMIFS('Disbursements Summary'!$E:$E,'Disbursements Summary'!$C:$C,$C43,'Disbursements Summary'!$A:$A,"CUNY")</f>
        <v>0</v>
      </c>
      <c r="AH43" s="55">
        <f>SUMIFS('Awards Summary'!$H:$H,'Awards Summary'!$B:$B,$C43,'Awards Summary'!$J:$J,"ARTS")</f>
        <v>0</v>
      </c>
      <c r="AI43" s="55">
        <f>SUMIFS('Disbursements Summary'!$E:$E,'Disbursements Summary'!$C:$C,$C43,'Disbursements Summary'!$A:$A,"ARTS")</f>
        <v>0</v>
      </c>
      <c r="AJ43" s="55">
        <f>SUMIFS('Awards Summary'!$H:$H,'Awards Summary'!$B:$B,$C43,'Awards Summary'!$J:$J,"AG&amp;MKTS")</f>
        <v>0</v>
      </c>
      <c r="AK43" s="55">
        <f>SUMIFS('Disbursements Summary'!$E:$E,'Disbursements Summary'!$C:$C,$C43,'Disbursements Summary'!$A:$A,"AG&amp;MKTS")</f>
        <v>0</v>
      </c>
      <c r="AL43" s="55">
        <f>SUMIFS('Awards Summary'!$H:$H,'Awards Summary'!$B:$B,$C43,'Awards Summary'!$J:$J,"CS")</f>
        <v>0</v>
      </c>
      <c r="AM43" s="55">
        <f>SUMIFS('Disbursements Summary'!$E:$E,'Disbursements Summary'!$C:$C,$C43,'Disbursements Summary'!$A:$A,"CS")</f>
        <v>0</v>
      </c>
      <c r="AN43" s="55">
        <f>SUMIFS('Awards Summary'!$H:$H,'Awards Summary'!$B:$B,$C43,'Awards Summary'!$J:$J,"DOCCS")</f>
        <v>0</v>
      </c>
      <c r="AO43" s="55">
        <f>SUMIFS('Disbursements Summary'!$E:$E,'Disbursements Summary'!$C:$C,$C43,'Disbursements Summary'!$A:$A,"DOCCS")</f>
        <v>0</v>
      </c>
      <c r="AP43" s="55">
        <f>SUMIFS('Awards Summary'!$H:$H,'Awards Summary'!$B:$B,$C43,'Awards Summary'!$J:$J,"DED")</f>
        <v>0</v>
      </c>
      <c r="AQ43" s="55">
        <f>SUMIFS('Disbursements Summary'!$E:$E,'Disbursements Summary'!$C:$C,$C43,'Disbursements Summary'!$A:$A,"DED")</f>
        <v>0</v>
      </c>
      <c r="AR43" s="55">
        <f>SUMIFS('Awards Summary'!$H:$H,'Awards Summary'!$B:$B,$C43,'Awards Summary'!$J:$J,"DEC")</f>
        <v>0</v>
      </c>
      <c r="AS43" s="55">
        <f>SUMIFS('Disbursements Summary'!$E:$E,'Disbursements Summary'!$C:$C,$C43,'Disbursements Summary'!$A:$A,"DEC")</f>
        <v>0</v>
      </c>
      <c r="AT43" s="55">
        <f>SUMIFS('Awards Summary'!$H:$H,'Awards Summary'!$B:$B,$C43,'Awards Summary'!$J:$J,"DFS")</f>
        <v>0</v>
      </c>
      <c r="AU43" s="55">
        <f>SUMIFS('Disbursements Summary'!$E:$E,'Disbursements Summary'!$C:$C,$C43,'Disbursements Summary'!$A:$A,"DFS")</f>
        <v>0</v>
      </c>
      <c r="AV43" s="55">
        <f>SUMIFS('Awards Summary'!$H:$H,'Awards Summary'!$B:$B,$C43,'Awards Summary'!$J:$J,"DOH")</f>
        <v>0</v>
      </c>
      <c r="AW43" s="55">
        <f>SUMIFS('Disbursements Summary'!$E:$E,'Disbursements Summary'!$C:$C,$C43,'Disbursements Summary'!$A:$A,"DOH")</f>
        <v>0</v>
      </c>
      <c r="AX43" s="55">
        <f>SUMIFS('Awards Summary'!$H:$H,'Awards Summary'!$B:$B,$C43,'Awards Summary'!$J:$J,"DOL")</f>
        <v>0</v>
      </c>
      <c r="AY43" s="55">
        <f>SUMIFS('Disbursements Summary'!$E:$E,'Disbursements Summary'!$C:$C,$C43,'Disbursements Summary'!$A:$A,"DOL")</f>
        <v>0</v>
      </c>
      <c r="AZ43" s="55">
        <f>SUMIFS('Awards Summary'!$H:$H,'Awards Summary'!$B:$B,$C43,'Awards Summary'!$J:$J,"DMV")</f>
        <v>0</v>
      </c>
      <c r="BA43" s="55">
        <f>SUMIFS('Disbursements Summary'!$E:$E,'Disbursements Summary'!$C:$C,$C43,'Disbursements Summary'!$A:$A,"DMV")</f>
        <v>0</v>
      </c>
      <c r="BB43" s="55">
        <f>SUMIFS('Awards Summary'!$H:$H,'Awards Summary'!$B:$B,$C43,'Awards Summary'!$J:$J,"DPS")</f>
        <v>0</v>
      </c>
      <c r="BC43" s="55">
        <f>SUMIFS('Disbursements Summary'!$E:$E,'Disbursements Summary'!$C:$C,$C43,'Disbursements Summary'!$A:$A,"DPS")</f>
        <v>0</v>
      </c>
      <c r="BD43" s="55">
        <f>SUMIFS('Awards Summary'!$H:$H,'Awards Summary'!$B:$B,$C43,'Awards Summary'!$J:$J,"DOS")</f>
        <v>0</v>
      </c>
      <c r="BE43" s="55">
        <f>SUMIFS('Disbursements Summary'!$E:$E,'Disbursements Summary'!$C:$C,$C43,'Disbursements Summary'!$A:$A,"DOS")</f>
        <v>0</v>
      </c>
      <c r="BF43" s="55">
        <f>SUMIFS('Awards Summary'!$H:$H,'Awards Summary'!$B:$B,$C43,'Awards Summary'!$J:$J,"TAX")</f>
        <v>0</v>
      </c>
      <c r="BG43" s="55">
        <f>SUMIFS('Disbursements Summary'!$E:$E,'Disbursements Summary'!$C:$C,$C43,'Disbursements Summary'!$A:$A,"TAX")</f>
        <v>0</v>
      </c>
      <c r="BH43" s="55">
        <f>SUMIFS('Awards Summary'!$H:$H,'Awards Summary'!$B:$B,$C43,'Awards Summary'!$J:$J,"DOT")</f>
        <v>0</v>
      </c>
      <c r="BI43" s="55">
        <f>SUMIFS('Disbursements Summary'!$E:$E,'Disbursements Summary'!$C:$C,$C43,'Disbursements Summary'!$A:$A,"DOT")</f>
        <v>0</v>
      </c>
      <c r="BJ43" s="55">
        <f>SUMIFS('Awards Summary'!$H:$H,'Awards Summary'!$B:$B,$C43,'Awards Summary'!$J:$J,"DANC")</f>
        <v>0</v>
      </c>
      <c r="BK43" s="55">
        <f>SUMIFS('Disbursements Summary'!$E:$E,'Disbursements Summary'!$C:$C,$C43,'Disbursements Summary'!$A:$A,"DANC")</f>
        <v>0</v>
      </c>
      <c r="BL43" s="55">
        <f>SUMIFS('Awards Summary'!$H:$H,'Awards Summary'!$B:$B,$C43,'Awards Summary'!$J:$J,"DOB")</f>
        <v>0</v>
      </c>
      <c r="BM43" s="55">
        <f>SUMIFS('Disbursements Summary'!$E:$E,'Disbursements Summary'!$C:$C,$C43,'Disbursements Summary'!$A:$A,"DOB")</f>
        <v>0</v>
      </c>
      <c r="BN43" s="55">
        <f>SUMIFS('Awards Summary'!$H:$H,'Awards Summary'!$B:$B,$C43,'Awards Summary'!$J:$J,"DCJS")</f>
        <v>0</v>
      </c>
      <c r="BO43" s="55">
        <f>SUMIFS('Disbursements Summary'!$E:$E,'Disbursements Summary'!$C:$C,$C43,'Disbursements Summary'!$A:$A,"DCJS")</f>
        <v>0</v>
      </c>
      <c r="BP43" s="55">
        <f>SUMIFS('Awards Summary'!$H:$H,'Awards Summary'!$B:$B,$C43,'Awards Summary'!$J:$J,"DHSES")</f>
        <v>0</v>
      </c>
      <c r="BQ43" s="55">
        <f>SUMIFS('Disbursements Summary'!$E:$E,'Disbursements Summary'!$C:$C,$C43,'Disbursements Summary'!$A:$A,"DHSES")</f>
        <v>0</v>
      </c>
      <c r="BR43" s="55">
        <f>SUMIFS('Awards Summary'!$H:$H,'Awards Summary'!$B:$B,$C43,'Awards Summary'!$J:$J,"DHR")</f>
        <v>0</v>
      </c>
      <c r="BS43" s="55">
        <f>SUMIFS('Disbursements Summary'!$E:$E,'Disbursements Summary'!$C:$C,$C43,'Disbursements Summary'!$A:$A,"DHR")</f>
        <v>0</v>
      </c>
      <c r="BT43" s="55">
        <f>SUMIFS('Awards Summary'!$H:$H,'Awards Summary'!$B:$B,$C43,'Awards Summary'!$J:$J,"DMNA")</f>
        <v>0</v>
      </c>
      <c r="BU43" s="55">
        <f>SUMIFS('Disbursements Summary'!$E:$E,'Disbursements Summary'!$C:$C,$C43,'Disbursements Summary'!$A:$A,"DMNA")</f>
        <v>0</v>
      </c>
      <c r="BV43" s="55">
        <f>SUMIFS('Awards Summary'!$H:$H,'Awards Summary'!$B:$B,$C43,'Awards Summary'!$J:$J,"TROOPERS")</f>
        <v>0</v>
      </c>
      <c r="BW43" s="55">
        <f>SUMIFS('Disbursements Summary'!$E:$E,'Disbursements Summary'!$C:$C,$C43,'Disbursements Summary'!$A:$A,"TROOPERS")</f>
        <v>0</v>
      </c>
      <c r="BX43" s="55">
        <f>SUMIFS('Awards Summary'!$H:$H,'Awards Summary'!$B:$B,$C43,'Awards Summary'!$J:$J,"DVA")</f>
        <v>0</v>
      </c>
      <c r="BY43" s="55">
        <f>SUMIFS('Disbursements Summary'!$E:$E,'Disbursements Summary'!$C:$C,$C43,'Disbursements Summary'!$A:$A,"DVA")</f>
        <v>0</v>
      </c>
      <c r="BZ43" s="55">
        <f>SUMIFS('Awards Summary'!$H:$H,'Awards Summary'!$B:$B,$C43,'Awards Summary'!$J:$J,"DASNY")</f>
        <v>0</v>
      </c>
      <c r="CA43" s="55">
        <f>SUMIFS('Disbursements Summary'!$E:$E,'Disbursements Summary'!$C:$C,$C43,'Disbursements Summary'!$A:$A,"DASNY")</f>
        <v>0</v>
      </c>
      <c r="CB43" s="55">
        <f>SUMIFS('Awards Summary'!$H:$H,'Awards Summary'!$B:$B,$C43,'Awards Summary'!$J:$J,"EGG")</f>
        <v>0</v>
      </c>
      <c r="CC43" s="55">
        <f>SUMIFS('Disbursements Summary'!$E:$E,'Disbursements Summary'!$C:$C,$C43,'Disbursements Summary'!$A:$A,"EGG")</f>
        <v>0</v>
      </c>
      <c r="CD43" s="55">
        <f>SUMIFS('Awards Summary'!$H:$H,'Awards Summary'!$B:$B,$C43,'Awards Summary'!$J:$J,"ESD")</f>
        <v>0</v>
      </c>
      <c r="CE43" s="55">
        <f>SUMIFS('Disbursements Summary'!$E:$E,'Disbursements Summary'!$C:$C,$C43,'Disbursements Summary'!$A:$A,"ESD")</f>
        <v>0</v>
      </c>
      <c r="CF43" s="55">
        <f>SUMIFS('Awards Summary'!$H:$H,'Awards Summary'!$B:$B,$C43,'Awards Summary'!$J:$J,"EFC")</f>
        <v>0</v>
      </c>
      <c r="CG43" s="55">
        <f>SUMIFS('Disbursements Summary'!$E:$E,'Disbursements Summary'!$C:$C,$C43,'Disbursements Summary'!$A:$A,"EFC")</f>
        <v>0</v>
      </c>
      <c r="CH43" s="55">
        <f>SUMIFS('Awards Summary'!$H:$H,'Awards Summary'!$B:$B,$C43,'Awards Summary'!$J:$J,"ECFSA")</f>
        <v>0</v>
      </c>
      <c r="CI43" s="55">
        <f>SUMIFS('Disbursements Summary'!$E:$E,'Disbursements Summary'!$C:$C,$C43,'Disbursements Summary'!$A:$A,"ECFSA")</f>
        <v>0</v>
      </c>
      <c r="CJ43" s="55">
        <f>SUMIFS('Awards Summary'!$H:$H,'Awards Summary'!$B:$B,$C43,'Awards Summary'!$J:$J,"ECMC")</f>
        <v>0</v>
      </c>
      <c r="CK43" s="55">
        <f>SUMIFS('Disbursements Summary'!$E:$E,'Disbursements Summary'!$C:$C,$C43,'Disbursements Summary'!$A:$A,"ECMC")</f>
        <v>0</v>
      </c>
      <c r="CL43" s="55">
        <f>SUMIFS('Awards Summary'!$H:$H,'Awards Summary'!$B:$B,$C43,'Awards Summary'!$J:$J,"CHAMBER")</f>
        <v>0</v>
      </c>
      <c r="CM43" s="55">
        <f>SUMIFS('Disbursements Summary'!$E:$E,'Disbursements Summary'!$C:$C,$C43,'Disbursements Summary'!$A:$A,"CHAMBER")</f>
        <v>0</v>
      </c>
      <c r="CN43" s="55">
        <f>SUMIFS('Awards Summary'!$H:$H,'Awards Summary'!$B:$B,$C43,'Awards Summary'!$J:$J,"GAMING")</f>
        <v>0</v>
      </c>
      <c r="CO43" s="55">
        <f>SUMIFS('Disbursements Summary'!$E:$E,'Disbursements Summary'!$C:$C,$C43,'Disbursements Summary'!$A:$A,"GAMING")</f>
        <v>0</v>
      </c>
      <c r="CP43" s="55">
        <f>SUMIFS('Awards Summary'!$H:$H,'Awards Summary'!$B:$B,$C43,'Awards Summary'!$J:$J,"GOER")</f>
        <v>0</v>
      </c>
      <c r="CQ43" s="55">
        <f>SUMIFS('Disbursements Summary'!$E:$E,'Disbursements Summary'!$C:$C,$C43,'Disbursements Summary'!$A:$A,"GOER")</f>
        <v>0</v>
      </c>
      <c r="CR43" s="55">
        <f>SUMIFS('Awards Summary'!$H:$H,'Awards Summary'!$B:$B,$C43,'Awards Summary'!$J:$J,"HESC")</f>
        <v>0</v>
      </c>
      <c r="CS43" s="55">
        <f>SUMIFS('Disbursements Summary'!$E:$E,'Disbursements Summary'!$C:$C,$C43,'Disbursements Summary'!$A:$A,"HESC")</f>
        <v>0</v>
      </c>
      <c r="CT43" s="55">
        <f>SUMIFS('Awards Summary'!$H:$H,'Awards Summary'!$B:$B,$C43,'Awards Summary'!$J:$J,"GOSR")</f>
        <v>0</v>
      </c>
      <c r="CU43" s="55">
        <f>SUMIFS('Disbursements Summary'!$E:$E,'Disbursements Summary'!$C:$C,$C43,'Disbursements Summary'!$A:$A,"GOSR")</f>
        <v>0</v>
      </c>
      <c r="CV43" s="55">
        <f>SUMIFS('Awards Summary'!$H:$H,'Awards Summary'!$B:$B,$C43,'Awards Summary'!$J:$J,"HRPT")</f>
        <v>0</v>
      </c>
      <c r="CW43" s="55">
        <f>SUMIFS('Disbursements Summary'!$E:$E,'Disbursements Summary'!$C:$C,$C43,'Disbursements Summary'!$A:$A,"HRPT")</f>
        <v>0</v>
      </c>
      <c r="CX43" s="55">
        <f>SUMIFS('Awards Summary'!$H:$H,'Awards Summary'!$B:$B,$C43,'Awards Summary'!$J:$J,"HRBRRD")</f>
        <v>0</v>
      </c>
      <c r="CY43" s="55">
        <f>SUMIFS('Disbursements Summary'!$E:$E,'Disbursements Summary'!$C:$C,$C43,'Disbursements Summary'!$A:$A,"HRBRRD")</f>
        <v>0</v>
      </c>
      <c r="CZ43" s="55">
        <f>SUMIFS('Awards Summary'!$H:$H,'Awards Summary'!$B:$B,$C43,'Awards Summary'!$J:$J,"ITS")</f>
        <v>0</v>
      </c>
      <c r="DA43" s="55">
        <f>SUMIFS('Disbursements Summary'!$E:$E,'Disbursements Summary'!$C:$C,$C43,'Disbursements Summary'!$A:$A,"ITS")</f>
        <v>0</v>
      </c>
      <c r="DB43" s="55">
        <f>SUMIFS('Awards Summary'!$H:$H,'Awards Summary'!$B:$B,$C43,'Awards Summary'!$J:$J,"JAVITS")</f>
        <v>0</v>
      </c>
      <c r="DC43" s="55">
        <f>SUMIFS('Disbursements Summary'!$E:$E,'Disbursements Summary'!$C:$C,$C43,'Disbursements Summary'!$A:$A,"JAVITS")</f>
        <v>0</v>
      </c>
      <c r="DD43" s="55">
        <f>SUMIFS('Awards Summary'!$H:$H,'Awards Summary'!$B:$B,$C43,'Awards Summary'!$J:$J,"JCOPE")</f>
        <v>0</v>
      </c>
      <c r="DE43" s="55">
        <f>SUMIFS('Disbursements Summary'!$E:$E,'Disbursements Summary'!$C:$C,$C43,'Disbursements Summary'!$A:$A,"JCOPE")</f>
        <v>0</v>
      </c>
      <c r="DF43" s="55">
        <f>SUMIFS('Awards Summary'!$H:$H,'Awards Summary'!$B:$B,$C43,'Awards Summary'!$J:$J,"JUSTICE")</f>
        <v>0</v>
      </c>
      <c r="DG43" s="55">
        <f>SUMIFS('Disbursements Summary'!$E:$E,'Disbursements Summary'!$C:$C,$C43,'Disbursements Summary'!$A:$A,"JUSTICE")</f>
        <v>0</v>
      </c>
      <c r="DH43" s="55">
        <f>SUMIFS('Awards Summary'!$H:$H,'Awards Summary'!$B:$B,$C43,'Awards Summary'!$J:$J,"LCWSA")</f>
        <v>0</v>
      </c>
      <c r="DI43" s="55">
        <f>SUMIFS('Disbursements Summary'!$E:$E,'Disbursements Summary'!$C:$C,$C43,'Disbursements Summary'!$A:$A,"LCWSA")</f>
        <v>0</v>
      </c>
      <c r="DJ43" s="55">
        <f>SUMIFS('Awards Summary'!$H:$H,'Awards Summary'!$B:$B,$C43,'Awards Summary'!$J:$J,"LIPA")</f>
        <v>0</v>
      </c>
      <c r="DK43" s="55">
        <f>SUMIFS('Disbursements Summary'!$E:$E,'Disbursements Summary'!$C:$C,$C43,'Disbursements Summary'!$A:$A,"LIPA")</f>
        <v>0</v>
      </c>
      <c r="DL43" s="55">
        <f>SUMIFS('Awards Summary'!$H:$H,'Awards Summary'!$B:$B,$C43,'Awards Summary'!$J:$J,"MTA")</f>
        <v>0</v>
      </c>
      <c r="DM43" s="55">
        <f>SUMIFS('Disbursements Summary'!$E:$E,'Disbursements Summary'!$C:$C,$C43,'Disbursements Summary'!$A:$A,"MTA")</f>
        <v>0</v>
      </c>
      <c r="DN43" s="55">
        <f>SUMIFS('Awards Summary'!$H:$H,'Awards Summary'!$B:$B,$C43,'Awards Summary'!$J:$J,"NIFA")</f>
        <v>0</v>
      </c>
      <c r="DO43" s="55">
        <f>SUMIFS('Disbursements Summary'!$E:$E,'Disbursements Summary'!$C:$C,$C43,'Disbursements Summary'!$A:$A,"NIFA")</f>
        <v>0</v>
      </c>
      <c r="DP43" s="55">
        <f>SUMIFS('Awards Summary'!$H:$H,'Awards Summary'!$B:$B,$C43,'Awards Summary'!$J:$J,"NHCC")</f>
        <v>0</v>
      </c>
      <c r="DQ43" s="55">
        <f>SUMIFS('Disbursements Summary'!$E:$E,'Disbursements Summary'!$C:$C,$C43,'Disbursements Summary'!$A:$A,"NHCC")</f>
        <v>0</v>
      </c>
      <c r="DR43" s="55">
        <f>SUMIFS('Awards Summary'!$H:$H,'Awards Summary'!$B:$B,$C43,'Awards Summary'!$J:$J,"NHT")</f>
        <v>0</v>
      </c>
      <c r="DS43" s="55">
        <f>SUMIFS('Disbursements Summary'!$E:$E,'Disbursements Summary'!$C:$C,$C43,'Disbursements Summary'!$A:$A,"NHT")</f>
        <v>0</v>
      </c>
      <c r="DT43" s="55">
        <f>SUMIFS('Awards Summary'!$H:$H,'Awards Summary'!$B:$B,$C43,'Awards Summary'!$J:$J,"NYPA")</f>
        <v>0</v>
      </c>
      <c r="DU43" s="55">
        <f>SUMIFS('Disbursements Summary'!$E:$E,'Disbursements Summary'!$C:$C,$C43,'Disbursements Summary'!$A:$A,"NYPA")</f>
        <v>0</v>
      </c>
      <c r="DV43" s="55">
        <f>SUMIFS('Awards Summary'!$H:$H,'Awards Summary'!$B:$B,$C43,'Awards Summary'!$J:$J,"NYSBA")</f>
        <v>0</v>
      </c>
      <c r="DW43" s="55">
        <f>SUMIFS('Disbursements Summary'!$E:$E,'Disbursements Summary'!$C:$C,$C43,'Disbursements Summary'!$A:$A,"NYSBA")</f>
        <v>0</v>
      </c>
      <c r="DX43" s="55">
        <f>SUMIFS('Awards Summary'!$H:$H,'Awards Summary'!$B:$B,$C43,'Awards Summary'!$J:$J,"NYSERDA")</f>
        <v>0</v>
      </c>
      <c r="DY43" s="55">
        <f>SUMIFS('Disbursements Summary'!$E:$E,'Disbursements Summary'!$C:$C,$C43,'Disbursements Summary'!$A:$A,"NYSERDA")</f>
        <v>0</v>
      </c>
      <c r="DZ43" s="55">
        <f>SUMIFS('Awards Summary'!$H:$H,'Awards Summary'!$B:$B,$C43,'Awards Summary'!$J:$J,"DHCR")</f>
        <v>0</v>
      </c>
      <c r="EA43" s="55">
        <f>SUMIFS('Disbursements Summary'!$E:$E,'Disbursements Summary'!$C:$C,$C43,'Disbursements Summary'!$A:$A,"DHCR")</f>
        <v>0</v>
      </c>
      <c r="EB43" s="55">
        <f>SUMIFS('Awards Summary'!$H:$H,'Awards Summary'!$B:$B,$C43,'Awards Summary'!$J:$J,"HFA")</f>
        <v>0</v>
      </c>
      <c r="EC43" s="55">
        <f>SUMIFS('Disbursements Summary'!$E:$E,'Disbursements Summary'!$C:$C,$C43,'Disbursements Summary'!$A:$A,"HFA")</f>
        <v>0</v>
      </c>
      <c r="ED43" s="55">
        <f>SUMIFS('Awards Summary'!$H:$H,'Awards Summary'!$B:$B,$C43,'Awards Summary'!$J:$J,"NYSIF")</f>
        <v>0</v>
      </c>
      <c r="EE43" s="55">
        <f>SUMIFS('Disbursements Summary'!$E:$E,'Disbursements Summary'!$C:$C,$C43,'Disbursements Summary'!$A:$A,"NYSIF")</f>
        <v>0</v>
      </c>
      <c r="EF43" s="55">
        <f>SUMIFS('Awards Summary'!$H:$H,'Awards Summary'!$B:$B,$C43,'Awards Summary'!$J:$J,"NYBREDS")</f>
        <v>0</v>
      </c>
      <c r="EG43" s="55">
        <f>SUMIFS('Disbursements Summary'!$E:$E,'Disbursements Summary'!$C:$C,$C43,'Disbursements Summary'!$A:$A,"NYBREDS")</f>
        <v>0</v>
      </c>
      <c r="EH43" s="55">
        <f>SUMIFS('Awards Summary'!$H:$H,'Awards Summary'!$B:$B,$C43,'Awards Summary'!$J:$J,"NYSTA")</f>
        <v>0</v>
      </c>
      <c r="EI43" s="55">
        <f>SUMIFS('Disbursements Summary'!$E:$E,'Disbursements Summary'!$C:$C,$C43,'Disbursements Summary'!$A:$A,"NYSTA")</f>
        <v>0</v>
      </c>
      <c r="EJ43" s="55">
        <f>SUMIFS('Awards Summary'!$H:$H,'Awards Summary'!$B:$B,$C43,'Awards Summary'!$J:$J,"NFWB")</f>
        <v>0</v>
      </c>
      <c r="EK43" s="55">
        <f>SUMIFS('Disbursements Summary'!$E:$E,'Disbursements Summary'!$C:$C,$C43,'Disbursements Summary'!$A:$A,"NFWB")</f>
        <v>0</v>
      </c>
      <c r="EL43" s="55">
        <f>SUMIFS('Awards Summary'!$H:$H,'Awards Summary'!$B:$B,$C43,'Awards Summary'!$J:$J,"NFTA")</f>
        <v>0</v>
      </c>
      <c r="EM43" s="55">
        <f>SUMIFS('Disbursements Summary'!$E:$E,'Disbursements Summary'!$C:$C,$C43,'Disbursements Summary'!$A:$A,"NFTA")</f>
        <v>0</v>
      </c>
      <c r="EN43" s="55">
        <f>SUMIFS('Awards Summary'!$H:$H,'Awards Summary'!$B:$B,$C43,'Awards Summary'!$J:$J,"OPWDD")</f>
        <v>0</v>
      </c>
      <c r="EO43" s="55">
        <f>SUMIFS('Disbursements Summary'!$E:$E,'Disbursements Summary'!$C:$C,$C43,'Disbursements Summary'!$A:$A,"OPWDD")</f>
        <v>0</v>
      </c>
      <c r="EP43" s="55">
        <f>SUMIFS('Awards Summary'!$H:$H,'Awards Summary'!$B:$B,$C43,'Awards Summary'!$J:$J,"AGING")</f>
        <v>0</v>
      </c>
      <c r="EQ43" s="55">
        <f>SUMIFS('Disbursements Summary'!$E:$E,'Disbursements Summary'!$C:$C,$C43,'Disbursements Summary'!$A:$A,"AGING")</f>
        <v>0</v>
      </c>
      <c r="ER43" s="55">
        <f>SUMIFS('Awards Summary'!$H:$H,'Awards Summary'!$B:$B,$C43,'Awards Summary'!$J:$J,"OPDV")</f>
        <v>0</v>
      </c>
      <c r="ES43" s="55">
        <f>SUMIFS('Disbursements Summary'!$E:$E,'Disbursements Summary'!$C:$C,$C43,'Disbursements Summary'!$A:$A,"OPDV")</f>
        <v>0</v>
      </c>
      <c r="ET43" s="55">
        <f>SUMIFS('Awards Summary'!$H:$H,'Awards Summary'!$B:$B,$C43,'Awards Summary'!$J:$J,"OVS")</f>
        <v>0</v>
      </c>
      <c r="EU43" s="55">
        <f>SUMIFS('Disbursements Summary'!$E:$E,'Disbursements Summary'!$C:$C,$C43,'Disbursements Summary'!$A:$A,"OVS")</f>
        <v>0</v>
      </c>
      <c r="EV43" s="55">
        <f>SUMIFS('Awards Summary'!$H:$H,'Awards Summary'!$B:$B,$C43,'Awards Summary'!$J:$J,"OASAS")</f>
        <v>0</v>
      </c>
      <c r="EW43" s="55">
        <f>SUMIFS('Disbursements Summary'!$E:$E,'Disbursements Summary'!$C:$C,$C43,'Disbursements Summary'!$A:$A,"OASAS")</f>
        <v>0</v>
      </c>
      <c r="EX43" s="55">
        <f>SUMIFS('Awards Summary'!$H:$H,'Awards Summary'!$B:$B,$C43,'Awards Summary'!$J:$J,"OCFS")</f>
        <v>0</v>
      </c>
      <c r="EY43" s="55">
        <f>SUMIFS('Disbursements Summary'!$E:$E,'Disbursements Summary'!$C:$C,$C43,'Disbursements Summary'!$A:$A,"OCFS")</f>
        <v>0</v>
      </c>
      <c r="EZ43" s="55">
        <f>SUMIFS('Awards Summary'!$H:$H,'Awards Summary'!$B:$B,$C43,'Awards Summary'!$J:$J,"OGS")</f>
        <v>0</v>
      </c>
      <c r="FA43" s="55">
        <f>SUMIFS('Disbursements Summary'!$E:$E,'Disbursements Summary'!$C:$C,$C43,'Disbursements Summary'!$A:$A,"OGS")</f>
        <v>0</v>
      </c>
      <c r="FB43" s="55">
        <f>SUMIFS('Awards Summary'!$H:$H,'Awards Summary'!$B:$B,$C43,'Awards Summary'!$J:$J,"OMH")</f>
        <v>0</v>
      </c>
      <c r="FC43" s="55">
        <f>SUMIFS('Disbursements Summary'!$E:$E,'Disbursements Summary'!$C:$C,$C43,'Disbursements Summary'!$A:$A,"OMH")</f>
        <v>0</v>
      </c>
      <c r="FD43" s="55">
        <f>SUMIFS('Awards Summary'!$H:$H,'Awards Summary'!$B:$B,$C43,'Awards Summary'!$J:$J,"PARKS")</f>
        <v>0</v>
      </c>
      <c r="FE43" s="55">
        <f>SUMIFS('Disbursements Summary'!$E:$E,'Disbursements Summary'!$C:$C,$C43,'Disbursements Summary'!$A:$A,"PARKS")</f>
        <v>0</v>
      </c>
      <c r="FF43" s="55">
        <f>SUMIFS('Awards Summary'!$H:$H,'Awards Summary'!$B:$B,$C43,'Awards Summary'!$J:$J,"OTDA")</f>
        <v>0</v>
      </c>
      <c r="FG43" s="55">
        <f>SUMIFS('Disbursements Summary'!$E:$E,'Disbursements Summary'!$C:$C,$C43,'Disbursements Summary'!$A:$A,"OTDA")</f>
        <v>0</v>
      </c>
      <c r="FH43" s="55">
        <f>SUMIFS('Awards Summary'!$H:$H,'Awards Summary'!$B:$B,$C43,'Awards Summary'!$J:$J,"OIG")</f>
        <v>0</v>
      </c>
      <c r="FI43" s="55">
        <f>SUMIFS('Disbursements Summary'!$E:$E,'Disbursements Summary'!$C:$C,$C43,'Disbursements Summary'!$A:$A,"OIG")</f>
        <v>0</v>
      </c>
      <c r="FJ43" s="55">
        <f>SUMIFS('Awards Summary'!$H:$H,'Awards Summary'!$B:$B,$C43,'Awards Summary'!$J:$J,"OMIG")</f>
        <v>0</v>
      </c>
      <c r="FK43" s="55">
        <f>SUMIFS('Disbursements Summary'!$E:$E,'Disbursements Summary'!$C:$C,$C43,'Disbursements Summary'!$A:$A,"OMIG")</f>
        <v>0</v>
      </c>
      <c r="FL43" s="55">
        <f>SUMIFS('Awards Summary'!$H:$H,'Awards Summary'!$B:$B,$C43,'Awards Summary'!$J:$J,"OSC")</f>
        <v>0</v>
      </c>
      <c r="FM43" s="55">
        <f>SUMIFS('Disbursements Summary'!$E:$E,'Disbursements Summary'!$C:$C,$C43,'Disbursements Summary'!$A:$A,"OSC")</f>
        <v>0</v>
      </c>
      <c r="FN43" s="55">
        <f>SUMIFS('Awards Summary'!$H:$H,'Awards Summary'!$B:$B,$C43,'Awards Summary'!$J:$J,"OWIG")</f>
        <v>0</v>
      </c>
      <c r="FO43" s="55">
        <f>SUMIFS('Disbursements Summary'!$E:$E,'Disbursements Summary'!$C:$C,$C43,'Disbursements Summary'!$A:$A,"OWIG")</f>
        <v>0</v>
      </c>
      <c r="FP43" s="55">
        <f>SUMIFS('Awards Summary'!$H:$H,'Awards Summary'!$B:$B,$C43,'Awards Summary'!$J:$J,"OGDEN")</f>
        <v>0</v>
      </c>
      <c r="FQ43" s="55">
        <f>SUMIFS('Disbursements Summary'!$E:$E,'Disbursements Summary'!$C:$C,$C43,'Disbursements Summary'!$A:$A,"OGDEN")</f>
        <v>0</v>
      </c>
      <c r="FR43" s="55">
        <f>SUMIFS('Awards Summary'!$H:$H,'Awards Summary'!$B:$B,$C43,'Awards Summary'!$J:$J,"ORDA")</f>
        <v>0</v>
      </c>
      <c r="FS43" s="55">
        <f>SUMIFS('Disbursements Summary'!$E:$E,'Disbursements Summary'!$C:$C,$C43,'Disbursements Summary'!$A:$A,"ORDA")</f>
        <v>0</v>
      </c>
      <c r="FT43" s="55">
        <f>SUMIFS('Awards Summary'!$H:$H,'Awards Summary'!$B:$B,$C43,'Awards Summary'!$J:$J,"OSWEGO")</f>
        <v>0</v>
      </c>
      <c r="FU43" s="55">
        <f>SUMIFS('Disbursements Summary'!$E:$E,'Disbursements Summary'!$C:$C,$C43,'Disbursements Summary'!$A:$A,"OSWEGO")</f>
        <v>0</v>
      </c>
      <c r="FV43" s="55">
        <f>SUMIFS('Awards Summary'!$H:$H,'Awards Summary'!$B:$B,$C43,'Awards Summary'!$J:$J,"PERB")</f>
        <v>0</v>
      </c>
      <c r="FW43" s="55">
        <f>SUMIFS('Disbursements Summary'!$E:$E,'Disbursements Summary'!$C:$C,$C43,'Disbursements Summary'!$A:$A,"PERB")</f>
        <v>0</v>
      </c>
      <c r="FX43" s="55">
        <f>SUMIFS('Awards Summary'!$H:$H,'Awards Summary'!$B:$B,$C43,'Awards Summary'!$J:$J,"RGRTA")</f>
        <v>0</v>
      </c>
      <c r="FY43" s="55">
        <f>SUMIFS('Disbursements Summary'!$E:$E,'Disbursements Summary'!$C:$C,$C43,'Disbursements Summary'!$A:$A,"RGRTA")</f>
        <v>0</v>
      </c>
      <c r="FZ43" s="55">
        <f>SUMIFS('Awards Summary'!$H:$H,'Awards Summary'!$B:$B,$C43,'Awards Summary'!$J:$J,"RIOC")</f>
        <v>0</v>
      </c>
      <c r="GA43" s="55">
        <f>SUMIFS('Disbursements Summary'!$E:$E,'Disbursements Summary'!$C:$C,$C43,'Disbursements Summary'!$A:$A,"RIOC")</f>
        <v>0</v>
      </c>
      <c r="GB43" s="55">
        <f>SUMIFS('Awards Summary'!$H:$H,'Awards Summary'!$B:$B,$C43,'Awards Summary'!$J:$J,"RPCI")</f>
        <v>0</v>
      </c>
      <c r="GC43" s="55">
        <f>SUMIFS('Disbursements Summary'!$E:$E,'Disbursements Summary'!$C:$C,$C43,'Disbursements Summary'!$A:$A,"RPCI")</f>
        <v>0</v>
      </c>
      <c r="GD43" s="55">
        <f>SUMIFS('Awards Summary'!$H:$H,'Awards Summary'!$B:$B,$C43,'Awards Summary'!$J:$J,"SMDA")</f>
        <v>0</v>
      </c>
      <c r="GE43" s="55">
        <f>SUMIFS('Disbursements Summary'!$E:$E,'Disbursements Summary'!$C:$C,$C43,'Disbursements Summary'!$A:$A,"SMDA")</f>
        <v>0</v>
      </c>
      <c r="GF43" s="55">
        <f>SUMIFS('Awards Summary'!$H:$H,'Awards Summary'!$B:$B,$C43,'Awards Summary'!$J:$J,"SCOC")</f>
        <v>0</v>
      </c>
      <c r="GG43" s="55">
        <f>SUMIFS('Disbursements Summary'!$E:$E,'Disbursements Summary'!$C:$C,$C43,'Disbursements Summary'!$A:$A,"SCOC")</f>
        <v>0</v>
      </c>
      <c r="GH43" s="55">
        <f>SUMIFS('Awards Summary'!$H:$H,'Awards Summary'!$B:$B,$C43,'Awards Summary'!$J:$J,"SUCF")</f>
        <v>0</v>
      </c>
      <c r="GI43" s="55">
        <f>SUMIFS('Disbursements Summary'!$E:$E,'Disbursements Summary'!$C:$C,$C43,'Disbursements Summary'!$A:$A,"SUCF")</f>
        <v>0</v>
      </c>
      <c r="GJ43" s="55">
        <f>SUMIFS('Awards Summary'!$H:$H,'Awards Summary'!$B:$B,$C43,'Awards Summary'!$J:$J,"SUNY")</f>
        <v>0</v>
      </c>
      <c r="GK43" s="55">
        <f>SUMIFS('Disbursements Summary'!$E:$E,'Disbursements Summary'!$C:$C,$C43,'Disbursements Summary'!$A:$A,"SUNY")</f>
        <v>0</v>
      </c>
      <c r="GL43" s="55">
        <f>SUMIFS('Awards Summary'!$H:$H,'Awards Summary'!$B:$B,$C43,'Awards Summary'!$J:$J,"SRAA")</f>
        <v>0</v>
      </c>
      <c r="GM43" s="55">
        <f>SUMIFS('Disbursements Summary'!$E:$E,'Disbursements Summary'!$C:$C,$C43,'Disbursements Summary'!$A:$A,"SRAA")</f>
        <v>0</v>
      </c>
      <c r="GN43" s="55">
        <f>SUMIFS('Awards Summary'!$H:$H,'Awards Summary'!$B:$B,$C43,'Awards Summary'!$J:$J,"UNDC")</f>
        <v>0</v>
      </c>
      <c r="GO43" s="55">
        <f>SUMIFS('Disbursements Summary'!$E:$E,'Disbursements Summary'!$C:$C,$C43,'Disbursements Summary'!$A:$A,"UNDC")</f>
        <v>0</v>
      </c>
      <c r="GP43" s="55">
        <f>SUMIFS('Awards Summary'!$H:$H,'Awards Summary'!$B:$B,$C43,'Awards Summary'!$J:$J,"MVWA")</f>
        <v>0</v>
      </c>
      <c r="GQ43" s="55">
        <f>SUMIFS('Disbursements Summary'!$E:$E,'Disbursements Summary'!$C:$C,$C43,'Disbursements Summary'!$A:$A,"MVWA")</f>
        <v>0</v>
      </c>
      <c r="GR43" s="55">
        <f>SUMIFS('Awards Summary'!$H:$H,'Awards Summary'!$B:$B,$C43,'Awards Summary'!$J:$J,"WMC")</f>
        <v>0</v>
      </c>
      <c r="GS43" s="55">
        <f>SUMIFS('Disbursements Summary'!$E:$E,'Disbursements Summary'!$C:$C,$C43,'Disbursements Summary'!$A:$A,"WMC")</f>
        <v>0</v>
      </c>
      <c r="GT43" s="55">
        <f>SUMIFS('Awards Summary'!$H:$H,'Awards Summary'!$B:$B,$C43,'Awards Summary'!$J:$J,"WCB")</f>
        <v>0</v>
      </c>
      <c r="GU43" s="55">
        <f>SUMIFS('Disbursements Summary'!$E:$E,'Disbursements Summary'!$C:$C,$C43,'Disbursements Summary'!$A:$A,"WCB")</f>
        <v>0</v>
      </c>
      <c r="GV43" s="32">
        <f t="shared" si="5"/>
        <v>0</v>
      </c>
      <c r="GW43" s="32">
        <f t="shared" si="6"/>
        <v>0</v>
      </c>
      <c r="GX43" s="30" t="b">
        <f t="shared" si="7"/>
        <v>1</v>
      </c>
      <c r="GY43" s="30" t="b">
        <f t="shared" si="8"/>
        <v>1</v>
      </c>
    </row>
    <row r="44" spans="1:207" s="30" customFormat="1">
      <c r="A44" s="22" t="str">
        <f t="shared" si="0"/>
        <v/>
      </c>
      <c r="B44" s="40" t="s">
        <v>198</v>
      </c>
      <c r="C44" s="16">
        <v>141075</v>
      </c>
      <c r="D44" s="26">
        <f>COUNTIF('Awards Summary'!B:B,"141075")</f>
        <v>0</v>
      </c>
      <c r="E44" s="45">
        <f>SUMIFS('Awards Summary'!H:H,'Awards Summary'!B:B,"141075")</f>
        <v>0</v>
      </c>
      <c r="F44" s="46">
        <f>SUMIFS('Disbursements Summary'!E:E,'Disbursements Summary'!C:C, "141075")</f>
        <v>0</v>
      </c>
      <c r="H44" s="55">
        <f>SUMIFS('Awards Summary'!$H:$H,'Awards Summary'!$B:$B,$C44,'Awards Summary'!$J:$J,"APA")</f>
        <v>0</v>
      </c>
      <c r="I44" s="55">
        <f>SUMIFS('Disbursements Summary'!$E:$E,'Disbursements Summary'!$C:$C,$C44,'Disbursements Summary'!$A:$A,"APA")</f>
        <v>0</v>
      </c>
      <c r="J44" s="55">
        <f>SUMIFS('Awards Summary'!$H:$H,'Awards Summary'!$B:$B,$C44,'Awards Summary'!$J:$J,"Ag&amp;Horse")</f>
        <v>0</v>
      </c>
      <c r="K44" s="55">
        <f>SUMIFS('Disbursements Summary'!$E:$E,'Disbursements Summary'!$C:$C,$C44,'Disbursements Summary'!$A:$A,"Ag&amp;Horse")</f>
        <v>0</v>
      </c>
      <c r="L44" s="55">
        <f>SUMIFS('Awards Summary'!$H:$H,'Awards Summary'!$B:$B,$C44,'Awards Summary'!$J:$J,"ACAA")</f>
        <v>0</v>
      </c>
      <c r="M44" s="55">
        <f>SUMIFS('Disbursements Summary'!$E:$E,'Disbursements Summary'!$C:$C,$C44,'Disbursements Summary'!$A:$A,"ACAA")</f>
        <v>0</v>
      </c>
      <c r="N44" s="55">
        <f>SUMIFS('Awards Summary'!$H:$H,'Awards Summary'!$B:$B,$C44,'Awards Summary'!$J:$J,"PortAlbany")</f>
        <v>0</v>
      </c>
      <c r="O44" s="55">
        <f>SUMIFS('Disbursements Summary'!$E:$E,'Disbursements Summary'!$C:$C,$C44,'Disbursements Summary'!$A:$A,"PortAlbany")</f>
        <v>0</v>
      </c>
      <c r="P44" s="55">
        <f>SUMIFS('Awards Summary'!$H:$H,'Awards Summary'!$B:$B,$C44,'Awards Summary'!$J:$J,"SLA")</f>
        <v>0</v>
      </c>
      <c r="Q44" s="55">
        <f>SUMIFS('Disbursements Summary'!$E:$E,'Disbursements Summary'!$C:$C,$C44,'Disbursements Summary'!$A:$A,"SLA")</f>
        <v>0</v>
      </c>
      <c r="R44" s="55">
        <f>SUMIFS('Awards Summary'!$H:$H,'Awards Summary'!$B:$B,$C44,'Awards Summary'!$J:$J,"BPCA")</f>
        <v>0</v>
      </c>
      <c r="S44" s="55">
        <f>SUMIFS('Disbursements Summary'!$E:$E,'Disbursements Summary'!$C:$C,$C44,'Disbursements Summary'!$A:$A,"BPCA")</f>
        <v>0</v>
      </c>
      <c r="T44" s="55">
        <f>SUMIFS('Awards Summary'!$H:$H,'Awards Summary'!$B:$B,$C44,'Awards Summary'!$J:$J,"ELECTIONS")</f>
        <v>0</v>
      </c>
      <c r="U44" s="55">
        <f>SUMIFS('Disbursements Summary'!$E:$E,'Disbursements Summary'!$C:$C,$C44,'Disbursements Summary'!$A:$A,"ELECTIONS")</f>
        <v>0</v>
      </c>
      <c r="V44" s="55">
        <f>SUMIFS('Awards Summary'!$H:$H,'Awards Summary'!$B:$B,$C44,'Awards Summary'!$J:$J,"BFSA")</f>
        <v>0</v>
      </c>
      <c r="W44" s="55">
        <f>SUMIFS('Disbursements Summary'!$E:$E,'Disbursements Summary'!$C:$C,$C44,'Disbursements Summary'!$A:$A,"BFSA")</f>
        <v>0</v>
      </c>
      <c r="X44" s="55">
        <f>SUMIFS('Awards Summary'!$H:$H,'Awards Summary'!$B:$B,$C44,'Awards Summary'!$J:$J,"CDTA")</f>
        <v>0</v>
      </c>
      <c r="Y44" s="55">
        <f>SUMIFS('Disbursements Summary'!$E:$E,'Disbursements Summary'!$C:$C,$C44,'Disbursements Summary'!$A:$A,"CDTA")</f>
        <v>0</v>
      </c>
      <c r="Z44" s="55">
        <f>SUMIFS('Awards Summary'!$H:$H,'Awards Summary'!$B:$B,$C44,'Awards Summary'!$J:$J,"CCWSA")</f>
        <v>0</v>
      </c>
      <c r="AA44" s="55">
        <f>SUMIFS('Disbursements Summary'!$E:$E,'Disbursements Summary'!$C:$C,$C44,'Disbursements Summary'!$A:$A,"CCWSA")</f>
        <v>0</v>
      </c>
      <c r="AB44" s="55">
        <f>SUMIFS('Awards Summary'!$H:$H,'Awards Summary'!$B:$B,$C44,'Awards Summary'!$J:$J,"CNYRTA")</f>
        <v>0</v>
      </c>
      <c r="AC44" s="55">
        <f>SUMIFS('Disbursements Summary'!$E:$E,'Disbursements Summary'!$C:$C,$C44,'Disbursements Summary'!$A:$A,"CNYRTA")</f>
        <v>0</v>
      </c>
      <c r="AD44" s="55">
        <f>SUMIFS('Awards Summary'!$H:$H,'Awards Summary'!$B:$B,$C44,'Awards Summary'!$J:$J,"CUCF")</f>
        <v>0</v>
      </c>
      <c r="AE44" s="55">
        <f>SUMIFS('Disbursements Summary'!$E:$E,'Disbursements Summary'!$C:$C,$C44,'Disbursements Summary'!$A:$A,"CUCF")</f>
        <v>0</v>
      </c>
      <c r="AF44" s="55">
        <f>SUMIFS('Awards Summary'!$H:$H,'Awards Summary'!$B:$B,$C44,'Awards Summary'!$J:$J,"CUNY")</f>
        <v>0</v>
      </c>
      <c r="AG44" s="55">
        <f>SUMIFS('Disbursements Summary'!$E:$E,'Disbursements Summary'!$C:$C,$C44,'Disbursements Summary'!$A:$A,"CUNY")</f>
        <v>0</v>
      </c>
      <c r="AH44" s="55">
        <f>SUMIFS('Awards Summary'!$H:$H,'Awards Summary'!$B:$B,$C44,'Awards Summary'!$J:$J,"ARTS")</f>
        <v>0</v>
      </c>
      <c r="AI44" s="55">
        <f>SUMIFS('Disbursements Summary'!$E:$E,'Disbursements Summary'!$C:$C,$C44,'Disbursements Summary'!$A:$A,"ARTS")</f>
        <v>0</v>
      </c>
      <c r="AJ44" s="55">
        <f>SUMIFS('Awards Summary'!$H:$H,'Awards Summary'!$B:$B,$C44,'Awards Summary'!$J:$J,"AG&amp;MKTS")</f>
        <v>0</v>
      </c>
      <c r="AK44" s="55">
        <f>SUMIFS('Disbursements Summary'!$E:$E,'Disbursements Summary'!$C:$C,$C44,'Disbursements Summary'!$A:$A,"AG&amp;MKTS")</f>
        <v>0</v>
      </c>
      <c r="AL44" s="55">
        <f>SUMIFS('Awards Summary'!$H:$H,'Awards Summary'!$B:$B,$C44,'Awards Summary'!$J:$J,"CS")</f>
        <v>0</v>
      </c>
      <c r="AM44" s="55">
        <f>SUMIFS('Disbursements Summary'!$E:$E,'Disbursements Summary'!$C:$C,$C44,'Disbursements Summary'!$A:$A,"CS")</f>
        <v>0</v>
      </c>
      <c r="AN44" s="55">
        <f>SUMIFS('Awards Summary'!$H:$H,'Awards Summary'!$B:$B,$C44,'Awards Summary'!$J:$J,"DOCCS")</f>
        <v>0</v>
      </c>
      <c r="AO44" s="55">
        <f>SUMIFS('Disbursements Summary'!$E:$E,'Disbursements Summary'!$C:$C,$C44,'Disbursements Summary'!$A:$A,"DOCCS")</f>
        <v>0</v>
      </c>
      <c r="AP44" s="55">
        <f>SUMIFS('Awards Summary'!$H:$H,'Awards Summary'!$B:$B,$C44,'Awards Summary'!$J:$J,"DED")</f>
        <v>0</v>
      </c>
      <c r="AQ44" s="55">
        <f>SUMIFS('Disbursements Summary'!$E:$E,'Disbursements Summary'!$C:$C,$C44,'Disbursements Summary'!$A:$A,"DED")</f>
        <v>0</v>
      </c>
      <c r="AR44" s="55">
        <f>SUMIFS('Awards Summary'!$H:$H,'Awards Summary'!$B:$B,$C44,'Awards Summary'!$J:$J,"DEC")</f>
        <v>0</v>
      </c>
      <c r="AS44" s="55">
        <f>SUMIFS('Disbursements Summary'!$E:$E,'Disbursements Summary'!$C:$C,$C44,'Disbursements Summary'!$A:$A,"DEC")</f>
        <v>0</v>
      </c>
      <c r="AT44" s="55">
        <f>SUMIFS('Awards Summary'!$H:$H,'Awards Summary'!$B:$B,$C44,'Awards Summary'!$J:$J,"DFS")</f>
        <v>0</v>
      </c>
      <c r="AU44" s="55">
        <f>SUMIFS('Disbursements Summary'!$E:$E,'Disbursements Summary'!$C:$C,$C44,'Disbursements Summary'!$A:$A,"DFS")</f>
        <v>0</v>
      </c>
      <c r="AV44" s="55">
        <f>SUMIFS('Awards Summary'!$H:$H,'Awards Summary'!$B:$B,$C44,'Awards Summary'!$J:$J,"DOH")</f>
        <v>0</v>
      </c>
      <c r="AW44" s="55">
        <f>SUMIFS('Disbursements Summary'!$E:$E,'Disbursements Summary'!$C:$C,$C44,'Disbursements Summary'!$A:$A,"DOH")</f>
        <v>0</v>
      </c>
      <c r="AX44" s="55">
        <f>SUMIFS('Awards Summary'!$H:$H,'Awards Summary'!$B:$B,$C44,'Awards Summary'!$J:$J,"DOL")</f>
        <v>0</v>
      </c>
      <c r="AY44" s="55">
        <f>SUMIFS('Disbursements Summary'!$E:$E,'Disbursements Summary'!$C:$C,$C44,'Disbursements Summary'!$A:$A,"DOL")</f>
        <v>0</v>
      </c>
      <c r="AZ44" s="55">
        <f>SUMIFS('Awards Summary'!$H:$H,'Awards Summary'!$B:$B,$C44,'Awards Summary'!$J:$J,"DMV")</f>
        <v>0</v>
      </c>
      <c r="BA44" s="55">
        <f>SUMIFS('Disbursements Summary'!$E:$E,'Disbursements Summary'!$C:$C,$C44,'Disbursements Summary'!$A:$A,"DMV")</f>
        <v>0</v>
      </c>
      <c r="BB44" s="55">
        <f>SUMIFS('Awards Summary'!$H:$H,'Awards Summary'!$B:$B,$C44,'Awards Summary'!$J:$J,"DPS")</f>
        <v>0</v>
      </c>
      <c r="BC44" s="55">
        <f>SUMIFS('Disbursements Summary'!$E:$E,'Disbursements Summary'!$C:$C,$C44,'Disbursements Summary'!$A:$A,"DPS")</f>
        <v>0</v>
      </c>
      <c r="BD44" s="55">
        <f>SUMIFS('Awards Summary'!$H:$H,'Awards Summary'!$B:$B,$C44,'Awards Summary'!$J:$J,"DOS")</f>
        <v>0</v>
      </c>
      <c r="BE44" s="55">
        <f>SUMIFS('Disbursements Summary'!$E:$E,'Disbursements Summary'!$C:$C,$C44,'Disbursements Summary'!$A:$A,"DOS")</f>
        <v>0</v>
      </c>
      <c r="BF44" s="55">
        <f>SUMIFS('Awards Summary'!$H:$H,'Awards Summary'!$B:$B,$C44,'Awards Summary'!$J:$J,"TAX")</f>
        <v>0</v>
      </c>
      <c r="BG44" s="55">
        <f>SUMIFS('Disbursements Summary'!$E:$E,'Disbursements Summary'!$C:$C,$C44,'Disbursements Summary'!$A:$A,"TAX")</f>
        <v>0</v>
      </c>
      <c r="BH44" s="55">
        <f>SUMIFS('Awards Summary'!$H:$H,'Awards Summary'!$B:$B,$C44,'Awards Summary'!$J:$J,"DOT")</f>
        <v>0</v>
      </c>
      <c r="BI44" s="55">
        <f>SUMIFS('Disbursements Summary'!$E:$E,'Disbursements Summary'!$C:$C,$C44,'Disbursements Summary'!$A:$A,"DOT")</f>
        <v>0</v>
      </c>
      <c r="BJ44" s="55">
        <f>SUMIFS('Awards Summary'!$H:$H,'Awards Summary'!$B:$B,$C44,'Awards Summary'!$J:$J,"DANC")</f>
        <v>0</v>
      </c>
      <c r="BK44" s="55">
        <f>SUMIFS('Disbursements Summary'!$E:$E,'Disbursements Summary'!$C:$C,$C44,'Disbursements Summary'!$A:$A,"DANC")</f>
        <v>0</v>
      </c>
      <c r="BL44" s="55">
        <f>SUMIFS('Awards Summary'!$H:$H,'Awards Summary'!$B:$B,$C44,'Awards Summary'!$J:$J,"DOB")</f>
        <v>0</v>
      </c>
      <c r="BM44" s="55">
        <f>SUMIFS('Disbursements Summary'!$E:$E,'Disbursements Summary'!$C:$C,$C44,'Disbursements Summary'!$A:$A,"DOB")</f>
        <v>0</v>
      </c>
      <c r="BN44" s="55">
        <f>SUMIFS('Awards Summary'!$H:$H,'Awards Summary'!$B:$B,$C44,'Awards Summary'!$J:$J,"DCJS")</f>
        <v>0</v>
      </c>
      <c r="BO44" s="55">
        <f>SUMIFS('Disbursements Summary'!$E:$E,'Disbursements Summary'!$C:$C,$C44,'Disbursements Summary'!$A:$A,"DCJS")</f>
        <v>0</v>
      </c>
      <c r="BP44" s="55">
        <f>SUMIFS('Awards Summary'!$H:$H,'Awards Summary'!$B:$B,$C44,'Awards Summary'!$J:$J,"DHSES")</f>
        <v>0</v>
      </c>
      <c r="BQ44" s="55">
        <f>SUMIFS('Disbursements Summary'!$E:$E,'Disbursements Summary'!$C:$C,$C44,'Disbursements Summary'!$A:$A,"DHSES")</f>
        <v>0</v>
      </c>
      <c r="BR44" s="55">
        <f>SUMIFS('Awards Summary'!$H:$H,'Awards Summary'!$B:$B,$C44,'Awards Summary'!$J:$J,"DHR")</f>
        <v>0</v>
      </c>
      <c r="BS44" s="55">
        <f>SUMIFS('Disbursements Summary'!$E:$E,'Disbursements Summary'!$C:$C,$C44,'Disbursements Summary'!$A:$A,"DHR")</f>
        <v>0</v>
      </c>
      <c r="BT44" s="55">
        <f>SUMIFS('Awards Summary'!$H:$H,'Awards Summary'!$B:$B,$C44,'Awards Summary'!$J:$J,"DMNA")</f>
        <v>0</v>
      </c>
      <c r="BU44" s="55">
        <f>SUMIFS('Disbursements Summary'!$E:$E,'Disbursements Summary'!$C:$C,$C44,'Disbursements Summary'!$A:$A,"DMNA")</f>
        <v>0</v>
      </c>
      <c r="BV44" s="55">
        <f>SUMIFS('Awards Summary'!$H:$H,'Awards Summary'!$B:$B,$C44,'Awards Summary'!$J:$J,"TROOPERS")</f>
        <v>0</v>
      </c>
      <c r="BW44" s="55">
        <f>SUMIFS('Disbursements Summary'!$E:$E,'Disbursements Summary'!$C:$C,$C44,'Disbursements Summary'!$A:$A,"TROOPERS")</f>
        <v>0</v>
      </c>
      <c r="BX44" s="55">
        <f>SUMIFS('Awards Summary'!$H:$H,'Awards Summary'!$B:$B,$C44,'Awards Summary'!$J:$J,"DVA")</f>
        <v>0</v>
      </c>
      <c r="BY44" s="55">
        <f>SUMIFS('Disbursements Summary'!$E:$E,'Disbursements Summary'!$C:$C,$C44,'Disbursements Summary'!$A:$A,"DVA")</f>
        <v>0</v>
      </c>
      <c r="BZ44" s="55">
        <f>SUMIFS('Awards Summary'!$H:$H,'Awards Summary'!$B:$B,$C44,'Awards Summary'!$J:$J,"DASNY")</f>
        <v>0</v>
      </c>
      <c r="CA44" s="55">
        <f>SUMIFS('Disbursements Summary'!$E:$E,'Disbursements Summary'!$C:$C,$C44,'Disbursements Summary'!$A:$A,"DASNY")</f>
        <v>0</v>
      </c>
      <c r="CB44" s="55">
        <f>SUMIFS('Awards Summary'!$H:$H,'Awards Summary'!$B:$B,$C44,'Awards Summary'!$J:$J,"EGG")</f>
        <v>0</v>
      </c>
      <c r="CC44" s="55">
        <f>SUMIFS('Disbursements Summary'!$E:$E,'Disbursements Summary'!$C:$C,$C44,'Disbursements Summary'!$A:$A,"EGG")</f>
        <v>0</v>
      </c>
      <c r="CD44" s="55">
        <f>SUMIFS('Awards Summary'!$H:$H,'Awards Summary'!$B:$B,$C44,'Awards Summary'!$J:$J,"ESD")</f>
        <v>0</v>
      </c>
      <c r="CE44" s="55">
        <f>SUMIFS('Disbursements Summary'!$E:$E,'Disbursements Summary'!$C:$C,$C44,'Disbursements Summary'!$A:$A,"ESD")</f>
        <v>0</v>
      </c>
      <c r="CF44" s="55">
        <f>SUMIFS('Awards Summary'!$H:$H,'Awards Summary'!$B:$B,$C44,'Awards Summary'!$J:$J,"EFC")</f>
        <v>0</v>
      </c>
      <c r="CG44" s="55">
        <f>SUMIFS('Disbursements Summary'!$E:$E,'Disbursements Summary'!$C:$C,$C44,'Disbursements Summary'!$A:$A,"EFC")</f>
        <v>0</v>
      </c>
      <c r="CH44" s="55">
        <f>SUMIFS('Awards Summary'!$H:$H,'Awards Summary'!$B:$B,$C44,'Awards Summary'!$J:$J,"ECFSA")</f>
        <v>0</v>
      </c>
      <c r="CI44" s="55">
        <f>SUMIFS('Disbursements Summary'!$E:$E,'Disbursements Summary'!$C:$C,$C44,'Disbursements Summary'!$A:$A,"ECFSA")</f>
        <v>0</v>
      </c>
      <c r="CJ44" s="55">
        <f>SUMIFS('Awards Summary'!$H:$H,'Awards Summary'!$B:$B,$C44,'Awards Summary'!$J:$J,"ECMC")</f>
        <v>0</v>
      </c>
      <c r="CK44" s="55">
        <f>SUMIFS('Disbursements Summary'!$E:$E,'Disbursements Summary'!$C:$C,$C44,'Disbursements Summary'!$A:$A,"ECMC")</f>
        <v>0</v>
      </c>
      <c r="CL44" s="55">
        <f>SUMIFS('Awards Summary'!$H:$H,'Awards Summary'!$B:$B,$C44,'Awards Summary'!$J:$J,"CHAMBER")</f>
        <v>0</v>
      </c>
      <c r="CM44" s="55">
        <f>SUMIFS('Disbursements Summary'!$E:$E,'Disbursements Summary'!$C:$C,$C44,'Disbursements Summary'!$A:$A,"CHAMBER")</f>
        <v>0</v>
      </c>
      <c r="CN44" s="55">
        <f>SUMIFS('Awards Summary'!$H:$H,'Awards Summary'!$B:$B,$C44,'Awards Summary'!$J:$J,"GAMING")</f>
        <v>0</v>
      </c>
      <c r="CO44" s="55">
        <f>SUMIFS('Disbursements Summary'!$E:$E,'Disbursements Summary'!$C:$C,$C44,'Disbursements Summary'!$A:$A,"GAMING")</f>
        <v>0</v>
      </c>
      <c r="CP44" s="55">
        <f>SUMIFS('Awards Summary'!$H:$H,'Awards Summary'!$B:$B,$C44,'Awards Summary'!$J:$J,"GOER")</f>
        <v>0</v>
      </c>
      <c r="CQ44" s="55">
        <f>SUMIFS('Disbursements Summary'!$E:$E,'Disbursements Summary'!$C:$C,$C44,'Disbursements Summary'!$A:$A,"GOER")</f>
        <v>0</v>
      </c>
      <c r="CR44" s="55">
        <f>SUMIFS('Awards Summary'!$H:$H,'Awards Summary'!$B:$B,$C44,'Awards Summary'!$J:$J,"HESC")</f>
        <v>0</v>
      </c>
      <c r="CS44" s="55">
        <f>SUMIFS('Disbursements Summary'!$E:$E,'Disbursements Summary'!$C:$C,$C44,'Disbursements Summary'!$A:$A,"HESC")</f>
        <v>0</v>
      </c>
      <c r="CT44" s="55">
        <f>SUMIFS('Awards Summary'!$H:$H,'Awards Summary'!$B:$B,$C44,'Awards Summary'!$J:$J,"GOSR")</f>
        <v>0</v>
      </c>
      <c r="CU44" s="55">
        <f>SUMIFS('Disbursements Summary'!$E:$E,'Disbursements Summary'!$C:$C,$C44,'Disbursements Summary'!$A:$A,"GOSR")</f>
        <v>0</v>
      </c>
      <c r="CV44" s="55">
        <f>SUMIFS('Awards Summary'!$H:$H,'Awards Summary'!$B:$B,$C44,'Awards Summary'!$J:$J,"HRPT")</f>
        <v>0</v>
      </c>
      <c r="CW44" s="55">
        <f>SUMIFS('Disbursements Summary'!$E:$E,'Disbursements Summary'!$C:$C,$C44,'Disbursements Summary'!$A:$A,"HRPT")</f>
        <v>0</v>
      </c>
      <c r="CX44" s="55">
        <f>SUMIFS('Awards Summary'!$H:$H,'Awards Summary'!$B:$B,$C44,'Awards Summary'!$J:$J,"HRBRRD")</f>
        <v>0</v>
      </c>
      <c r="CY44" s="55">
        <f>SUMIFS('Disbursements Summary'!$E:$E,'Disbursements Summary'!$C:$C,$C44,'Disbursements Summary'!$A:$A,"HRBRRD")</f>
        <v>0</v>
      </c>
      <c r="CZ44" s="55">
        <f>SUMIFS('Awards Summary'!$H:$H,'Awards Summary'!$B:$B,$C44,'Awards Summary'!$J:$J,"ITS")</f>
        <v>0</v>
      </c>
      <c r="DA44" s="55">
        <f>SUMIFS('Disbursements Summary'!$E:$E,'Disbursements Summary'!$C:$C,$C44,'Disbursements Summary'!$A:$A,"ITS")</f>
        <v>0</v>
      </c>
      <c r="DB44" s="55">
        <f>SUMIFS('Awards Summary'!$H:$H,'Awards Summary'!$B:$B,$C44,'Awards Summary'!$J:$J,"JAVITS")</f>
        <v>0</v>
      </c>
      <c r="DC44" s="55">
        <f>SUMIFS('Disbursements Summary'!$E:$E,'Disbursements Summary'!$C:$C,$C44,'Disbursements Summary'!$A:$A,"JAVITS")</f>
        <v>0</v>
      </c>
      <c r="DD44" s="55">
        <f>SUMIFS('Awards Summary'!$H:$H,'Awards Summary'!$B:$B,$C44,'Awards Summary'!$J:$J,"JCOPE")</f>
        <v>0</v>
      </c>
      <c r="DE44" s="55">
        <f>SUMIFS('Disbursements Summary'!$E:$E,'Disbursements Summary'!$C:$C,$C44,'Disbursements Summary'!$A:$A,"JCOPE")</f>
        <v>0</v>
      </c>
      <c r="DF44" s="55">
        <f>SUMIFS('Awards Summary'!$H:$H,'Awards Summary'!$B:$B,$C44,'Awards Summary'!$J:$J,"JUSTICE")</f>
        <v>0</v>
      </c>
      <c r="DG44" s="55">
        <f>SUMIFS('Disbursements Summary'!$E:$E,'Disbursements Summary'!$C:$C,$C44,'Disbursements Summary'!$A:$A,"JUSTICE")</f>
        <v>0</v>
      </c>
      <c r="DH44" s="55">
        <f>SUMIFS('Awards Summary'!$H:$H,'Awards Summary'!$B:$B,$C44,'Awards Summary'!$J:$J,"LCWSA")</f>
        <v>0</v>
      </c>
      <c r="DI44" s="55">
        <f>SUMIFS('Disbursements Summary'!$E:$E,'Disbursements Summary'!$C:$C,$C44,'Disbursements Summary'!$A:$A,"LCWSA")</f>
        <v>0</v>
      </c>
      <c r="DJ44" s="55">
        <f>SUMIFS('Awards Summary'!$H:$H,'Awards Summary'!$B:$B,$C44,'Awards Summary'!$J:$J,"LIPA")</f>
        <v>0</v>
      </c>
      <c r="DK44" s="55">
        <f>SUMIFS('Disbursements Summary'!$E:$E,'Disbursements Summary'!$C:$C,$C44,'Disbursements Summary'!$A:$A,"LIPA")</f>
        <v>0</v>
      </c>
      <c r="DL44" s="55">
        <f>SUMIFS('Awards Summary'!$H:$H,'Awards Summary'!$B:$B,$C44,'Awards Summary'!$J:$J,"MTA")</f>
        <v>0</v>
      </c>
      <c r="DM44" s="55">
        <f>SUMIFS('Disbursements Summary'!$E:$E,'Disbursements Summary'!$C:$C,$C44,'Disbursements Summary'!$A:$A,"MTA")</f>
        <v>0</v>
      </c>
      <c r="DN44" s="55">
        <f>SUMIFS('Awards Summary'!$H:$H,'Awards Summary'!$B:$B,$C44,'Awards Summary'!$J:$J,"NIFA")</f>
        <v>0</v>
      </c>
      <c r="DO44" s="55">
        <f>SUMIFS('Disbursements Summary'!$E:$E,'Disbursements Summary'!$C:$C,$C44,'Disbursements Summary'!$A:$A,"NIFA")</f>
        <v>0</v>
      </c>
      <c r="DP44" s="55">
        <f>SUMIFS('Awards Summary'!$H:$H,'Awards Summary'!$B:$B,$C44,'Awards Summary'!$J:$J,"NHCC")</f>
        <v>0</v>
      </c>
      <c r="DQ44" s="55">
        <f>SUMIFS('Disbursements Summary'!$E:$E,'Disbursements Summary'!$C:$C,$C44,'Disbursements Summary'!$A:$A,"NHCC")</f>
        <v>0</v>
      </c>
      <c r="DR44" s="55">
        <f>SUMIFS('Awards Summary'!$H:$H,'Awards Summary'!$B:$B,$C44,'Awards Summary'!$J:$J,"NHT")</f>
        <v>0</v>
      </c>
      <c r="DS44" s="55">
        <f>SUMIFS('Disbursements Summary'!$E:$E,'Disbursements Summary'!$C:$C,$C44,'Disbursements Summary'!$A:$A,"NHT")</f>
        <v>0</v>
      </c>
      <c r="DT44" s="55">
        <f>SUMIFS('Awards Summary'!$H:$H,'Awards Summary'!$B:$B,$C44,'Awards Summary'!$J:$J,"NYPA")</f>
        <v>0</v>
      </c>
      <c r="DU44" s="55">
        <f>SUMIFS('Disbursements Summary'!$E:$E,'Disbursements Summary'!$C:$C,$C44,'Disbursements Summary'!$A:$A,"NYPA")</f>
        <v>0</v>
      </c>
      <c r="DV44" s="55">
        <f>SUMIFS('Awards Summary'!$H:$H,'Awards Summary'!$B:$B,$C44,'Awards Summary'!$J:$J,"NYSBA")</f>
        <v>0</v>
      </c>
      <c r="DW44" s="55">
        <f>SUMIFS('Disbursements Summary'!$E:$E,'Disbursements Summary'!$C:$C,$C44,'Disbursements Summary'!$A:$A,"NYSBA")</f>
        <v>0</v>
      </c>
      <c r="DX44" s="55">
        <f>SUMIFS('Awards Summary'!$H:$H,'Awards Summary'!$B:$B,$C44,'Awards Summary'!$J:$J,"NYSERDA")</f>
        <v>0</v>
      </c>
      <c r="DY44" s="55">
        <f>SUMIFS('Disbursements Summary'!$E:$E,'Disbursements Summary'!$C:$C,$C44,'Disbursements Summary'!$A:$A,"NYSERDA")</f>
        <v>0</v>
      </c>
      <c r="DZ44" s="55">
        <f>SUMIFS('Awards Summary'!$H:$H,'Awards Summary'!$B:$B,$C44,'Awards Summary'!$J:$J,"DHCR")</f>
        <v>0</v>
      </c>
      <c r="EA44" s="55">
        <f>SUMIFS('Disbursements Summary'!$E:$E,'Disbursements Summary'!$C:$C,$C44,'Disbursements Summary'!$A:$A,"DHCR")</f>
        <v>0</v>
      </c>
      <c r="EB44" s="55">
        <f>SUMIFS('Awards Summary'!$H:$H,'Awards Summary'!$B:$B,$C44,'Awards Summary'!$J:$J,"HFA")</f>
        <v>0</v>
      </c>
      <c r="EC44" s="55">
        <f>SUMIFS('Disbursements Summary'!$E:$E,'Disbursements Summary'!$C:$C,$C44,'Disbursements Summary'!$A:$A,"HFA")</f>
        <v>0</v>
      </c>
      <c r="ED44" s="55">
        <f>SUMIFS('Awards Summary'!$H:$H,'Awards Summary'!$B:$B,$C44,'Awards Summary'!$J:$J,"NYSIF")</f>
        <v>0</v>
      </c>
      <c r="EE44" s="55">
        <f>SUMIFS('Disbursements Summary'!$E:$E,'Disbursements Summary'!$C:$C,$C44,'Disbursements Summary'!$A:$A,"NYSIF")</f>
        <v>0</v>
      </c>
      <c r="EF44" s="55">
        <f>SUMIFS('Awards Summary'!$H:$H,'Awards Summary'!$B:$B,$C44,'Awards Summary'!$J:$J,"NYBREDS")</f>
        <v>0</v>
      </c>
      <c r="EG44" s="55">
        <f>SUMIFS('Disbursements Summary'!$E:$E,'Disbursements Summary'!$C:$C,$C44,'Disbursements Summary'!$A:$A,"NYBREDS")</f>
        <v>0</v>
      </c>
      <c r="EH44" s="55">
        <f>SUMIFS('Awards Summary'!$H:$H,'Awards Summary'!$B:$B,$C44,'Awards Summary'!$J:$J,"NYSTA")</f>
        <v>0</v>
      </c>
      <c r="EI44" s="55">
        <f>SUMIFS('Disbursements Summary'!$E:$E,'Disbursements Summary'!$C:$C,$C44,'Disbursements Summary'!$A:$A,"NYSTA")</f>
        <v>0</v>
      </c>
      <c r="EJ44" s="55">
        <f>SUMIFS('Awards Summary'!$H:$H,'Awards Summary'!$B:$B,$C44,'Awards Summary'!$J:$J,"NFWB")</f>
        <v>0</v>
      </c>
      <c r="EK44" s="55">
        <f>SUMIFS('Disbursements Summary'!$E:$E,'Disbursements Summary'!$C:$C,$C44,'Disbursements Summary'!$A:$A,"NFWB")</f>
        <v>0</v>
      </c>
      <c r="EL44" s="55">
        <f>SUMIFS('Awards Summary'!$H:$H,'Awards Summary'!$B:$B,$C44,'Awards Summary'!$J:$J,"NFTA")</f>
        <v>0</v>
      </c>
      <c r="EM44" s="55">
        <f>SUMIFS('Disbursements Summary'!$E:$E,'Disbursements Summary'!$C:$C,$C44,'Disbursements Summary'!$A:$A,"NFTA")</f>
        <v>0</v>
      </c>
      <c r="EN44" s="55">
        <f>SUMIFS('Awards Summary'!$H:$H,'Awards Summary'!$B:$B,$C44,'Awards Summary'!$J:$J,"OPWDD")</f>
        <v>0</v>
      </c>
      <c r="EO44" s="55">
        <f>SUMIFS('Disbursements Summary'!$E:$E,'Disbursements Summary'!$C:$C,$C44,'Disbursements Summary'!$A:$A,"OPWDD")</f>
        <v>0</v>
      </c>
      <c r="EP44" s="55">
        <f>SUMIFS('Awards Summary'!$H:$H,'Awards Summary'!$B:$B,$C44,'Awards Summary'!$J:$J,"AGING")</f>
        <v>0</v>
      </c>
      <c r="EQ44" s="55">
        <f>SUMIFS('Disbursements Summary'!$E:$E,'Disbursements Summary'!$C:$C,$C44,'Disbursements Summary'!$A:$A,"AGING")</f>
        <v>0</v>
      </c>
      <c r="ER44" s="55">
        <f>SUMIFS('Awards Summary'!$H:$H,'Awards Summary'!$B:$B,$C44,'Awards Summary'!$J:$J,"OPDV")</f>
        <v>0</v>
      </c>
      <c r="ES44" s="55">
        <f>SUMIFS('Disbursements Summary'!$E:$E,'Disbursements Summary'!$C:$C,$C44,'Disbursements Summary'!$A:$A,"OPDV")</f>
        <v>0</v>
      </c>
      <c r="ET44" s="55">
        <f>SUMIFS('Awards Summary'!$H:$H,'Awards Summary'!$B:$B,$C44,'Awards Summary'!$J:$J,"OVS")</f>
        <v>0</v>
      </c>
      <c r="EU44" s="55">
        <f>SUMIFS('Disbursements Summary'!$E:$E,'Disbursements Summary'!$C:$C,$C44,'Disbursements Summary'!$A:$A,"OVS")</f>
        <v>0</v>
      </c>
      <c r="EV44" s="55">
        <f>SUMIFS('Awards Summary'!$H:$H,'Awards Summary'!$B:$B,$C44,'Awards Summary'!$J:$J,"OASAS")</f>
        <v>0</v>
      </c>
      <c r="EW44" s="55">
        <f>SUMIFS('Disbursements Summary'!$E:$E,'Disbursements Summary'!$C:$C,$C44,'Disbursements Summary'!$A:$A,"OASAS")</f>
        <v>0</v>
      </c>
      <c r="EX44" s="55">
        <f>SUMIFS('Awards Summary'!$H:$H,'Awards Summary'!$B:$B,$C44,'Awards Summary'!$J:$J,"OCFS")</f>
        <v>0</v>
      </c>
      <c r="EY44" s="55">
        <f>SUMIFS('Disbursements Summary'!$E:$E,'Disbursements Summary'!$C:$C,$C44,'Disbursements Summary'!$A:$A,"OCFS")</f>
        <v>0</v>
      </c>
      <c r="EZ44" s="55">
        <f>SUMIFS('Awards Summary'!$H:$H,'Awards Summary'!$B:$B,$C44,'Awards Summary'!$J:$J,"OGS")</f>
        <v>0</v>
      </c>
      <c r="FA44" s="55">
        <f>SUMIFS('Disbursements Summary'!$E:$E,'Disbursements Summary'!$C:$C,$C44,'Disbursements Summary'!$A:$A,"OGS")</f>
        <v>0</v>
      </c>
      <c r="FB44" s="55">
        <f>SUMIFS('Awards Summary'!$H:$H,'Awards Summary'!$B:$B,$C44,'Awards Summary'!$J:$J,"OMH")</f>
        <v>0</v>
      </c>
      <c r="FC44" s="55">
        <f>SUMIFS('Disbursements Summary'!$E:$E,'Disbursements Summary'!$C:$C,$C44,'Disbursements Summary'!$A:$A,"OMH")</f>
        <v>0</v>
      </c>
      <c r="FD44" s="55">
        <f>SUMIFS('Awards Summary'!$H:$H,'Awards Summary'!$B:$B,$C44,'Awards Summary'!$J:$J,"PARKS")</f>
        <v>0</v>
      </c>
      <c r="FE44" s="55">
        <f>SUMIFS('Disbursements Summary'!$E:$E,'Disbursements Summary'!$C:$C,$C44,'Disbursements Summary'!$A:$A,"PARKS")</f>
        <v>0</v>
      </c>
      <c r="FF44" s="55">
        <f>SUMIFS('Awards Summary'!$H:$H,'Awards Summary'!$B:$B,$C44,'Awards Summary'!$J:$J,"OTDA")</f>
        <v>0</v>
      </c>
      <c r="FG44" s="55">
        <f>SUMIFS('Disbursements Summary'!$E:$E,'Disbursements Summary'!$C:$C,$C44,'Disbursements Summary'!$A:$A,"OTDA")</f>
        <v>0</v>
      </c>
      <c r="FH44" s="55">
        <f>SUMIFS('Awards Summary'!$H:$H,'Awards Summary'!$B:$B,$C44,'Awards Summary'!$J:$J,"OIG")</f>
        <v>0</v>
      </c>
      <c r="FI44" s="55">
        <f>SUMIFS('Disbursements Summary'!$E:$E,'Disbursements Summary'!$C:$C,$C44,'Disbursements Summary'!$A:$A,"OIG")</f>
        <v>0</v>
      </c>
      <c r="FJ44" s="55">
        <f>SUMIFS('Awards Summary'!$H:$H,'Awards Summary'!$B:$B,$C44,'Awards Summary'!$J:$J,"OMIG")</f>
        <v>0</v>
      </c>
      <c r="FK44" s="55">
        <f>SUMIFS('Disbursements Summary'!$E:$E,'Disbursements Summary'!$C:$C,$C44,'Disbursements Summary'!$A:$A,"OMIG")</f>
        <v>0</v>
      </c>
      <c r="FL44" s="55">
        <f>SUMIFS('Awards Summary'!$H:$H,'Awards Summary'!$B:$B,$C44,'Awards Summary'!$J:$J,"OSC")</f>
        <v>0</v>
      </c>
      <c r="FM44" s="55">
        <f>SUMIFS('Disbursements Summary'!$E:$E,'Disbursements Summary'!$C:$C,$C44,'Disbursements Summary'!$A:$A,"OSC")</f>
        <v>0</v>
      </c>
      <c r="FN44" s="55">
        <f>SUMIFS('Awards Summary'!$H:$H,'Awards Summary'!$B:$B,$C44,'Awards Summary'!$J:$J,"OWIG")</f>
        <v>0</v>
      </c>
      <c r="FO44" s="55">
        <f>SUMIFS('Disbursements Summary'!$E:$E,'Disbursements Summary'!$C:$C,$C44,'Disbursements Summary'!$A:$A,"OWIG")</f>
        <v>0</v>
      </c>
      <c r="FP44" s="55">
        <f>SUMIFS('Awards Summary'!$H:$H,'Awards Summary'!$B:$B,$C44,'Awards Summary'!$J:$J,"OGDEN")</f>
        <v>0</v>
      </c>
      <c r="FQ44" s="55">
        <f>SUMIFS('Disbursements Summary'!$E:$E,'Disbursements Summary'!$C:$C,$C44,'Disbursements Summary'!$A:$A,"OGDEN")</f>
        <v>0</v>
      </c>
      <c r="FR44" s="55">
        <f>SUMIFS('Awards Summary'!$H:$H,'Awards Summary'!$B:$B,$C44,'Awards Summary'!$J:$J,"ORDA")</f>
        <v>0</v>
      </c>
      <c r="FS44" s="55">
        <f>SUMIFS('Disbursements Summary'!$E:$E,'Disbursements Summary'!$C:$C,$C44,'Disbursements Summary'!$A:$A,"ORDA")</f>
        <v>0</v>
      </c>
      <c r="FT44" s="55">
        <f>SUMIFS('Awards Summary'!$H:$H,'Awards Summary'!$B:$B,$C44,'Awards Summary'!$J:$J,"OSWEGO")</f>
        <v>0</v>
      </c>
      <c r="FU44" s="55">
        <f>SUMIFS('Disbursements Summary'!$E:$E,'Disbursements Summary'!$C:$C,$C44,'Disbursements Summary'!$A:$A,"OSWEGO")</f>
        <v>0</v>
      </c>
      <c r="FV44" s="55">
        <f>SUMIFS('Awards Summary'!$H:$H,'Awards Summary'!$B:$B,$C44,'Awards Summary'!$J:$J,"PERB")</f>
        <v>0</v>
      </c>
      <c r="FW44" s="55">
        <f>SUMIFS('Disbursements Summary'!$E:$E,'Disbursements Summary'!$C:$C,$C44,'Disbursements Summary'!$A:$A,"PERB")</f>
        <v>0</v>
      </c>
      <c r="FX44" s="55">
        <f>SUMIFS('Awards Summary'!$H:$H,'Awards Summary'!$B:$B,$C44,'Awards Summary'!$J:$J,"RGRTA")</f>
        <v>0</v>
      </c>
      <c r="FY44" s="55">
        <f>SUMIFS('Disbursements Summary'!$E:$E,'Disbursements Summary'!$C:$C,$C44,'Disbursements Summary'!$A:$A,"RGRTA")</f>
        <v>0</v>
      </c>
      <c r="FZ44" s="55">
        <f>SUMIFS('Awards Summary'!$H:$H,'Awards Summary'!$B:$B,$C44,'Awards Summary'!$J:$J,"RIOC")</f>
        <v>0</v>
      </c>
      <c r="GA44" s="55">
        <f>SUMIFS('Disbursements Summary'!$E:$E,'Disbursements Summary'!$C:$C,$C44,'Disbursements Summary'!$A:$A,"RIOC")</f>
        <v>0</v>
      </c>
      <c r="GB44" s="55">
        <f>SUMIFS('Awards Summary'!$H:$H,'Awards Summary'!$B:$B,$C44,'Awards Summary'!$J:$J,"RPCI")</f>
        <v>0</v>
      </c>
      <c r="GC44" s="55">
        <f>SUMIFS('Disbursements Summary'!$E:$E,'Disbursements Summary'!$C:$C,$C44,'Disbursements Summary'!$A:$A,"RPCI")</f>
        <v>0</v>
      </c>
      <c r="GD44" s="55">
        <f>SUMIFS('Awards Summary'!$H:$H,'Awards Summary'!$B:$B,$C44,'Awards Summary'!$J:$J,"SMDA")</f>
        <v>0</v>
      </c>
      <c r="GE44" s="55">
        <f>SUMIFS('Disbursements Summary'!$E:$E,'Disbursements Summary'!$C:$C,$C44,'Disbursements Summary'!$A:$A,"SMDA")</f>
        <v>0</v>
      </c>
      <c r="GF44" s="55">
        <f>SUMIFS('Awards Summary'!$H:$H,'Awards Summary'!$B:$B,$C44,'Awards Summary'!$J:$J,"SCOC")</f>
        <v>0</v>
      </c>
      <c r="GG44" s="55">
        <f>SUMIFS('Disbursements Summary'!$E:$E,'Disbursements Summary'!$C:$C,$C44,'Disbursements Summary'!$A:$A,"SCOC")</f>
        <v>0</v>
      </c>
      <c r="GH44" s="55">
        <f>SUMIFS('Awards Summary'!$H:$H,'Awards Summary'!$B:$B,$C44,'Awards Summary'!$J:$J,"SUCF")</f>
        <v>0</v>
      </c>
      <c r="GI44" s="55">
        <f>SUMIFS('Disbursements Summary'!$E:$E,'Disbursements Summary'!$C:$C,$C44,'Disbursements Summary'!$A:$A,"SUCF")</f>
        <v>0</v>
      </c>
      <c r="GJ44" s="55">
        <f>SUMIFS('Awards Summary'!$H:$H,'Awards Summary'!$B:$B,$C44,'Awards Summary'!$J:$J,"SUNY")</f>
        <v>0</v>
      </c>
      <c r="GK44" s="55">
        <f>SUMIFS('Disbursements Summary'!$E:$E,'Disbursements Summary'!$C:$C,$C44,'Disbursements Summary'!$A:$A,"SUNY")</f>
        <v>0</v>
      </c>
      <c r="GL44" s="55">
        <f>SUMIFS('Awards Summary'!$H:$H,'Awards Summary'!$B:$B,$C44,'Awards Summary'!$J:$J,"SRAA")</f>
        <v>0</v>
      </c>
      <c r="GM44" s="55">
        <f>SUMIFS('Disbursements Summary'!$E:$E,'Disbursements Summary'!$C:$C,$C44,'Disbursements Summary'!$A:$A,"SRAA")</f>
        <v>0</v>
      </c>
      <c r="GN44" s="55">
        <f>SUMIFS('Awards Summary'!$H:$H,'Awards Summary'!$B:$B,$C44,'Awards Summary'!$J:$J,"UNDC")</f>
        <v>0</v>
      </c>
      <c r="GO44" s="55">
        <f>SUMIFS('Disbursements Summary'!$E:$E,'Disbursements Summary'!$C:$C,$C44,'Disbursements Summary'!$A:$A,"UNDC")</f>
        <v>0</v>
      </c>
      <c r="GP44" s="55">
        <f>SUMIFS('Awards Summary'!$H:$H,'Awards Summary'!$B:$B,$C44,'Awards Summary'!$J:$J,"MVWA")</f>
        <v>0</v>
      </c>
      <c r="GQ44" s="55">
        <f>SUMIFS('Disbursements Summary'!$E:$E,'Disbursements Summary'!$C:$C,$C44,'Disbursements Summary'!$A:$A,"MVWA")</f>
        <v>0</v>
      </c>
      <c r="GR44" s="55">
        <f>SUMIFS('Awards Summary'!$H:$H,'Awards Summary'!$B:$B,$C44,'Awards Summary'!$J:$J,"WMC")</f>
        <v>0</v>
      </c>
      <c r="GS44" s="55">
        <f>SUMIFS('Disbursements Summary'!$E:$E,'Disbursements Summary'!$C:$C,$C44,'Disbursements Summary'!$A:$A,"WMC")</f>
        <v>0</v>
      </c>
      <c r="GT44" s="55">
        <f>SUMIFS('Awards Summary'!$H:$H,'Awards Summary'!$B:$B,$C44,'Awards Summary'!$J:$J,"WCB")</f>
        <v>0</v>
      </c>
      <c r="GU44" s="55">
        <f>SUMIFS('Disbursements Summary'!$E:$E,'Disbursements Summary'!$C:$C,$C44,'Disbursements Summary'!$A:$A,"WCB")</f>
        <v>0</v>
      </c>
      <c r="GV44" s="32">
        <f t="shared" si="5"/>
        <v>0</v>
      </c>
      <c r="GW44" s="32">
        <f t="shared" si="6"/>
        <v>0</v>
      </c>
      <c r="GX44" s="30" t="b">
        <f t="shared" si="7"/>
        <v>1</v>
      </c>
      <c r="GY44" s="30" t="b">
        <f t="shared" si="8"/>
        <v>1</v>
      </c>
    </row>
    <row r="45" spans="1:207" s="30" customFormat="1">
      <c r="A45" s="22" t="str">
        <f t="shared" si="0"/>
        <v/>
      </c>
      <c r="B45" s="40" t="s">
        <v>81</v>
      </c>
      <c r="C45" s="16">
        <v>141077</v>
      </c>
      <c r="D45" s="26">
        <f>COUNTIF('Awards Summary'!B:B,"141077")</f>
        <v>0</v>
      </c>
      <c r="E45" s="45">
        <f>SUMIFS('Awards Summary'!H:H,'Awards Summary'!B:B,"141077")</f>
        <v>0</v>
      </c>
      <c r="F45" s="46">
        <f>SUMIFS('Disbursements Summary'!E:E,'Disbursements Summary'!C:C, "141077")</f>
        <v>0</v>
      </c>
      <c r="H45" s="55">
        <f>SUMIFS('Awards Summary'!$H:$H,'Awards Summary'!$B:$B,$C45,'Awards Summary'!$J:$J,"APA")</f>
        <v>0</v>
      </c>
      <c r="I45" s="55">
        <f>SUMIFS('Disbursements Summary'!$E:$E,'Disbursements Summary'!$C:$C,$C45,'Disbursements Summary'!$A:$A,"APA")</f>
        <v>0</v>
      </c>
      <c r="J45" s="55">
        <f>SUMIFS('Awards Summary'!$H:$H,'Awards Summary'!$B:$B,$C45,'Awards Summary'!$J:$J,"Ag&amp;Horse")</f>
        <v>0</v>
      </c>
      <c r="K45" s="55">
        <f>SUMIFS('Disbursements Summary'!$E:$E,'Disbursements Summary'!$C:$C,$C45,'Disbursements Summary'!$A:$A,"Ag&amp;Horse")</f>
        <v>0</v>
      </c>
      <c r="L45" s="55">
        <f>SUMIFS('Awards Summary'!$H:$H,'Awards Summary'!$B:$B,$C45,'Awards Summary'!$J:$J,"ACAA")</f>
        <v>0</v>
      </c>
      <c r="M45" s="55">
        <f>SUMIFS('Disbursements Summary'!$E:$E,'Disbursements Summary'!$C:$C,$C45,'Disbursements Summary'!$A:$A,"ACAA")</f>
        <v>0</v>
      </c>
      <c r="N45" s="55">
        <f>SUMIFS('Awards Summary'!$H:$H,'Awards Summary'!$B:$B,$C45,'Awards Summary'!$J:$J,"PortAlbany")</f>
        <v>0</v>
      </c>
      <c r="O45" s="55">
        <f>SUMIFS('Disbursements Summary'!$E:$E,'Disbursements Summary'!$C:$C,$C45,'Disbursements Summary'!$A:$A,"PortAlbany")</f>
        <v>0</v>
      </c>
      <c r="P45" s="55">
        <f>SUMIFS('Awards Summary'!$H:$H,'Awards Summary'!$B:$B,$C45,'Awards Summary'!$J:$J,"SLA")</f>
        <v>0</v>
      </c>
      <c r="Q45" s="55">
        <f>SUMIFS('Disbursements Summary'!$E:$E,'Disbursements Summary'!$C:$C,$C45,'Disbursements Summary'!$A:$A,"SLA")</f>
        <v>0</v>
      </c>
      <c r="R45" s="55">
        <f>SUMIFS('Awards Summary'!$H:$H,'Awards Summary'!$B:$B,$C45,'Awards Summary'!$J:$J,"BPCA")</f>
        <v>0</v>
      </c>
      <c r="S45" s="55">
        <f>SUMIFS('Disbursements Summary'!$E:$E,'Disbursements Summary'!$C:$C,$C45,'Disbursements Summary'!$A:$A,"BPCA")</f>
        <v>0</v>
      </c>
      <c r="T45" s="55">
        <f>SUMIFS('Awards Summary'!$H:$H,'Awards Summary'!$B:$B,$C45,'Awards Summary'!$J:$J,"ELECTIONS")</f>
        <v>0</v>
      </c>
      <c r="U45" s="55">
        <f>SUMIFS('Disbursements Summary'!$E:$E,'Disbursements Summary'!$C:$C,$C45,'Disbursements Summary'!$A:$A,"ELECTIONS")</f>
        <v>0</v>
      </c>
      <c r="V45" s="55">
        <f>SUMIFS('Awards Summary'!$H:$H,'Awards Summary'!$B:$B,$C45,'Awards Summary'!$J:$J,"BFSA")</f>
        <v>0</v>
      </c>
      <c r="W45" s="55">
        <f>SUMIFS('Disbursements Summary'!$E:$E,'Disbursements Summary'!$C:$C,$C45,'Disbursements Summary'!$A:$A,"BFSA")</f>
        <v>0</v>
      </c>
      <c r="X45" s="55">
        <f>SUMIFS('Awards Summary'!$H:$H,'Awards Summary'!$B:$B,$C45,'Awards Summary'!$J:$J,"CDTA")</f>
        <v>0</v>
      </c>
      <c r="Y45" s="55">
        <f>SUMIFS('Disbursements Summary'!$E:$E,'Disbursements Summary'!$C:$C,$C45,'Disbursements Summary'!$A:$A,"CDTA")</f>
        <v>0</v>
      </c>
      <c r="Z45" s="55">
        <f>SUMIFS('Awards Summary'!$H:$H,'Awards Summary'!$B:$B,$C45,'Awards Summary'!$J:$J,"CCWSA")</f>
        <v>0</v>
      </c>
      <c r="AA45" s="55">
        <f>SUMIFS('Disbursements Summary'!$E:$E,'Disbursements Summary'!$C:$C,$C45,'Disbursements Summary'!$A:$A,"CCWSA")</f>
        <v>0</v>
      </c>
      <c r="AB45" s="55">
        <f>SUMIFS('Awards Summary'!$H:$H,'Awards Summary'!$B:$B,$C45,'Awards Summary'!$J:$J,"CNYRTA")</f>
        <v>0</v>
      </c>
      <c r="AC45" s="55">
        <f>SUMIFS('Disbursements Summary'!$E:$E,'Disbursements Summary'!$C:$C,$C45,'Disbursements Summary'!$A:$A,"CNYRTA")</f>
        <v>0</v>
      </c>
      <c r="AD45" s="55">
        <f>SUMIFS('Awards Summary'!$H:$H,'Awards Summary'!$B:$B,$C45,'Awards Summary'!$J:$J,"CUCF")</f>
        <v>0</v>
      </c>
      <c r="AE45" s="55">
        <f>SUMIFS('Disbursements Summary'!$E:$E,'Disbursements Summary'!$C:$C,$C45,'Disbursements Summary'!$A:$A,"CUCF")</f>
        <v>0</v>
      </c>
      <c r="AF45" s="55">
        <f>SUMIFS('Awards Summary'!$H:$H,'Awards Summary'!$B:$B,$C45,'Awards Summary'!$J:$J,"CUNY")</f>
        <v>0</v>
      </c>
      <c r="AG45" s="55">
        <f>SUMIFS('Disbursements Summary'!$E:$E,'Disbursements Summary'!$C:$C,$C45,'Disbursements Summary'!$A:$A,"CUNY")</f>
        <v>0</v>
      </c>
      <c r="AH45" s="55">
        <f>SUMIFS('Awards Summary'!$H:$H,'Awards Summary'!$B:$B,$C45,'Awards Summary'!$J:$J,"ARTS")</f>
        <v>0</v>
      </c>
      <c r="AI45" s="55">
        <f>SUMIFS('Disbursements Summary'!$E:$E,'Disbursements Summary'!$C:$C,$C45,'Disbursements Summary'!$A:$A,"ARTS")</f>
        <v>0</v>
      </c>
      <c r="AJ45" s="55">
        <f>SUMIFS('Awards Summary'!$H:$H,'Awards Summary'!$B:$B,$C45,'Awards Summary'!$J:$J,"AG&amp;MKTS")</f>
        <v>0</v>
      </c>
      <c r="AK45" s="55">
        <f>SUMIFS('Disbursements Summary'!$E:$E,'Disbursements Summary'!$C:$C,$C45,'Disbursements Summary'!$A:$A,"AG&amp;MKTS")</f>
        <v>0</v>
      </c>
      <c r="AL45" s="55">
        <f>SUMIFS('Awards Summary'!$H:$H,'Awards Summary'!$B:$B,$C45,'Awards Summary'!$J:$J,"CS")</f>
        <v>0</v>
      </c>
      <c r="AM45" s="55">
        <f>SUMIFS('Disbursements Summary'!$E:$E,'Disbursements Summary'!$C:$C,$C45,'Disbursements Summary'!$A:$A,"CS")</f>
        <v>0</v>
      </c>
      <c r="AN45" s="55">
        <f>SUMIFS('Awards Summary'!$H:$H,'Awards Summary'!$B:$B,$C45,'Awards Summary'!$J:$J,"DOCCS")</f>
        <v>0</v>
      </c>
      <c r="AO45" s="55">
        <f>SUMIFS('Disbursements Summary'!$E:$E,'Disbursements Summary'!$C:$C,$C45,'Disbursements Summary'!$A:$A,"DOCCS")</f>
        <v>0</v>
      </c>
      <c r="AP45" s="55">
        <f>SUMIFS('Awards Summary'!$H:$H,'Awards Summary'!$B:$B,$C45,'Awards Summary'!$J:$J,"DED")</f>
        <v>0</v>
      </c>
      <c r="AQ45" s="55">
        <f>SUMIFS('Disbursements Summary'!$E:$E,'Disbursements Summary'!$C:$C,$C45,'Disbursements Summary'!$A:$A,"DED")</f>
        <v>0</v>
      </c>
      <c r="AR45" s="55">
        <f>SUMIFS('Awards Summary'!$H:$H,'Awards Summary'!$B:$B,$C45,'Awards Summary'!$J:$J,"DEC")</f>
        <v>0</v>
      </c>
      <c r="AS45" s="55">
        <f>SUMIFS('Disbursements Summary'!$E:$E,'Disbursements Summary'!$C:$C,$C45,'Disbursements Summary'!$A:$A,"DEC")</f>
        <v>0</v>
      </c>
      <c r="AT45" s="55">
        <f>SUMIFS('Awards Summary'!$H:$H,'Awards Summary'!$B:$B,$C45,'Awards Summary'!$J:$J,"DFS")</f>
        <v>0</v>
      </c>
      <c r="AU45" s="55">
        <f>SUMIFS('Disbursements Summary'!$E:$E,'Disbursements Summary'!$C:$C,$C45,'Disbursements Summary'!$A:$A,"DFS")</f>
        <v>0</v>
      </c>
      <c r="AV45" s="55">
        <f>SUMIFS('Awards Summary'!$H:$H,'Awards Summary'!$B:$B,$C45,'Awards Summary'!$J:$J,"DOH")</f>
        <v>0</v>
      </c>
      <c r="AW45" s="55">
        <f>SUMIFS('Disbursements Summary'!$E:$E,'Disbursements Summary'!$C:$C,$C45,'Disbursements Summary'!$A:$A,"DOH")</f>
        <v>0</v>
      </c>
      <c r="AX45" s="55">
        <f>SUMIFS('Awards Summary'!$H:$H,'Awards Summary'!$B:$B,$C45,'Awards Summary'!$J:$J,"DOL")</f>
        <v>0</v>
      </c>
      <c r="AY45" s="55">
        <f>SUMIFS('Disbursements Summary'!$E:$E,'Disbursements Summary'!$C:$C,$C45,'Disbursements Summary'!$A:$A,"DOL")</f>
        <v>0</v>
      </c>
      <c r="AZ45" s="55">
        <f>SUMIFS('Awards Summary'!$H:$H,'Awards Summary'!$B:$B,$C45,'Awards Summary'!$J:$J,"DMV")</f>
        <v>0</v>
      </c>
      <c r="BA45" s="55">
        <f>SUMIFS('Disbursements Summary'!$E:$E,'Disbursements Summary'!$C:$C,$C45,'Disbursements Summary'!$A:$A,"DMV")</f>
        <v>0</v>
      </c>
      <c r="BB45" s="55">
        <f>SUMIFS('Awards Summary'!$H:$H,'Awards Summary'!$B:$B,$C45,'Awards Summary'!$J:$J,"DPS")</f>
        <v>0</v>
      </c>
      <c r="BC45" s="55">
        <f>SUMIFS('Disbursements Summary'!$E:$E,'Disbursements Summary'!$C:$C,$C45,'Disbursements Summary'!$A:$A,"DPS")</f>
        <v>0</v>
      </c>
      <c r="BD45" s="55">
        <f>SUMIFS('Awards Summary'!$H:$H,'Awards Summary'!$B:$B,$C45,'Awards Summary'!$J:$J,"DOS")</f>
        <v>0</v>
      </c>
      <c r="BE45" s="55">
        <f>SUMIFS('Disbursements Summary'!$E:$E,'Disbursements Summary'!$C:$C,$C45,'Disbursements Summary'!$A:$A,"DOS")</f>
        <v>0</v>
      </c>
      <c r="BF45" s="55">
        <f>SUMIFS('Awards Summary'!$H:$H,'Awards Summary'!$B:$B,$C45,'Awards Summary'!$J:$J,"TAX")</f>
        <v>0</v>
      </c>
      <c r="BG45" s="55">
        <f>SUMIFS('Disbursements Summary'!$E:$E,'Disbursements Summary'!$C:$C,$C45,'Disbursements Summary'!$A:$A,"TAX")</f>
        <v>0</v>
      </c>
      <c r="BH45" s="55">
        <f>SUMIFS('Awards Summary'!$H:$H,'Awards Summary'!$B:$B,$C45,'Awards Summary'!$J:$J,"DOT")</f>
        <v>0</v>
      </c>
      <c r="BI45" s="55">
        <f>SUMIFS('Disbursements Summary'!$E:$E,'Disbursements Summary'!$C:$C,$C45,'Disbursements Summary'!$A:$A,"DOT")</f>
        <v>0</v>
      </c>
      <c r="BJ45" s="55">
        <f>SUMIFS('Awards Summary'!$H:$H,'Awards Summary'!$B:$B,$C45,'Awards Summary'!$J:$J,"DANC")</f>
        <v>0</v>
      </c>
      <c r="BK45" s="55">
        <f>SUMIFS('Disbursements Summary'!$E:$E,'Disbursements Summary'!$C:$C,$C45,'Disbursements Summary'!$A:$A,"DANC")</f>
        <v>0</v>
      </c>
      <c r="BL45" s="55">
        <f>SUMIFS('Awards Summary'!$H:$H,'Awards Summary'!$B:$B,$C45,'Awards Summary'!$J:$J,"DOB")</f>
        <v>0</v>
      </c>
      <c r="BM45" s="55">
        <f>SUMIFS('Disbursements Summary'!$E:$E,'Disbursements Summary'!$C:$C,$C45,'Disbursements Summary'!$A:$A,"DOB")</f>
        <v>0</v>
      </c>
      <c r="BN45" s="55">
        <f>SUMIFS('Awards Summary'!$H:$H,'Awards Summary'!$B:$B,$C45,'Awards Summary'!$J:$J,"DCJS")</f>
        <v>0</v>
      </c>
      <c r="BO45" s="55">
        <f>SUMIFS('Disbursements Summary'!$E:$E,'Disbursements Summary'!$C:$C,$C45,'Disbursements Summary'!$A:$A,"DCJS")</f>
        <v>0</v>
      </c>
      <c r="BP45" s="55">
        <f>SUMIFS('Awards Summary'!$H:$H,'Awards Summary'!$B:$B,$C45,'Awards Summary'!$J:$J,"DHSES")</f>
        <v>0</v>
      </c>
      <c r="BQ45" s="55">
        <f>SUMIFS('Disbursements Summary'!$E:$E,'Disbursements Summary'!$C:$C,$C45,'Disbursements Summary'!$A:$A,"DHSES")</f>
        <v>0</v>
      </c>
      <c r="BR45" s="55">
        <f>SUMIFS('Awards Summary'!$H:$H,'Awards Summary'!$B:$B,$C45,'Awards Summary'!$J:$J,"DHR")</f>
        <v>0</v>
      </c>
      <c r="BS45" s="55">
        <f>SUMIFS('Disbursements Summary'!$E:$E,'Disbursements Summary'!$C:$C,$C45,'Disbursements Summary'!$A:$A,"DHR")</f>
        <v>0</v>
      </c>
      <c r="BT45" s="55">
        <f>SUMIFS('Awards Summary'!$H:$H,'Awards Summary'!$B:$B,$C45,'Awards Summary'!$J:$J,"DMNA")</f>
        <v>0</v>
      </c>
      <c r="BU45" s="55">
        <f>SUMIFS('Disbursements Summary'!$E:$E,'Disbursements Summary'!$C:$C,$C45,'Disbursements Summary'!$A:$A,"DMNA")</f>
        <v>0</v>
      </c>
      <c r="BV45" s="55">
        <f>SUMIFS('Awards Summary'!$H:$H,'Awards Summary'!$B:$B,$C45,'Awards Summary'!$J:$J,"TROOPERS")</f>
        <v>0</v>
      </c>
      <c r="BW45" s="55">
        <f>SUMIFS('Disbursements Summary'!$E:$E,'Disbursements Summary'!$C:$C,$C45,'Disbursements Summary'!$A:$A,"TROOPERS")</f>
        <v>0</v>
      </c>
      <c r="BX45" s="55">
        <f>SUMIFS('Awards Summary'!$H:$H,'Awards Summary'!$B:$B,$C45,'Awards Summary'!$J:$J,"DVA")</f>
        <v>0</v>
      </c>
      <c r="BY45" s="55">
        <f>SUMIFS('Disbursements Summary'!$E:$E,'Disbursements Summary'!$C:$C,$C45,'Disbursements Summary'!$A:$A,"DVA")</f>
        <v>0</v>
      </c>
      <c r="BZ45" s="55">
        <f>SUMIFS('Awards Summary'!$H:$H,'Awards Summary'!$B:$B,$C45,'Awards Summary'!$J:$J,"DASNY")</f>
        <v>0</v>
      </c>
      <c r="CA45" s="55">
        <f>SUMIFS('Disbursements Summary'!$E:$E,'Disbursements Summary'!$C:$C,$C45,'Disbursements Summary'!$A:$A,"DASNY")</f>
        <v>0</v>
      </c>
      <c r="CB45" s="55">
        <f>SUMIFS('Awards Summary'!$H:$H,'Awards Summary'!$B:$B,$C45,'Awards Summary'!$J:$J,"EGG")</f>
        <v>0</v>
      </c>
      <c r="CC45" s="55">
        <f>SUMIFS('Disbursements Summary'!$E:$E,'Disbursements Summary'!$C:$C,$C45,'Disbursements Summary'!$A:$A,"EGG")</f>
        <v>0</v>
      </c>
      <c r="CD45" s="55">
        <f>SUMIFS('Awards Summary'!$H:$H,'Awards Summary'!$B:$B,$C45,'Awards Summary'!$J:$J,"ESD")</f>
        <v>0</v>
      </c>
      <c r="CE45" s="55">
        <f>SUMIFS('Disbursements Summary'!$E:$E,'Disbursements Summary'!$C:$C,$C45,'Disbursements Summary'!$A:$A,"ESD")</f>
        <v>0</v>
      </c>
      <c r="CF45" s="55">
        <f>SUMIFS('Awards Summary'!$H:$H,'Awards Summary'!$B:$B,$C45,'Awards Summary'!$J:$J,"EFC")</f>
        <v>0</v>
      </c>
      <c r="CG45" s="55">
        <f>SUMIFS('Disbursements Summary'!$E:$E,'Disbursements Summary'!$C:$C,$C45,'Disbursements Summary'!$A:$A,"EFC")</f>
        <v>0</v>
      </c>
      <c r="CH45" s="55">
        <f>SUMIFS('Awards Summary'!$H:$H,'Awards Summary'!$B:$B,$C45,'Awards Summary'!$J:$J,"ECFSA")</f>
        <v>0</v>
      </c>
      <c r="CI45" s="55">
        <f>SUMIFS('Disbursements Summary'!$E:$E,'Disbursements Summary'!$C:$C,$C45,'Disbursements Summary'!$A:$A,"ECFSA")</f>
        <v>0</v>
      </c>
      <c r="CJ45" s="55">
        <f>SUMIFS('Awards Summary'!$H:$H,'Awards Summary'!$B:$B,$C45,'Awards Summary'!$J:$J,"ECMC")</f>
        <v>0</v>
      </c>
      <c r="CK45" s="55">
        <f>SUMIFS('Disbursements Summary'!$E:$E,'Disbursements Summary'!$C:$C,$C45,'Disbursements Summary'!$A:$A,"ECMC")</f>
        <v>0</v>
      </c>
      <c r="CL45" s="55">
        <f>SUMIFS('Awards Summary'!$H:$H,'Awards Summary'!$B:$B,$C45,'Awards Summary'!$J:$J,"CHAMBER")</f>
        <v>0</v>
      </c>
      <c r="CM45" s="55">
        <f>SUMIFS('Disbursements Summary'!$E:$E,'Disbursements Summary'!$C:$C,$C45,'Disbursements Summary'!$A:$A,"CHAMBER")</f>
        <v>0</v>
      </c>
      <c r="CN45" s="55">
        <f>SUMIFS('Awards Summary'!$H:$H,'Awards Summary'!$B:$B,$C45,'Awards Summary'!$J:$J,"GAMING")</f>
        <v>0</v>
      </c>
      <c r="CO45" s="55">
        <f>SUMIFS('Disbursements Summary'!$E:$E,'Disbursements Summary'!$C:$C,$C45,'Disbursements Summary'!$A:$A,"GAMING")</f>
        <v>0</v>
      </c>
      <c r="CP45" s="55">
        <f>SUMIFS('Awards Summary'!$H:$H,'Awards Summary'!$B:$B,$C45,'Awards Summary'!$J:$J,"GOER")</f>
        <v>0</v>
      </c>
      <c r="CQ45" s="55">
        <f>SUMIFS('Disbursements Summary'!$E:$E,'Disbursements Summary'!$C:$C,$C45,'Disbursements Summary'!$A:$A,"GOER")</f>
        <v>0</v>
      </c>
      <c r="CR45" s="55">
        <f>SUMIFS('Awards Summary'!$H:$H,'Awards Summary'!$B:$B,$C45,'Awards Summary'!$J:$J,"HESC")</f>
        <v>0</v>
      </c>
      <c r="CS45" s="55">
        <f>SUMIFS('Disbursements Summary'!$E:$E,'Disbursements Summary'!$C:$C,$C45,'Disbursements Summary'!$A:$A,"HESC")</f>
        <v>0</v>
      </c>
      <c r="CT45" s="55">
        <f>SUMIFS('Awards Summary'!$H:$H,'Awards Summary'!$B:$B,$C45,'Awards Summary'!$J:$J,"GOSR")</f>
        <v>0</v>
      </c>
      <c r="CU45" s="55">
        <f>SUMIFS('Disbursements Summary'!$E:$E,'Disbursements Summary'!$C:$C,$C45,'Disbursements Summary'!$A:$A,"GOSR")</f>
        <v>0</v>
      </c>
      <c r="CV45" s="55">
        <f>SUMIFS('Awards Summary'!$H:$H,'Awards Summary'!$B:$B,$C45,'Awards Summary'!$J:$J,"HRPT")</f>
        <v>0</v>
      </c>
      <c r="CW45" s="55">
        <f>SUMIFS('Disbursements Summary'!$E:$E,'Disbursements Summary'!$C:$C,$C45,'Disbursements Summary'!$A:$A,"HRPT")</f>
        <v>0</v>
      </c>
      <c r="CX45" s="55">
        <f>SUMIFS('Awards Summary'!$H:$H,'Awards Summary'!$B:$B,$C45,'Awards Summary'!$J:$J,"HRBRRD")</f>
        <v>0</v>
      </c>
      <c r="CY45" s="55">
        <f>SUMIFS('Disbursements Summary'!$E:$E,'Disbursements Summary'!$C:$C,$C45,'Disbursements Summary'!$A:$A,"HRBRRD")</f>
        <v>0</v>
      </c>
      <c r="CZ45" s="55">
        <f>SUMIFS('Awards Summary'!$H:$H,'Awards Summary'!$B:$B,$C45,'Awards Summary'!$J:$J,"ITS")</f>
        <v>0</v>
      </c>
      <c r="DA45" s="55">
        <f>SUMIFS('Disbursements Summary'!$E:$E,'Disbursements Summary'!$C:$C,$C45,'Disbursements Summary'!$A:$A,"ITS")</f>
        <v>0</v>
      </c>
      <c r="DB45" s="55">
        <f>SUMIFS('Awards Summary'!$H:$H,'Awards Summary'!$B:$B,$C45,'Awards Summary'!$J:$J,"JAVITS")</f>
        <v>0</v>
      </c>
      <c r="DC45" s="55">
        <f>SUMIFS('Disbursements Summary'!$E:$E,'Disbursements Summary'!$C:$C,$C45,'Disbursements Summary'!$A:$A,"JAVITS")</f>
        <v>0</v>
      </c>
      <c r="DD45" s="55">
        <f>SUMIFS('Awards Summary'!$H:$H,'Awards Summary'!$B:$B,$C45,'Awards Summary'!$J:$J,"JCOPE")</f>
        <v>0</v>
      </c>
      <c r="DE45" s="55">
        <f>SUMIFS('Disbursements Summary'!$E:$E,'Disbursements Summary'!$C:$C,$C45,'Disbursements Summary'!$A:$A,"JCOPE")</f>
        <v>0</v>
      </c>
      <c r="DF45" s="55">
        <f>SUMIFS('Awards Summary'!$H:$H,'Awards Summary'!$B:$B,$C45,'Awards Summary'!$J:$J,"JUSTICE")</f>
        <v>0</v>
      </c>
      <c r="DG45" s="55">
        <f>SUMIFS('Disbursements Summary'!$E:$E,'Disbursements Summary'!$C:$C,$C45,'Disbursements Summary'!$A:$A,"JUSTICE")</f>
        <v>0</v>
      </c>
      <c r="DH45" s="55">
        <f>SUMIFS('Awards Summary'!$H:$H,'Awards Summary'!$B:$B,$C45,'Awards Summary'!$J:$J,"LCWSA")</f>
        <v>0</v>
      </c>
      <c r="DI45" s="55">
        <f>SUMIFS('Disbursements Summary'!$E:$E,'Disbursements Summary'!$C:$C,$C45,'Disbursements Summary'!$A:$A,"LCWSA")</f>
        <v>0</v>
      </c>
      <c r="DJ45" s="55">
        <f>SUMIFS('Awards Summary'!$H:$H,'Awards Summary'!$B:$B,$C45,'Awards Summary'!$J:$J,"LIPA")</f>
        <v>0</v>
      </c>
      <c r="DK45" s="55">
        <f>SUMIFS('Disbursements Summary'!$E:$E,'Disbursements Summary'!$C:$C,$C45,'Disbursements Summary'!$A:$A,"LIPA")</f>
        <v>0</v>
      </c>
      <c r="DL45" s="55">
        <f>SUMIFS('Awards Summary'!$H:$H,'Awards Summary'!$B:$B,$C45,'Awards Summary'!$J:$J,"MTA")</f>
        <v>0</v>
      </c>
      <c r="DM45" s="55">
        <f>SUMIFS('Disbursements Summary'!$E:$E,'Disbursements Summary'!$C:$C,$C45,'Disbursements Summary'!$A:$A,"MTA")</f>
        <v>0</v>
      </c>
      <c r="DN45" s="55">
        <f>SUMIFS('Awards Summary'!$H:$H,'Awards Summary'!$B:$B,$C45,'Awards Summary'!$J:$J,"NIFA")</f>
        <v>0</v>
      </c>
      <c r="DO45" s="55">
        <f>SUMIFS('Disbursements Summary'!$E:$E,'Disbursements Summary'!$C:$C,$C45,'Disbursements Summary'!$A:$A,"NIFA")</f>
        <v>0</v>
      </c>
      <c r="DP45" s="55">
        <f>SUMIFS('Awards Summary'!$H:$H,'Awards Summary'!$B:$B,$C45,'Awards Summary'!$J:$J,"NHCC")</f>
        <v>0</v>
      </c>
      <c r="DQ45" s="55">
        <f>SUMIFS('Disbursements Summary'!$E:$E,'Disbursements Summary'!$C:$C,$C45,'Disbursements Summary'!$A:$A,"NHCC")</f>
        <v>0</v>
      </c>
      <c r="DR45" s="55">
        <f>SUMIFS('Awards Summary'!$H:$H,'Awards Summary'!$B:$B,$C45,'Awards Summary'!$J:$J,"NHT")</f>
        <v>0</v>
      </c>
      <c r="DS45" s="55">
        <f>SUMIFS('Disbursements Summary'!$E:$E,'Disbursements Summary'!$C:$C,$C45,'Disbursements Summary'!$A:$A,"NHT")</f>
        <v>0</v>
      </c>
      <c r="DT45" s="55">
        <f>SUMIFS('Awards Summary'!$H:$H,'Awards Summary'!$B:$B,$C45,'Awards Summary'!$J:$J,"NYPA")</f>
        <v>0</v>
      </c>
      <c r="DU45" s="55">
        <f>SUMIFS('Disbursements Summary'!$E:$E,'Disbursements Summary'!$C:$C,$C45,'Disbursements Summary'!$A:$A,"NYPA")</f>
        <v>0</v>
      </c>
      <c r="DV45" s="55">
        <f>SUMIFS('Awards Summary'!$H:$H,'Awards Summary'!$B:$B,$C45,'Awards Summary'!$J:$J,"NYSBA")</f>
        <v>0</v>
      </c>
      <c r="DW45" s="55">
        <f>SUMIFS('Disbursements Summary'!$E:$E,'Disbursements Summary'!$C:$C,$C45,'Disbursements Summary'!$A:$A,"NYSBA")</f>
        <v>0</v>
      </c>
      <c r="DX45" s="55">
        <f>SUMIFS('Awards Summary'!$H:$H,'Awards Summary'!$B:$B,$C45,'Awards Summary'!$J:$J,"NYSERDA")</f>
        <v>0</v>
      </c>
      <c r="DY45" s="55">
        <f>SUMIFS('Disbursements Summary'!$E:$E,'Disbursements Summary'!$C:$C,$C45,'Disbursements Summary'!$A:$A,"NYSERDA")</f>
        <v>0</v>
      </c>
      <c r="DZ45" s="55">
        <f>SUMIFS('Awards Summary'!$H:$H,'Awards Summary'!$B:$B,$C45,'Awards Summary'!$J:$J,"DHCR")</f>
        <v>0</v>
      </c>
      <c r="EA45" s="55">
        <f>SUMIFS('Disbursements Summary'!$E:$E,'Disbursements Summary'!$C:$C,$C45,'Disbursements Summary'!$A:$A,"DHCR")</f>
        <v>0</v>
      </c>
      <c r="EB45" s="55">
        <f>SUMIFS('Awards Summary'!$H:$H,'Awards Summary'!$B:$B,$C45,'Awards Summary'!$J:$J,"HFA")</f>
        <v>0</v>
      </c>
      <c r="EC45" s="55">
        <f>SUMIFS('Disbursements Summary'!$E:$E,'Disbursements Summary'!$C:$C,$C45,'Disbursements Summary'!$A:$A,"HFA")</f>
        <v>0</v>
      </c>
      <c r="ED45" s="55">
        <f>SUMIFS('Awards Summary'!$H:$H,'Awards Summary'!$B:$B,$C45,'Awards Summary'!$J:$J,"NYSIF")</f>
        <v>0</v>
      </c>
      <c r="EE45" s="55">
        <f>SUMIFS('Disbursements Summary'!$E:$E,'Disbursements Summary'!$C:$C,$C45,'Disbursements Summary'!$A:$A,"NYSIF")</f>
        <v>0</v>
      </c>
      <c r="EF45" s="55">
        <f>SUMIFS('Awards Summary'!$H:$H,'Awards Summary'!$B:$B,$C45,'Awards Summary'!$J:$J,"NYBREDS")</f>
        <v>0</v>
      </c>
      <c r="EG45" s="55">
        <f>SUMIFS('Disbursements Summary'!$E:$E,'Disbursements Summary'!$C:$C,$C45,'Disbursements Summary'!$A:$A,"NYBREDS")</f>
        <v>0</v>
      </c>
      <c r="EH45" s="55">
        <f>SUMIFS('Awards Summary'!$H:$H,'Awards Summary'!$B:$B,$C45,'Awards Summary'!$J:$J,"NYSTA")</f>
        <v>0</v>
      </c>
      <c r="EI45" s="55">
        <f>SUMIFS('Disbursements Summary'!$E:$E,'Disbursements Summary'!$C:$C,$C45,'Disbursements Summary'!$A:$A,"NYSTA")</f>
        <v>0</v>
      </c>
      <c r="EJ45" s="55">
        <f>SUMIFS('Awards Summary'!$H:$H,'Awards Summary'!$B:$B,$C45,'Awards Summary'!$J:$J,"NFWB")</f>
        <v>0</v>
      </c>
      <c r="EK45" s="55">
        <f>SUMIFS('Disbursements Summary'!$E:$E,'Disbursements Summary'!$C:$C,$C45,'Disbursements Summary'!$A:$A,"NFWB")</f>
        <v>0</v>
      </c>
      <c r="EL45" s="55">
        <f>SUMIFS('Awards Summary'!$H:$H,'Awards Summary'!$B:$B,$C45,'Awards Summary'!$J:$J,"NFTA")</f>
        <v>0</v>
      </c>
      <c r="EM45" s="55">
        <f>SUMIFS('Disbursements Summary'!$E:$E,'Disbursements Summary'!$C:$C,$C45,'Disbursements Summary'!$A:$A,"NFTA")</f>
        <v>0</v>
      </c>
      <c r="EN45" s="55">
        <f>SUMIFS('Awards Summary'!$H:$H,'Awards Summary'!$B:$B,$C45,'Awards Summary'!$J:$J,"OPWDD")</f>
        <v>0</v>
      </c>
      <c r="EO45" s="55">
        <f>SUMIFS('Disbursements Summary'!$E:$E,'Disbursements Summary'!$C:$C,$C45,'Disbursements Summary'!$A:$A,"OPWDD")</f>
        <v>0</v>
      </c>
      <c r="EP45" s="55">
        <f>SUMIFS('Awards Summary'!$H:$H,'Awards Summary'!$B:$B,$C45,'Awards Summary'!$J:$J,"AGING")</f>
        <v>0</v>
      </c>
      <c r="EQ45" s="55">
        <f>SUMIFS('Disbursements Summary'!$E:$E,'Disbursements Summary'!$C:$C,$C45,'Disbursements Summary'!$A:$A,"AGING")</f>
        <v>0</v>
      </c>
      <c r="ER45" s="55">
        <f>SUMIFS('Awards Summary'!$H:$H,'Awards Summary'!$B:$B,$C45,'Awards Summary'!$J:$J,"OPDV")</f>
        <v>0</v>
      </c>
      <c r="ES45" s="55">
        <f>SUMIFS('Disbursements Summary'!$E:$E,'Disbursements Summary'!$C:$C,$C45,'Disbursements Summary'!$A:$A,"OPDV")</f>
        <v>0</v>
      </c>
      <c r="ET45" s="55">
        <f>SUMIFS('Awards Summary'!$H:$H,'Awards Summary'!$B:$B,$C45,'Awards Summary'!$J:$J,"OVS")</f>
        <v>0</v>
      </c>
      <c r="EU45" s="55">
        <f>SUMIFS('Disbursements Summary'!$E:$E,'Disbursements Summary'!$C:$C,$C45,'Disbursements Summary'!$A:$A,"OVS")</f>
        <v>0</v>
      </c>
      <c r="EV45" s="55">
        <f>SUMIFS('Awards Summary'!$H:$H,'Awards Summary'!$B:$B,$C45,'Awards Summary'!$J:$J,"OASAS")</f>
        <v>0</v>
      </c>
      <c r="EW45" s="55">
        <f>SUMIFS('Disbursements Summary'!$E:$E,'Disbursements Summary'!$C:$C,$C45,'Disbursements Summary'!$A:$A,"OASAS")</f>
        <v>0</v>
      </c>
      <c r="EX45" s="55">
        <f>SUMIFS('Awards Summary'!$H:$H,'Awards Summary'!$B:$B,$C45,'Awards Summary'!$J:$J,"OCFS")</f>
        <v>0</v>
      </c>
      <c r="EY45" s="55">
        <f>SUMIFS('Disbursements Summary'!$E:$E,'Disbursements Summary'!$C:$C,$C45,'Disbursements Summary'!$A:$A,"OCFS")</f>
        <v>0</v>
      </c>
      <c r="EZ45" s="55">
        <f>SUMIFS('Awards Summary'!$H:$H,'Awards Summary'!$B:$B,$C45,'Awards Summary'!$J:$J,"OGS")</f>
        <v>0</v>
      </c>
      <c r="FA45" s="55">
        <f>SUMIFS('Disbursements Summary'!$E:$E,'Disbursements Summary'!$C:$C,$C45,'Disbursements Summary'!$A:$A,"OGS")</f>
        <v>0</v>
      </c>
      <c r="FB45" s="55">
        <f>SUMIFS('Awards Summary'!$H:$H,'Awards Summary'!$B:$B,$C45,'Awards Summary'!$J:$J,"OMH")</f>
        <v>0</v>
      </c>
      <c r="FC45" s="55">
        <f>SUMIFS('Disbursements Summary'!$E:$E,'Disbursements Summary'!$C:$C,$C45,'Disbursements Summary'!$A:$A,"OMH")</f>
        <v>0</v>
      </c>
      <c r="FD45" s="55">
        <f>SUMIFS('Awards Summary'!$H:$H,'Awards Summary'!$B:$B,$C45,'Awards Summary'!$J:$J,"PARKS")</f>
        <v>0</v>
      </c>
      <c r="FE45" s="55">
        <f>SUMIFS('Disbursements Summary'!$E:$E,'Disbursements Summary'!$C:$C,$C45,'Disbursements Summary'!$A:$A,"PARKS")</f>
        <v>0</v>
      </c>
      <c r="FF45" s="55">
        <f>SUMIFS('Awards Summary'!$H:$H,'Awards Summary'!$B:$B,$C45,'Awards Summary'!$J:$J,"OTDA")</f>
        <v>0</v>
      </c>
      <c r="FG45" s="55">
        <f>SUMIFS('Disbursements Summary'!$E:$E,'Disbursements Summary'!$C:$C,$C45,'Disbursements Summary'!$A:$A,"OTDA")</f>
        <v>0</v>
      </c>
      <c r="FH45" s="55">
        <f>SUMIFS('Awards Summary'!$H:$H,'Awards Summary'!$B:$B,$C45,'Awards Summary'!$J:$J,"OIG")</f>
        <v>0</v>
      </c>
      <c r="FI45" s="55">
        <f>SUMIFS('Disbursements Summary'!$E:$E,'Disbursements Summary'!$C:$C,$C45,'Disbursements Summary'!$A:$A,"OIG")</f>
        <v>0</v>
      </c>
      <c r="FJ45" s="55">
        <f>SUMIFS('Awards Summary'!$H:$H,'Awards Summary'!$B:$B,$C45,'Awards Summary'!$J:$J,"OMIG")</f>
        <v>0</v>
      </c>
      <c r="FK45" s="55">
        <f>SUMIFS('Disbursements Summary'!$E:$E,'Disbursements Summary'!$C:$C,$C45,'Disbursements Summary'!$A:$A,"OMIG")</f>
        <v>0</v>
      </c>
      <c r="FL45" s="55">
        <f>SUMIFS('Awards Summary'!$H:$H,'Awards Summary'!$B:$B,$C45,'Awards Summary'!$J:$J,"OSC")</f>
        <v>0</v>
      </c>
      <c r="FM45" s="55">
        <f>SUMIFS('Disbursements Summary'!$E:$E,'Disbursements Summary'!$C:$C,$C45,'Disbursements Summary'!$A:$A,"OSC")</f>
        <v>0</v>
      </c>
      <c r="FN45" s="55">
        <f>SUMIFS('Awards Summary'!$H:$H,'Awards Summary'!$B:$B,$C45,'Awards Summary'!$J:$J,"OWIG")</f>
        <v>0</v>
      </c>
      <c r="FO45" s="55">
        <f>SUMIFS('Disbursements Summary'!$E:$E,'Disbursements Summary'!$C:$C,$C45,'Disbursements Summary'!$A:$A,"OWIG")</f>
        <v>0</v>
      </c>
      <c r="FP45" s="55">
        <f>SUMIFS('Awards Summary'!$H:$H,'Awards Summary'!$B:$B,$C45,'Awards Summary'!$J:$J,"OGDEN")</f>
        <v>0</v>
      </c>
      <c r="FQ45" s="55">
        <f>SUMIFS('Disbursements Summary'!$E:$E,'Disbursements Summary'!$C:$C,$C45,'Disbursements Summary'!$A:$A,"OGDEN")</f>
        <v>0</v>
      </c>
      <c r="FR45" s="55">
        <f>SUMIFS('Awards Summary'!$H:$H,'Awards Summary'!$B:$B,$C45,'Awards Summary'!$J:$J,"ORDA")</f>
        <v>0</v>
      </c>
      <c r="FS45" s="55">
        <f>SUMIFS('Disbursements Summary'!$E:$E,'Disbursements Summary'!$C:$C,$C45,'Disbursements Summary'!$A:$A,"ORDA")</f>
        <v>0</v>
      </c>
      <c r="FT45" s="55">
        <f>SUMIFS('Awards Summary'!$H:$H,'Awards Summary'!$B:$B,$C45,'Awards Summary'!$J:$J,"OSWEGO")</f>
        <v>0</v>
      </c>
      <c r="FU45" s="55">
        <f>SUMIFS('Disbursements Summary'!$E:$E,'Disbursements Summary'!$C:$C,$C45,'Disbursements Summary'!$A:$A,"OSWEGO")</f>
        <v>0</v>
      </c>
      <c r="FV45" s="55">
        <f>SUMIFS('Awards Summary'!$H:$H,'Awards Summary'!$B:$B,$C45,'Awards Summary'!$J:$J,"PERB")</f>
        <v>0</v>
      </c>
      <c r="FW45" s="55">
        <f>SUMIFS('Disbursements Summary'!$E:$E,'Disbursements Summary'!$C:$C,$C45,'Disbursements Summary'!$A:$A,"PERB")</f>
        <v>0</v>
      </c>
      <c r="FX45" s="55">
        <f>SUMIFS('Awards Summary'!$H:$H,'Awards Summary'!$B:$B,$C45,'Awards Summary'!$J:$J,"RGRTA")</f>
        <v>0</v>
      </c>
      <c r="FY45" s="55">
        <f>SUMIFS('Disbursements Summary'!$E:$E,'Disbursements Summary'!$C:$C,$C45,'Disbursements Summary'!$A:$A,"RGRTA")</f>
        <v>0</v>
      </c>
      <c r="FZ45" s="55">
        <f>SUMIFS('Awards Summary'!$H:$H,'Awards Summary'!$B:$B,$C45,'Awards Summary'!$J:$J,"RIOC")</f>
        <v>0</v>
      </c>
      <c r="GA45" s="55">
        <f>SUMIFS('Disbursements Summary'!$E:$E,'Disbursements Summary'!$C:$C,$C45,'Disbursements Summary'!$A:$A,"RIOC")</f>
        <v>0</v>
      </c>
      <c r="GB45" s="55">
        <f>SUMIFS('Awards Summary'!$H:$H,'Awards Summary'!$B:$B,$C45,'Awards Summary'!$J:$J,"RPCI")</f>
        <v>0</v>
      </c>
      <c r="GC45" s="55">
        <f>SUMIFS('Disbursements Summary'!$E:$E,'Disbursements Summary'!$C:$C,$C45,'Disbursements Summary'!$A:$A,"RPCI")</f>
        <v>0</v>
      </c>
      <c r="GD45" s="55">
        <f>SUMIFS('Awards Summary'!$H:$H,'Awards Summary'!$B:$B,$C45,'Awards Summary'!$J:$J,"SMDA")</f>
        <v>0</v>
      </c>
      <c r="GE45" s="55">
        <f>SUMIFS('Disbursements Summary'!$E:$E,'Disbursements Summary'!$C:$C,$C45,'Disbursements Summary'!$A:$A,"SMDA")</f>
        <v>0</v>
      </c>
      <c r="GF45" s="55">
        <f>SUMIFS('Awards Summary'!$H:$H,'Awards Summary'!$B:$B,$C45,'Awards Summary'!$J:$J,"SCOC")</f>
        <v>0</v>
      </c>
      <c r="GG45" s="55">
        <f>SUMIFS('Disbursements Summary'!$E:$E,'Disbursements Summary'!$C:$C,$C45,'Disbursements Summary'!$A:$A,"SCOC")</f>
        <v>0</v>
      </c>
      <c r="GH45" s="55">
        <f>SUMIFS('Awards Summary'!$H:$H,'Awards Summary'!$B:$B,$C45,'Awards Summary'!$J:$J,"SUCF")</f>
        <v>0</v>
      </c>
      <c r="GI45" s="55">
        <f>SUMIFS('Disbursements Summary'!$E:$E,'Disbursements Summary'!$C:$C,$C45,'Disbursements Summary'!$A:$A,"SUCF")</f>
        <v>0</v>
      </c>
      <c r="GJ45" s="55">
        <f>SUMIFS('Awards Summary'!$H:$H,'Awards Summary'!$B:$B,$C45,'Awards Summary'!$J:$J,"SUNY")</f>
        <v>0</v>
      </c>
      <c r="GK45" s="55">
        <f>SUMIFS('Disbursements Summary'!$E:$E,'Disbursements Summary'!$C:$C,$C45,'Disbursements Summary'!$A:$A,"SUNY")</f>
        <v>0</v>
      </c>
      <c r="GL45" s="55">
        <f>SUMIFS('Awards Summary'!$H:$H,'Awards Summary'!$B:$B,$C45,'Awards Summary'!$J:$J,"SRAA")</f>
        <v>0</v>
      </c>
      <c r="GM45" s="55">
        <f>SUMIFS('Disbursements Summary'!$E:$E,'Disbursements Summary'!$C:$C,$C45,'Disbursements Summary'!$A:$A,"SRAA")</f>
        <v>0</v>
      </c>
      <c r="GN45" s="55">
        <f>SUMIFS('Awards Summary'!$H:$H,'Awards Summary'!$B:$B,$C45,'Awards Summary'!$J:$J,"UNDC")</f>
        <v>0</v>
      </c>
      <c r="GO45" s="55">
        <f>SUMIFS('Disbursements Summary'!$E:$E,'Disbursements Summary'!$C:$C,$C45,'Disbursements Summary'!$A:$A,"UNDC")</f>
        <v>0</v>
      </c>
      <c r="GP45" s="55">
        <f>SUMIFS('Awards Summary'!$H:$H,'Awards Summary'!$B:$B,$C45,'Awards Summary'!$J:$J,"MVWA")</f>
        <v>0</v>
      </c>
      <c r="GQ45" s="55">
        <f>SUMIFS('Disbursements Summary'!$E:$E,'Disbursements Summary'!$C:$C,$C45,'Disbursements Summary'!$A:$A,"MVWA")</f>
        <v>0</v>
      </c>
      <c r="GR45" s="55">
        <f>SUMIFS('Awards Summary'!$H:$H,'Awards Summary'!$B:$B,$C45,'Awards Summary'!$J:$J,"WMC")</f>
        <v>0</v>
      </c>
      <c r="GS45" s="55">
        <f>SUMIFS('Disbursements Summary'!$E:$E,'Disbursements Summary'!$C:$C,$C45,'Disbursements Summary'!$A:$A,"WMC")</f>
        <v>0</v>
      </c>
      <c r="GT45" s="55">
        <f>SUMIFS('Awards Summary'!$H:$H,'Awards Summary'!$B:$B,$C45,'Awards Summary'!$J:$J,"WCB")</f>
        <v>0</v>
      </c>
      <c r="GU45" s="55">
        <f>SUMIFS('Disbursements Summary'!$E:$E,'Disbursements Summary'!$C:$C,$C45,'Disbursements Summary'!$A:$A,"WCB")</f>
        <v>0</v>
      </c>
      <c r="GV45" s="32">
        <f t="shared" si="5"/>
        <v>0</v>
      </c>
      <c r="GW45" s="32">
        <f t="shared" si="6"/>
        <v>0</v>
      </c>
      <c r="GX45" s="30" t="b">
        <f t="shared" si="7"/>
        <v>1</v>
      </c>
      <c r="GY45" s="30" t="b">
        <f t="shared" si="8"/>
        <v>1</v>
      </c>
    </row>
    <row r="46" spans="1:207" s="30" customFormat="1">
      <c r="A46" s="22" t="str">
        <f t="shared" si="0"/>
        <v/>
      </c>
      <c r="B46" s="40" t="s">
        <v>219</v>
      </c>
      <c r="C46" s="16">
        <v>141079</v>
      </c>
      <c r="D46" s="26">
        <f>COUNTIF('Awards Summary'!B:B,"141079")</f>
        <v>0</v>
      </c>
      <c r="E46" s="45">
        <f>SUMIFS('Awards Summary'!H:H,'Awards Summary'!B:B,"141079")</f>
        <v>0</v>
      </c>
      <c r="F46" s="46">
        <f>SUMIFS('Disbursements Summary'!E:E,'Disbursements Summary'!C:C, "141079")</f>
        <v>0</v>
      </c>
      <c r="H46" s="55">
        <f>SUMIFS('Awards Summary'!$H:$H,'Awards Summary'!$B:$B,$C46,'Awards Summary'!$J:$J,"APA")</f>
        <v>0</v>
      </c>
      <c r="I46" s="55">
        <f>SUMIFS('Disbursements Summary'!$E:$E,'Disbursements Summary'!$C:$C,$C46,'Disbursements Summary'!$A:$A,"APA")</f>
        <v>0</v>
      </c>
      <c r="J46" s="55">
        <f>SUMIFS('Awards Summary'!$H:$H,'Awards Summary'!$B:$B,$C46,'Awards Summary'!$J:$J,"Ag&amp;Horse")</f>
        <v>0</v>
      </c>
      <c r="K46" s="55">
        <f>SUMIFS('Disbursements Summary'!$E:$E,'Disbursements Summary'!$C:$C,$C46,'Disbursements Summary'!$A:$A,"Ag&amp;Horse")</f>
        <v>0</v>
      </c>
      <c r="L46" s="55">
        <f>SUMIFS('Awards Summary'!$H:$H,'Awards Summary'!$B:$B,$C46,'Awards Summary'!$J:$J,"ACAA")</f>
        <v>0</v>
      </c>
      <c r="M46" s="55">
        <f>SUMIFS('Disbursements Summary'!$E:$E,'Disbursements Summary'!$C:$C,$C46,'Disbursements Summary'!$A:$A,"ACAA")</f>
        <v>0</v>
      </c>
      <c r="N46" s="55">
        <f>SUMIFS('Awards Summary'!$H:$H,'Awards Summary'!$B:$B,$C46,'Awards Summary'!$J:$J,"PortAlbany")</f>
        <v>0</v>
      </c>
      <c r="O46" s="55">
        <f>SUMIFS('Disbursements Summary'!$E:$E,'Disbursements Summary'!$C:$C,$C46,'Disbursements Summary'!$A:$A,"PortAlbany")</f>
        <v>0</v>
      </c>
      <c r="P46" s="55">
        <f>SUMIFS('Awards Summary'!$H:$H,'Awards Summary'!$B:$B,$C46,'Awards Summary'!$J:$J,"SLA")</f>
        <v>0</v>
      </c>
      <c r="Q46" s="55">
        <f>SUMIFS('Disbursements Summary'!$E:$E,'Disbursements Summary'!$C:$C,$C46,'Disbursements Summary'!$A:$A,"SLA")</f>
        <v>0</v>
      </c>
      <c r="R46" s="55">
        <f>SUMIFS('Awards Summary'!$H:$H,'Awards Summary'!$B:$B,$C46,'Awards Summary'!$J:$J,"BPCA")</f>
        <v>0</v>
      </c>
      <c r="S46" s="55">
        <f>SUMIFS('Disbursements Summary'!$E:$E,'Disbursements Summary'!$C:$C,$C46,'Disbursements Summary'!$A:$A,"BPCA")</f>
        <v>0</v>
      </c>
      <c r="T46" s="55">
        <f>SUMIFS('Awards Summary'!$H:$H,'Awards Summary'!$B:$B,$C46,'Awards Summary'!$J:$J,"ELECTIONS")</f>
        <v>0</v>
      </c>
      <c r="U46" s="55">
        <f>SUMIFS('Disbursements Summary'!$E:$E,'Disbursements Summary'!$C:$C,$C46,'Disbursements Summary'!$A:$A,"ELECTIONS")</f>
        <v>0</v>
      </c>
      <c r="V46" s="55">
        <f>SUMIFS('Awards Summary'!$H:$H,'Awards Summary'!$B:$B,$C46,'Awards Summary'!$J:$J,"BFSA")</f>
        <v>0</v>
      </c>
      <c r="W46" s="55">
        <f>SUMIFS('Disbursements Summary'!$E:$E,'Disbursements Summary'!$C:$C,$C46,'Disbursements Summary'!$A:$A,"BFSA")</f>
        <v>0</v>
      </c>
      <c r="X46" s="55">
        <f>SUMIFS('Awards Summary'!$H:$H,'Awards Summary'!$B:$B,$C46,'Awards Summary'!$J:$J,"CDTA")</f>
        <v>0</v>
      </c>
      <c r="Y46" s="55">
        <f>SUMIFS('Disbursements Summary'!$E:$E,'Disbursements Summary'!$C:$C,$C46,'Disbursements Summary'!$A:$A,"CDTA")</f>
        <v>0</v>
      </c>
      <c r="Z46" s="55">
        <f>SUMIFS('Awards Summary'!$H:$H,'Awards Summary'!$B:$B,$C46,'Awards Summary'!$J:$J,"CCWSA")</f>
        <v>0</v>
      </c>
      <c r="AA46" s="55">
        <f>SUMIFS('Disbursements Summary'!$E:$E,'Disbursements Summary'!$C:$C,$C46,'Disbursements Summary'!$A:$A,"CCWSA")</f>
        <v>0</v>
      </c>
      <c r="AB46" s="55">
        <f>SUMIFS('Awards Summary'!$H:$H,'Awards Summary'!$B:$B,$C46,'Awards Summary'!$J:$J,"CNYRTA")</f>
        <v>0</v>
      </c>
      <c r="AC46" s="55">
        <f>SUMIFS('Disbursements Summary'!$E:$E,'Disbursements Summary'!$C:$C,$C46,'Disbursements Summary'!$A:$A,"CNYRTA")</f>
        <v>0</v>
      </c>
      <c r="AD46" s="55">
        <f>SUMIFS('Awards Summary'!$H:$H,'Awards Summary'!$B:$B,$C46,'Awards Summary'!$J:$J,"CUCF")</f>
        <v>0</v>
      </c>
      <c r="AE46" s="55">
        <f>SUMIFS('Disbursements Summary'!$E:$E,'Disbursements Summary'!$C:$C,$C46,'Disbursements Summary'!$A:$A,"CUCF")</f>
        <v>0</v>
      </c>
      <c r="AF46" s="55">
        <f>SUMIFS('Awards Summary'!$H:$H,'Awards Summary'!$B:$B,$C46,'Awards Summary'!$J:$J,"CUNY")</f>
        <v>0</v>
      </c>
      <c r="AG46" s="55">
        <f>SUMIFS('Disbursements Summary'!$E:$E,'Disbursements Summary'!$C:$C,$C46,'Disbursements Summary'!$A:$A,"CUNY")</f>
        <v>0</v>
      </c>
      <c r="AH46" s="55">
        <f>SUMIFS('Awards Summary'!$H:$H,'Awards Summary'!$B:$B,$C46,'Awards Summary'!$J:$J,"ARTS")</f>
        <v>0</v>
      </c>
      <c r="AI46" s="55">
        <f>SUMIFS('Disbursements Summary'!$E:$E,'Disbursements Summary'!$C:$C,$C46,'Disbursements Summary'!$A:$A,"ARTS")</f>
        <v>0</v>
      </c>
      <c r="AJ46" s="55">
        <f>SUMIFS('Awards Summary'!$H:$H,'Awards Summary'!$B:$B,$C46,'Awards Summary'!$J:$J,"AG&amp;MKTS")</f>
        <v>0</v>
      </c>
      <c r="AK46" s="55">
        <f>SUMIFS('Disbursements Summary'!$E:$E,'Disbursements Summary'!$C:$C,$C46,'Disbursements Summary'!$A:$A,"AG&amp;MKTS")</f>
        <v>0</v>
      </c>
      <c r="AL46" s="55">
        <f>SUMIFS('Awards Summary'!$H:$H,'Awards Summary'!$B:$B,$C46,'Awards Summary'!$J:$J,"CS")</f>
        <v>0</v>
      </c>
      <c r="AM46" s="55">
        <f>SUMIFS('Disbursements Summary'!$E:$E,'Disbursements Summary'!$C:$C,$C46,'Disbursements Summary'!$A:$A,"CS")</f>
        <v>0</v>
      </c>
      <c r="AN46" s="55">
        <f>SUMIFS('Awards Summary'!$H:$H,'Awards Summary'!$B:$B,$C46,'Awards Summary'!$J:$J,"DOCCS")</f>
        <v>0</v>
      </c>
      <c r="AO46" s="55">
        <f>SUMIFS('Disbursements Summary'!$E:$E,'Disbursements Summary'!$C:$C,$C46,'Disbursements Summary'!$A:$A,"DOCCS")</f>
        <v>0</v>
      </c>
      <c r="AP46" s="55">
        <f>SUMIFS('Awards Summary'!$H:$H,'Awards Summary'!$B:$B,$C46,'Awards Summary'!$J:$J,"DED")</f>
        <v>0</v>
      </c>
      <c r="AQ46" s="55">
        <f>SUMIFS('Disbursements Summary'!$E:$E,'Disbursements Summary'!$C:$C,$C46,'Disbursements Summary'!$A:$A,"DED")</f>
        <v>0</v>
      </c>
      <c r="AR46" s="55">
        <f>SUMIFS('Awards Summary'!$H:$H,'Awards Summary'!$B:$B,$C46,'Awards Summary'!$J:$J,"DEC")</f>
        <v>0</v>
      </c>
      <c r="AS46" s="55">
        <f>SUMIFS('Disbursements Summary'!$E:$E,'Disbursements Summary'!$C:$C,$C46,'Disbursements Summary'!$A:$A,"DEC")</f>
        <v>0</v>
      </c>
      <c r="AT46" s="55">
        <f>SUMIFS('Awards Summary'!$H:$H,'Awards Summary'!$B:$B,$C46,'Awards Summary'!$J:$J,"DFS")</f>
        <v>0</v>
      </c>
      <c r="AU46" s="55">
        <f>SUMIFS('Disbursements Summary'!$E:$E,'Disbursements Summary'!$C:$C,$C46,'Disbursements Summary'!$A:$A,"DFS")</f>
        <v>0</v>
      </c>
      <c r="AV46" s="55">
        <f>SUMIFS('Awards Summary'!$H:$H,'Awards Summary'!$B:$B,$C46,'Awards Summary'!$J:$J,"DOH")</f>
        <v>0</v>
      </c>
      <c r="AW46" s="55">
        <f>SUMIFS('Disbursements Summary'!$E:$E,'Disbursements Summary'!$C:$C,$C46,'Disbursements Summary'!$A:$A,"DOH")</f>
        <v>0</v>
      </c>
      <c r="AX46" s="55">
        <f>SUMIFS('Awards Summary'!$H:$H,'Awards Summary'!$B:$B,$C46,'Awards Summary'!$J:$J,"DOL")</f>
        <v>0</v>
      </c>
      <c r="AY46" s="55">
        <f>SUMIFS('Disbursements Summary'!$E:$E,'Disbursements Summary'!$C:$C,$C46,'Disbursements Summary'!$A:$A,"DOL")</f>
        <v>0</v>
      </c>
      <c r="AZ46" s="55">
        <f>SUMIFS('Awards Summary'!$H:$H,'Awards Summary'!$B:$B,$C46,'Awards Summary'!$J:$J,"DMV")</f>
        <v>0</v>
      </c>
      <c r="BA46" s="55">
        <f>SUMIFS('Disbursements Summary'!$E:$E,'Disbursements Summary'!$C:$C,$C46,'Disbursements Summary'!$A:$A,"DMV")</f>
        <v>0</v>
      </c>
      <c r="BB46" s="55">
        <f>SUMIFS('Awards Summary'!$H:$H,'Awards Summary'!$B:$B,$C46,'Awards Summary'!$J:$J,"DPS")</f>
        <v>0</v>
      </c>
      <c r="BC46" s="55">
        <f>SUMIFS('Disbursements Summary'!$E:$E,'Disbursements Summary'!$C:$C,$C46,'Disbursements Summary'!$A:$A,"DPS")</f>
        <v>0</v>
      </c>
      <c r="BD46" s="55">
        <f>SUMIFS('Awards Summary'!$H:$H,'Awards Summary'!$B:$B,$C46,'Awards Summary'!$J:$J,"DOS")</f>
        <v>0</v>
      </c>
      <c r="BE46" s="55">
        <f>SUMIFS('Disbursements Summary'!$E:$E,'Disbursements Summary'!$C:$C,$C46,'Disbursements Summary'!$A:$A,"DOS")</f>
        <v>0</v>
      </c>
      <c r="BF46" s="55">
        <f>SUMIFS('Awards Summary'!$H:$H,'Awards Summary'!$B:$B,$C46,'Awards Summary'!$J:$J,"TAX")</f>
        <v>0</v>
      </c>
      <c r="BG46" s="55">
        <f>SUMIFS('Disbursements Summary'!$E:$E,'Disbursements Summary'!$C:$C,$C46,'Disbursements Summary'!$A:$A,"TAX")</f>
        <v>0</v>
      </c>
      <c r="BH46" s="55">
        <f>SUMIFS('Awards Summary'!$H:$H,'Awards Summary'!$B:$B,$C46,'Awards Summary'!$J:$J,"DOT")</f>
        <v>0</v>
      </c>
      <c r="BI46" s="55">
        <f>SUMIFS('Disbursements Summary'!$E:$E,'Disbursements Summary'!$C:$C,$C46,'Disbursements Summary'!$A:$A,"DOT")</f>
        <v>0</v>
      </c>
      <c r="BJ46" s="55">
        <f>SUMIFS('Awards Summary'!$H:$H,'Awards Summary'!$B:$B,$C46,'Awards Summary'!$J:$J,"DANC")</f>
        <v>0</v>
      </c>
      <c r="BK46" s="55">
        <f>SUMIFS('Disbursements Summary'!$E:$E,'Disbursements Summary'!$C:$C,$C46,'Disbursements Summary'!$A:$A,"DANC")</f>
        <v>0</v>
      </c>
      <c r="BL46" s="55">
        <f>SUMIFS('Awards Summary'!$H:$H,'Awards Summary'!$B:$B,$C46,'Awards Summary'!$J:$J,"DOB")</f>
        <v>0</v>
      </c>
      <c r="BM46" s="55">
        <f>SUMIFS('Disbursements Summary'!$E:$E,'Disbursements Summary'!$C:$C,$C46,'Disbursements Summary'!$A:$A,"DOB")</f>
        <v>0</v>
      </c>
      <c r="BN46" s="55">
        <f>SUMIFS('Awards Summary'!$H:$H,'Awards Summary'!$B:$B,$C46,'Awards Summary'!$J:$J,"DCJS")</f>
        <v>0</v>
      </c>
      <c r="BO46" s="55">
        <f>SUMIFS('Disbursements Summary'!$E:$E,'Disbursements Summary'!$C:$C,$C46,'Disbursements Summary'!$A:$A,"DCJS")</f>
        <v>0</v>
      </c>
      <c r="BP46" s="55">
        <f>SUMIFS('Awards Summary'!$H:$H,'Awards Summary'!$B:$B,$C46,'Awards Summary'!$J:$J,"DHSES")</f>
        <v>0</v>
      </c>
      <c r="BQ46" s="55">
        <f>SUMIFS('Disbursements Summary'!$E:$E,'Disbursements Summary'!$C:$C,$C46,'Disbursements Summary'!$A:$A,"DHSES")</f>
        <v>0</v>
      </c>
      <c r="BR46" s="55">
        <f>SUMIFS('Awards Summary'!$H:$H,'Awards Summary'!$B:$B,$C46,'Awards Summary'!$J:$J,"DHR")</f>
        <v>0</v>
      </c>
      <c r="BS46" s="55">
        <f>SUMIFS('Disbursements Summary'!$E:$E,'Disbursements Summary'!$C:$C,$C46,'Disbursements Summary'!$A:$A,"DHR")</f>
        <v>0</v>
      </c>
      <c r="BT46" s="55">
        <f>SUMIFS('Awards Summary'!$H:$H,'Awards Summary'!$B:$B,$C46,'Awards Summary'!$J:$J,"DMNA")</f>
        <v>0</v>
      </c>
      <c r="BU46" s="55">
        <f>SUMIFS('Disbursements Summary'!$E:$E,'Disbursements Summary'!$C:$C,$C46,'Disbursements Summary'!$A:$A,"DMNA")</f>
        <v>0</v>
      </c>
      <c r="BV46" s="55">
        <f>SUMIFS('Awards Summary'!$H:$H,'Awards Summary'!$B:$B,$C46,'Awards Summary'!$J:$J,"TROOPERS")</f>
        <v>0</v>
      </c>
      <c r="BW46" s="55">
        <f>SUMIFS('Disbursements Summary'!$E:$E,'Disbursements Summary'!$C:$C,$C46,'Disbursements Summary'!$A:$A,"TROOPERS")</f>
        <v>0</v>
      </c>
      <c r="BX46" s="55">
        <f>SUMIFS('Awards Summary'!$H:$H,'Awards Summary'!$B:$B,$C46,'Awards Summary'!$J:$J,"DVA")</f>
        <v>0</v>
      </c>
      <c r="BY46" s="55">
        <f>SUMIFS('Disbursements Summary'!$E:$E,'Disbursements Summary'!$C:$C,$C46,'Disbursements Summary'!$A:$A,"DVA")</f>
        <v>0</v>
      </c>
      <c r="BZ46" s="55">
        <f>SUMIFS('Awards Summary'!$H:$H,'Awards Summary'!$B:$B,$C46,'Awards Summary'!$J:$J,"DASNY")</f>
        <v>0</v>
      </c>
      <c r="CA46" s="55">
        <f>SUMIFS('Disbursements Summary'!$E:$E,'Disbursements Summary'!$C:$C,$C46,'Disbursements Summary'!$A:$A,"DASNY")</f>
        <v>0</v>
      </c>
      <c r="CB46" s="55">
        <f>SUMIFS('Awards Summary'!$H:$H,'Awards Summary'!$B:$B,$C46,'Awards Summary'!$J:$J,"EGG")</f>
        <v>0</v>
      </c>
      <c r="CC46" s="55">
        <f>SUMIFS('Disbursements Summary'!$E:$E,'Disbursements Summary'!$C:$C,$C46,'Disbursements Summary'!$A:$A,"EGG")</f>
        <v>0</v>
      </c>
      <c r="CD46" s="55">
        <f>SUMIFS('Awards Summary'!$H:$H,'Awards Summary'!$B:$B,$C46,'Awards Summary'!$J:$J,"ESD")</f>
        <v>0</v>
      </c>
      <c r="CE46" s="55">
        <f>SUMIFS('Disbursements Summary'!$E:$E,'Disbursements Summary'!$C:$C,$C46,'Disbursements Summary'!$A:$A,"ESD")</f>
        <v>0</v>
      </c>
      <c r="CF46" s="55">
        <f>SUMIFS('Awards Summary'!$H:$H,'Awards Summary'!$B:$B,$C46,'Awards Summary'!$J:$J,"EFC")</f>
        <v>0</v>
      </c>
      <c r="CG46" s="55">
        <f>SUMIFS('Disbursements Summary'!$E:$E,'Disbursements Summary'!$C:$C,$C46,'Disbursements Summary'!$A:$A,"EFC")</f>
        <v>0</v>
      </c>
      <c r="CH46" s="55">
        <f>SUMIFS('Awards Summary'!$H:$H,'Awards Summary'!$B:$B,$C46,'Awards Summary'!$J:$J,"ECFSA")</f>
        <v>0</v>
      </c>
      <c r="CI46" s="55">
        <f>SUMIFS('Disbursements Summary'!$E:$E,'Disbursements Summary'!$C:$C,$C46,'Disbursements Summary'!$A:$A,"ECFSA")</f>
        <v>0</v>
      </c>
      <c r="CJ46" s="55">
        <f>SUMIFS('Awards Summary'!$H:$H,'Awards Summary'!$B:$B,$C46,'Awards Summary'!$J:$J,"ECMC")</f>
        <v>0</v>
      </c>
      <c r="CK46" s="55">
        <f>SUMIFS('Disbursements Summary'!$E:$E,'Disbursements Summary'!$C:$C,$C46,'Disbursements Summary'!$A:$A,"ECMC")</f>
        <v>0</v>
      </c>
      <c r="CL46" s="55">
        <f>SUMIFS('Awards Summary'!$H:$H,'Awards Summary'!$B:$B,$C46,'Awards Summary'!$J:$J,"CHAMBER")</f>
        <v>0</v>
      </c>
      <c r="CM46" s="55">
        <f>SUMIFS('Disbursements Summary'!$E:$E,'Disbursements Summary'!$C:$C,$C46,'Disbursements Summary'!$A:$A,"CHAMBER")</f>
        <v>0</v>
      </c>
      <c r="CN46" s="55">
        <f>SUMIFS('Awards Summary'!$H:$H,'Awards Summary'!$B:$B,$C46,'Awards Summary'!$J:$J,"GAMING")</f>
        <v>0</v>
      </c>
      <c r="CO46" s="55">
        <f>SUMIFS('Disbursements Summary'!$E:$E,'Disbursements Summary'!$C:$C,$C46,'Disbursements Summary'!$A:$A,"GAMING")</f>
        <v>0</v>
      </c>
      <c r="CP46" s="55">
        <f>SUMIFS('Awards Summary'!$H:$H,'Awards Summary'!$B:$B,$C46,'Awards Summary'!$J:$J,"GOER")</f>
        <v>0</v>
      </c>
      <c r="CQ46" s="55">
        <f>SUMIFS('Disbursements Summary'!$E:$E,'Disbursements Summary'!$C:$C,$C46,'Disbursements Summary'!$A:$A,"GOER")</f>
        <v>0</v>
      </c>
      <c r="CR46" s="55">
        <f>SUMIFS('Awards Summary'!$H:$H,'Awards Summary'!$B:$B,$C46,'Awards Summary'!$J:$J,"HESC")</f>
        <v>0</v>
      </c>
      <c r="CS46" s="55">
        <f>SUMIFS('Disbursements Summary'!$E:$E,'Disbursements Summary'!$C:$C,$C46,'Disbursements Summary'!$A:$A,"HESC")</f>
        <v>0</v>
      </c>
      <c r="CT46" s="55">
        <f>SUMIFS('Awards Summary'!$H:$H,'Awards Summary'!$B:$B,$C46,'Awards Summary'!$J:$J,"GOSR")</f>
        <v>0</v>
      </c>
      <c r="CU46" s="55">
        <f>SUMIFS('Disbursements Summary'!$E:$E,'Disbursements Summary'!$C:$C,$C46,'Disbursements Summary'!$A:$A,"GOSR")</f>
        <v>0</v>
      </c>
      <c r="CV46" s="55">
        <f>SUMIFS('Awards Summary'!$H:$H,'Awards Summary'!$B:$B,$C46,'Awards Summary'!$J:$J,"HRPT")</f>
        <v>0</v>
      </c>
      <c r="CW46" s="55">
        <f>SUMIFS('Disbursements Summary'!$E:$E,'Disbursements Summary'!$C:$C,$C46,'Disbursements Summary'!$A:$A,"HRPT")</f>
        <v>0</v>
      </c>
      <c r="CX46" s="55">
        <f>SUMIFS('Awards Summary'!$H:$H,'Awards Summary'!$B:$B,$C46,'Awards Summary'!$J:$J,"HRBRRD")</f>
        <v>0</v>
      </c>
      <c r="CY46" s="55">
        <f>SUMIFS('Disbursements Summary'!$E:$E,'Disbursements Summary'!$C:$C,$C46,'Disbursements Summary'!$A:$A,"HRBRRD")</f>
        <v>0</v>
      </c>
      <c r="CZ46" s="55">
        <f>SUMIFS('Awards Summary'!$H:$H,'Awards Summary'!$B:$B,$C46,'Awards Summary'!$J:$J,"ITS")</f>
        <v>0</v>
      </c>
      <c r="DA46" s="55">
        <f>SUMIFS('Disbursements Summary'!$E:$E,'Disbursements Summary'!$C:$C,$C46,'Disbursements Summary'!$A:$A,"ITS")</f>
        <v>0</v>
      </c>
      <c r="DB46" s="55">
        <f>SUMIFS('Awards Summary'!$H:$H,'Awards Summary'!$B:$B,$C46,'Awards Summary'!$J:$J,"JAVITS")</f>
        <v>0</v>
      </c>
      <c r="DC46" s="55">
        <f>SUMIFS('Disbursements Summary'!$E:$E,'Disbursements Summary'!$C:$C,$C46,'Disbursements Summary'!$A:$A,"JAVITS")</f>
        <v>0</v>
      </c>
      <c r="DD46" s="55">
        <f>SUMIFS('Awards Summary'!$H:$H,'Awards Summary'!$B:$B,$C46,'Awards Summary'!$J:$J,"JCOPE")</f>
        <v>0</v>
      </c>
      <c r="DE46" s="55">
        <f>SUMIFS('Disbursements Summary'!$E:$E,'Disbursements Summary'!$C:$C,$C46,'Disbursements Summary'!$A:$A,"JCOPE")</f>
        <v>0</v>
      </c>
      <c r="DF46" s="55">
        <f>SUMIFS('Awards Summary'!$H:$H,'Awards Summary'!$B:$B,$C46,'Awards Summary'!$J:$J,"JUSTICE")</f>
        <v>0</v>
      </c>
      <c r="DG46" s="55">
        <f>SUMIFS('Disbursements Summary'!$E:$E,'Disbursements Summary'!$C:$C,$C46,'Disbursements Summary'!$A:$A,"JUSTICE")</f>
        <v>0</v>
      </c>
      <c r="DH46" s="55">
        <f>SUMIFS('Awards Summary'!$H:$H,'Awards Summary'!$B:$B,$C46,'Awards Summary'!$J:$J,"LCWSA")</f>
        <v>0</v>
      </c>
      <c r="DI46" s="55">
        <f>SUMIFS('Disbursements Summary'!$E:$E,'Disbursements Summary'!$C:$C,$C46,'Disbursements Summary'!$A:$A,"LCWSA")</f>
        <v>0</v>
      </c>
      <c r="DJ46" s="55">
        <f>SUMIFS('Awards Summary'!$H:$H,'Awards Summary'!$B:$B,$C46,'Awards Summary'!$J:$J,"LIPA")</f>
        <v>0</v>
      </c>
      <c r="DK46" s="55">
        <f>SUMIFS('Disbursements Summary'!$E:$E,'Disbursements Summary'!$C:$C,$C46,'Disbursements Summary'!$A:$A,"LIPA")</f>
        <v>0</v>
      </c>
      <c r="DL46" s="55">
        <f>SUMIFS('Awards Summary'!$H:$H,'Awards Summary'!$B:$B,$C46,'Awards Summary'!$J:$J,"MTA")</f>
        <v>0</v>
      </c>
      <c r="DM46" s="55">
        <f>SUMIFS('Disbursements Summary'!$E:$E,'Disbursements Summary'!$C:$C,$C46,'Disbursements Summary'!$A:$A,"MTA")</f>
        <v>0</v>
      </c>
      <c r="DN46" s="55">
        <f>SUMIFS('Awards Summary'!$H:$H,'Awards Summary'!$B:$B,$C46,'Awards Summary'!$J:$J,"NIFA")</f>
        <v>0</v>
      </c>
      <c r="DO46" s="55">
        <f>SUMIFS('Disbursements Summary'!$E:$E,'Disbursements Summary'!$C:$C,$C46,'Disbursements Summary'!$A:$A,"NIFA")</f>
        <v>0</v>
      </c>
      <c r="DP46" s="55">
        <f>SUMIFS('Awards Summary'!$H:$H,'Awards Summary'!$B:$B,$C46,'Awards Summary'!$J:$J,"NHCC")</f>
        <v>0</v>
      </c>
      <c r="DQ46" s="55">
        <f>SUMIFS('Disbursements Summary'!$E:$E,'Disbursements Summary'!$C:$C,$C46,'Disbursements Summary'!$A:$A,"NHCC")</f>
        <v>0</v>
      </c>
      <c r="DR46" s="55">
        <f>SUMIFS('Awards Summary'!$H:$H,'Awards Summary'!$B:$B,$C46,'Awards Summary'!$J:$J,"NHT")</f>
        <v>0</v>
      </c>
      <c r="DS46" s="55">
        <f>SUMIFS('Disbursements Summary'!$E:$E,'Disbursements Summary'!$C:$C,$C46,'Disbursements Summary'!$A:$A,"NHT")</f>
        <v>0</v>
      </c>
      <c r="DT46" s="55">
        <f>SUMIFS('Awards Summary'!$H:$H,'Awards Summary'!$B:$B,$C46,'Awards Summary'!$J:$J,"NYPA")</f>
        <v>0</v>
      </c>
      <c r="DU46" s="55">
        <f>SUMIFS('Disbursements Summary'!$E:$E,'Disbursements Summary'!$C:$C,$C46,'Disbursements Summary'!$A:$A,"NYPA")</f>
        <v>0</v>
      </c>
      <c r="DV46" s="55">
        <f>SUMIFS('Awards Summary'!$H:$H,'Awards Summary'!$B:$B,$C46,'Awards Summary'!$J:$J,"NYSBA")</f>
        <v>0</v>
      </c>
      <c r="DW46" s="55">
        <f>SUMIFS('Disbursements Summary'!$E:$E,'Disbursements Summary'!$C:$C,$C46,'Disbursements Summary'!$A:$A,"NYSBA")</f>
        <v>0</v>
      </c>
      <c r="DX46" s="55">
        <f>SUMIFS('Awards Summary'!$H:$H,'Awards Summary'!$B:$B,$C46,'Awards Summary'!$J:$J,"NYSERDA")</f>
        <v>0</v>
      </c>
      <c r="DY46" s="55">
        <f>SUMIFS('Disbursements Summary'!$E:$E,'Disbursements Summary'!$C:$C,$C46,'Disbursements Summary'!$A:$A,"NYSERDA")</f>
        <v>0</v>
      </c>
      <c r="DZ46" s="55">
        <f>SUMIFS('Awards Summary'!$H:$H,'Awards Summary'!$B:$B,$C46,'Awards Summary'!$J:$J,"DHCR")</f>
        <v>0</v>
      </c>
      <c r="EA46" s="55">
        <f>SUMIFS('Disbursements Summary'!$E:$E,'Disbursements Summary'!$C:$C,$C46,'Disbursements Summary'!$A:$A,"DHCR")</f>
        <v>0</v>
      </c>
      <c r="EB46" s="55">
        <f>SUMIFS('Awards Summary'!$H:$H,'Awards Summary'!$B:$B,$C46,'Awards Summary'!$J:$J,"HFA")</f>
        <v>0</v>
      </c>
      <c r="EC46" s="55">
        <f>SUMIFS('Disbursements Summary'!$E:$E,'Disbursements Summary'!$C:$C,$C46,'Disbursements Summary'!$A:$A,"HFA")</f>
        <v>0</v>
      </c>
      <c r="ED46" s="55">
        <f>SUMIFS('Awards Summary'!$H:$H,'Awards Summary'!$B:$B,$C46,'Awards Summary'!$J:$J,"NYSIF")</f>
        <v>0</v>
      </c>
      <c r="EE46" s="55">
        <f>SUMIFS('Disbursements Summary'!$E:$E,'Disbursements Summary'!$C:$C,$C46,'Disbursements Summary'!$A:$A,"NYSIF")</f>
        <v>0</v>
      </c>
      <c r="EF46" s="55">
        <f>SUMIFS('Awards Summary'!$H:$H,'Awards Summary'!$B:$B,$C46,'Awards Summary'!$J:$J,"NYBREDS")</f>
        <v>0</v>
      </c>
      <c r="EG46" s="55">
        <f>SUMIFS('Disbursements Summary'!$E:$E,'Disbursements Summary'!$C:$C,$C46,'Disbursements Summary'!$A:$A,"NYBREDS")</f>
        <v>0</v>
      </c>
      <c r="EH46" s="55">
        <f>SUMIFS('Awards Summary'!$H:$H,'Awards Summary'!$B:$B,$C46,'Awards Summary'!$J:$J,"NYSTA")</f>
        <v>0</v>
      </c>
      <c r="EI46" s="55">
        <f>SUMIFS('Disbursements Summary'!$E:$E,'Disbursements Summary'!$C:$C,$C46,'Disbursements Summary'!$A:$A,"NYSTA")</f>
        <v>0</v>
      </c>
      <c r="EJ46" s="55">
        <f>SUMIFS('Awards Summary'!$H:$H,'Awards Summary'!$B:$B,$C46,'Awards Summary'!$J:$J,"NFWB")</f>
        <v>0</v>
      </c>
      <c r="EK46" s="55">
        <f>SUMIFS('Disbursements Summary'!$E:$E,'Disbursements Summary'!$C:$C,$C46,'Disbursements Summary'!$A:$A,"NFWB")</f>
        <v>0</v>
      </c>
      <c r="EL46" s="55">
        <f>SUMIFS('Awards Summary'!$H:$H,'Awards Summary'!$B:$B,$C46,'Awards Summary'!$J:$J,"NFTA")</f>
        <v>0</v>
      </c>
      <c r="EM46" s="55">
        <f>SUMIFS('Disbursements Summary'!$E:$E,'Disbursements Summary'!$C:$C,$C46,'Disbursements Summary'!$A:$A,"NFTA")</f>
        <v>0</v>
      </c>
      <c r="EN46" s="55">
        <f>SUMIFS('Awards Summary'!$H:$H,'Awards Summary'!$B:$B,$C46,'Awards Summary'!$J:$J,"OPWDD")</f>
        <v>0</v>
      </c>
      <c r="EO46" s="55">
        <f>SUMIFS('Disbursements Summary'!$E:$E,'Disbursements Summary'!$C:$C,$C46,'Disbursements Summary'!$A:$A,"OPWDD")</f>
        <v>0</v>
      </c>
      <c r="EP46" s="55">
        <f>SUMIFS('Awards Summary'!$H:$H,'Awards Summary'!$B:$B,$C46,'Awards Summary'!$J:$J,"AGING")</f>
        <v>0</v>
      </c>
      <c r="EQ46" s="55">
        <f>SUMIFS('Disbursements Summary'!$E:$E,'Disbursements Summary'!$C:$C,$C46,'Disbursements Summary'!$A:$A,"AGING")</f>
        <v>0</v>
      </c>
      <c r="ER46" s="55">
        <f>SUMIFS('Awards Summary'!$H:$H,'Awards Summary'!$B:$B,$C46,'Awards Summary'!$J:$J,"OPDV")</f>
        <v>0</v>
      </c>
      <c r="ES46" s="55">
        <f>SUMIFS('Disbursements Summary'!$E:$E,'Disbursements Summary'!$C:$C,$C46,'Disbursements Summary'!$A:$A,"OPDV")</f>
        <v>0</v>
      </c>
      <c r="ET46" s="55">
        <f>SUMIFS('Awards Summary'!$H:$H,'Awards Summary'!$B:$B,$C46,'Awards Summary'!$J:$J,"OVS")</f>
        <v>0</v>
      </c>
      <c r="EU46" s="55">
        <f>SUMIFS('Disbursements Summary'!$E:$E,'Disbursements Summary'!$C:$C,$C46,'Disbursements Summary'!$A:$A,"OVS")</f>
        <v>0</v>
      </c>
      <c r="EV46" s="55">
        <f>SUMIFS('Awards Summary'!$H:$H,'Awards Summary'!$B:$B,$C46,'Awards Summary'!$J:$J,"OASAS")</f>
        <v>0</v>
      </c>
      <c r="EW46" s="55">
        <f>SUMIFS('Disbursements Summary'!$E:$E,'Disbursements Summary'!$C:$C,$C46,'Disbursements Summary'!$A:$A,"OASAS")</f>
        <v>0</v>
      </c>
      <c r="EX46" s="55">
        <f>SUMIFS('Awards Summary'!$H:$H,'Awards Summary'!$B:$B,$C46,'Awards Summary'!$J:$J,"OCFS")</f>
        <v>0</v>
      </c>
      <c r="EY46" s="55">
        <f>SUMIFS('Disbursements Summary'!$E:$E,'Disbursements Summary'!$C:$C,$C46,'Disbursements Summary'!$A:$A,"OCFS")</f>
        <v>0</v>
      </c>
      <c r="EZ46" s="55">
        <f>SUMIFS('Awards Summary'!$H:$H,'Awards Summary'!$B:$B,$C46,'Awards Summary'!$J:$J,"OGS")</f>
        <v>0</v>
      </c>
      <c r="FA46" s="55">
        <f>SUMIFS('Disbursements Summary'!$E:$E,'Disbursements Summary'!$C:$C,$C46,'Disbursements Summary'!$A:$A,"OGS")</f>
        <v>0</v>
      </c>
      <c r="FB46" s="55">
        <f>SUMIFS('Awards Summary'!$H:$H,'Awards Summary'!$B:$B,$C46,'Awards Summary'!$J:$J,"OMH")</f>
        <v>0</v>
      </c>
      <c r="FC46" s="55">
        <f>SUMIFS('Disbursements Summary'!$E:$E,'Disbursements Summary'!$C:$C,$C46,'Disbursements Summary'!$A:$A,"OMH")</f>
        <v>0</v>
      </c>
      <c r="FD46" s="55">
        <f>SUMIFS('Awards Summary'!$H:$H,'Awards Summary'!$B:$B,$C46,'Awards Summary'!$J:$J,"PARKS")</f>
        <v>0</v>
      </c>
      <c r="FE46" s="55">
        <f>SUMIFS('Disbursements Summary'!$E:$E,'Disbursements Summary'!$C:$C,$C46,'Disbursements Summary'!$A:$A,"PARKS")</f>
        <v>0</v>
      </c>
      <c r="FF46" s="55">
        <f>SUMIFS('Awards Summary'!$H:$H,'Awards Summary'!$B:$B,$C46,'Awards Summary'!$J:$J,"OTDA")</f>
        <v>0</v>
      </c>
      <c r="FG46" s="55">
        <f>SUMIFS('Disbursements Summary'!$E:$E,'Disbursements Summary'!$C:$C,$C46,'Disbursements Summary'!$A:$A,"OTDA")</f>
        <v>0</v>
      </c>
      <c r="FH46" s="55">
        <f>SUMIFS('Awards Summary'!$H:$H,'Awards Summary'!$B:$B,$C46,'Awards Summary'!$J:$J,"OIG")</f>
        <v>0</v>
      </c>
      <c r="FI46" s="55">
        <f>SUMIFS('Disbursements Summary'!$E:$E,'Disbursements Summary'!$C:$C,$C46,'Disbursements Summary'!$A:$A,"OIG")</f>
        <v>0</v>
      </c>
      <c r="FJ46" s="55">
        <f>SUMIFS('Awards Summary'!$H:$H,'Awards Summary'!$B:$B,$C46,'Awards Summary'!$J:$J,"OMIG")</f>
        <v>0</v>
      </c>
      <c r="FK46" s="55">
        <f>SUMIFS('Disbursements Summary'!$E:$E,'Disbursements Summary'!$C:$C,$C46,'Disbursements Summary'!$A:$A,"OMIG")</f>
        <v>0</v>
      </c>
      <c r="FL46" s="55">
        <f>SUMIFS('Awards Summary'!$H:$H,'Awards Summary'!$B:$B,$C46,'Awards Summary'!$J:$J,"OSC")</f>
        <v>0</v>
      </c>
      <c r="FM46" s="55">
        <f>SUMIFS('Disbursements Summary'!$E:$E,'Disbursements Summary'!$C:$C,$C46,'Disbursements Summary'!$A:$A,"OSC")</f>
        <v>0</v>
      </c>
      <c r="FN46" s="55">
        <f>SUMIFS('Awards Summary'!$H:$H,'Awards Summary'!$B:$B,$C46,'Awards Summary'!$J:$J,"OWIG")</f>
        <v>0</v>
      </c>
      <c r="FO46" s="55">
        <f>SUMIFS('Disbursements Summary'!$E:$E,'Disbursements Summary'!$C:$C,$C46,'Disbursements Summary'!$A:$A,"OWIG")</f>
        <v>0</v>
      </c>
      <c r="FP46" s="55">
        <f>SUMIFS('Awards Summary'!$H:$H,'Awards Summary'!$B:$B,$C46,'Awards Summary'!$J:$J,"OGDEN")</f>
        <v>0</v>
      </c>
      <c r="FQ46" s="55">
        <f>SUMIFS('Disbursements Summary'!$E:$E,'Disbursements Summary'!$C:$C,$C46,'Disbursements Summary'!$A:$A,"OGDEN")</f>
        <v>0</v>
      </c>
      <c r="FR46" s="55">
        <f>SUMIFS('Awards Summary'!$H:$H,'Awards Summary'!$B:$B,$C46,'Awards Summary'!$J:$J,"ORDA")</f>
        <v>0</v>
      </c>
      <c r="FS46" s="55">
        <f>SUMIFS('Disbursements Summary'!$E:$E,'Disbursements Summary'!$C:$C,$C46,'Disbursements Summary'!$A:$A,"ORDA")</f>
        <v>0</v>
      </c>
      <c r="FT46" s="55">
        <f>SUMIFS('Awards Summary'!$H:$H,'Awards Summary'!$B:$B,$C46,'Awards Summary'!$J:$J,"OSWEGO")</f>
        <v>0</v>
      </c>
      <c r="FU46" s="55">
        <f>SUMIFS('Disbursements Summary'!$E:$E,'Disbursements Summary'!$C:$C,$C46,'Disbursements Summary'!$A:$A,"OSWEGO")</f>
        <v>0</v>
      </c>
      <c r="FV46" s="55">
        <f>SUMIFS('Awards Summary'!$H:$H,'Awards Summary'!$B:$B,$C46,'Awards Summary'!$J:$J,"PERB")</f>
        <v>0</v>
      </c>
      <c r="FW46" s="55">
        <f>SUMIFS('Disbursements Summary'!$E:$E,'Disbursements Summary'!$C:$C,$C46,'Disbursements Summary'!$A:$A,"PERB")</f>
        <v>0</v>
      </c>
      <c r="FX46" s="55">
        <f>SUMIFS('Awards Summary'!$H:$H,'Awards Summary'!$B:$B,$C46,'Awards Summary'!$J:$J,"RGRTA")</f>
        <v>0</v>
      </c>
      <c r="FY46" s="55">
        <f>SUMIFS('Disbursements Summary'!$E:$E,'Disbursements Summary'!$C:$C,$C46,'Disbursements Summary'!$A:$A,"RGRTA")</f>
        <v>0</v>
      </c>
      <c r="FZ46" s="55">
        <f>SUMIFS('Awards Summary'!$H:$H,'Awards Summary'!$B:$B,$C46,'Awards Summary'!$J:$J,"RIOC")</f>
        <v>0</v>
      </c>
      <c r="GA46" s="55">
        <f>SUMIFS('Disbursements Summary'!$E:$E,'Disbursements Summary'!$C:$C,$C46,'Disbursements Summary'!$A:$A,"RIOC")</f>
        <v>0</v>
      </c>
      <c r="GB46" s="55">
        <f>SUMIFS('Awards Summary'!$H:$H,'Awards Summary'!$B:$B,$C46,'Awards Summary'!$J:$J,"RPCI")</f>
        <v>0</v>
      </c>
      <c r="GC46" s="55">
        <f>SUMIFS('Disbursements Summary'!$E:$E,'Disbursements Summary'!$C:$C,$C46,'Disbursements Summary'!$A:$A,"RPCI")</f>
        <v>0</v>
      </c>
      <c r="GD46" s="55">
        <f>SUMIFS('Awards Summary'!$H:$H,'Awards Summary'!$B:$B,$C46,'Awards Summary'!$J:$J,"SMDA")</f>
        <v>0</v>
      </c>
      <c r="GE46" s="55">
        <f>SUMIFS('Disbursements Summary'!$E:$E,'Disbursements Summary'!$C:$C,$C46,'Disbursements Summary'!$A:$A,"SMDA")</f>
        <v>0</v>
      </c>
      <c r="GF46" s="55">
        <f>SUMIFS('Awards Summary'!$H:$H,'Awards Summary'!$B:$B,$C46,'Awards Summary'!$J:$J,"SCOC")</f>
        <v>0</v>
      </c>
      <c r="GG46" s="55">
        <f>SUMIFS('Disbursements Summary'!$E:$E,'Disbursements Summary'!$C:$C,$C46,'Disbursements Summary'!$A:$A,"SCOC")</f>
        <v>0</v>
      </c>
      <c r="GH46" s="55">
        <f>SUMIFS('Awards Summary'!$H:$H,'Awards Summary'!$B:$B,$C46,'Awards Summary'!$J:$J,"SUCF")</f>
        <v>0</v>
      </c>
      <c r="GI46" s="55">
        <f>SUMIFS('Disbursements Summary'!$E:$E,'Disbursements Summary'!$C:$C,$C46,'Disbursements Summary'!$A:$A,"SUCF")</f>
        <v>0</v>
      </c>
      <c r="GJ46" s="55">
        <f>SUMIFS('Awards Summary'!$H:$H,'Awards Summary'!$B:$B,$C46,'Awards Summary'!$J:$J,"SUNY")</f>
        <v>0</v>
      </c>
      <c r="GK46" s="55">
        <f>SUMIFS('Disbursements Summary'!$E:$E,'Disbursements Summary'!$C:$C,$C46,'Disbursements Summary'!$A:$A,"SUNY")</f>
        <v>0</v>
      </c>
      <c r="GL46" s="55">
        <f>SUMIFS('Awards Summary'!$H:$H,'Awards Summary'!$B:$B,$C46,'Awards Summary'!$J:$J,"SRAA")</f>
        <v>0</v>
      </c>
      <c r="GM46" s="55">
        <f>SUMIFS('Disbursements Summary'!$E:$E,'Disbursements Summary'!$C:$C,$C46,'Disbursements Summary'!$A:$A,"SRAA")</f>
        <v>0</v>
      </c>
      <c r="GN46" s="55">
        <f>SUMIFS('Awards Summary'!$H:$H,'Awards Summary'!$B:$B,$C46,'Awards Summary'!$J:$J,"UNDC")</f>
        <v>0</v>
      </c>
      <c r="GO46" s="55">
        <f>SUMIFS('Disbursements Summary'!$E:$E,'Disbursements Summary'!$C:$C,$C46,'Disbursements Summary'!$A:$A,"UNDC")</f>
        <v>0</v>
      </c>
      <c r="GP46" s="55">
        <f>SUMIFS('Awards Summary'!$H:$H,'Awards Summary'!$B:$B,$C46,'Awards Summary'!$J:$J,"MVWA")</f>
        <v>0</v>
      </c>
      <c r="GQ46" s="55">
        <f>SUMIFS('Disbursements Summary'!$E:$E,'Disbursements Summary'!$C:$C,$C46,'Disbursements Summary'!$A:$A,"MVWA")</f>
        <v>0</v>
      </c>
      <c r="GR46" s="55">
        <f>SUMIFS('Awards Summary'!$H:$H,'Awards Summary'!$B:$B,$C46,'Awards Summary'!$J:$J,"WMC")</f>
        <v>0</v>
      </c>
      <c r="GS46" s="55">
        <f>SUMIFS('Disbursements Summary'!$E:$E,'Disbursements Summary'!$C:$C,$C46,'Disbursements Summary'!$A:$A,"WMC")</f>
        <v>0</v>
      </c>
      <c r="GT46" s="55">
        <f>SUMIFS('Awards Summary'!$H:$H,'Awards Summary'!$B:$B,$C46,'Awards Summary'!$J:$J,"WCB")</f>
        <v>0</v>
      </c>
      <c r="GU46" s="55">
        <f>SUMIFS('Disbursements Summary'!$E:$E,'Disbursements Summary'!$C:$C,$C46,'Disbursements Summary'!$A:$A,"WCB")</f>
        <v>0</v>
      </c>
      <c r="GV46" s="32">
        <f t="shared" si="5"/>
        <v>0</v>
      </c>
      <c r="GW46" s="32">
        <f t="shared" si="6"/>
        <v>0</v>
      </c>
      <c r="GX46" s="30" t="b">
        <f t="shared" si="7"/>
        <v>1</v>
      </c>
      <c r="GY46" s="30" t="b">
        <f t="shared" si="8"/>
        <v>1</v>
      </c>
    </row>
    <row r="47" spans="1:207" s="30" customFormat="1">
      <c r="A47" s="22" t="str">
        <f t="shared" si="0"/>
        <v/>
      </c>
      <c r="B47" s="40" t="s">
        <v>31</v>
      </c>
      <c r="C47" s="16">
        <v>141080</v>
      </c>
      <c r="D47" s="26">
        <f>COUNTIF('Awards Summary'!B:B,"141080")</f>
        <v>0</v>
      </c>
      <c r="E47" s="45">
        <f>SUMIFS('Awards Summary'!H:H,'Awards Summary'!B:B,"141080")</f>
        <v>0</v>
      </c>
      <c r="F47" s="46">
        <f>SUMIFS('Disbursements Summary'!E:E,'Disbursements Summary'!C:C, "141080")</f>
        <v>0</v>
      </c>
      <c r="H47" s="55">
        <f>SUMIFS('Awards Summary'!$H:$H,'Awards Summary'!$B:$B,$C47,'Awards Summary'!$J:$J,"APA")</f>
        <v>0</v>
      </c>
      <c r="I47" s="55">
        <f>SUMIFS('Disbursements Summary'!$E:$E,'Disbursements Summary'!$C:$C,$C47,'Disbursements Summary'!$A:$A,"APA")</f>
        <v>0</v>
      </c>
      <c r="J47" s="55">
        <f>SUMIFS('Awards Summary'!$H:$H,'Awards Summary'!$B:$B,$C47,'Awards Summary'!$J:$J,"Ag&amp;Horse")</f>
        <v>0</v>
      </c>
      <c r="K47" s="55">
        <f>SUMIFS('Disbursements Summary'!$E:$E,'Disbursements Summary'!$C:$C,$C47,'Disbursements Summary'!$A:$A,"Ag&amp;Horse")</f>
        <v>0</v>
      </c>
      <c r="L47" s="55">
        <f>SUMIFS('Awards Summary'!$H:$H,'Awards Summary'!$B:$B,$C47,'Awards Summary'!$J:$J,"ACAA")</f>
        <v>0</v>
      </c>
      <c r="M47" s="55">
        <f>SUMIFS('Disbursements Summary'!$E:$E,'Disbursements Summary'!$C:$C,$C47,'Disbursements Summary'!$A:$A,"ACAA")</f>
        <v>0</v>
      </c>
      <c r="N47" s="55">
        <f>SUMIFS('Awards Summary'!$H:$H,'Awards Summary'!$B:$B,$C47,'Awards Summary'!$J:$J,"PortAlbany")</f>
        <v>0</v>
      </c>
      <c r="O47" s="55">
        <f>SUMIFS('Disbursements Summary'!$E:$E,'Disbursements Summary'!$C:$C,$C47,'Disbursements Summary'!$A:$A,"PortAlbany")</f>
        <v>0</v>
      </c>
      <c r="P47" s="55">
        <f>SUMIFS('Awards Summary'!$H:$H,'Awards Summary'!$B:$B,$C47,'Awards Summary'!$J:$J,"SLA")</f>
        <v>0</v>
      </c>
      <c r="Q47" s="55">
        <f>SUMIFS('Disbursements Summary'!$E:$E,'Disbursements Summary'!$C:$C,$C47,'Disbursements Summary'!$A:$A,"SLA")</f>
        <v>0</v>
      </c>
      <c r="R47" s="55">
        <f>SUMIFS('Awards Summary'!$H:$H,'Awards Summary'!$B:$B,$C47,'Awards Summary'!$J:$J,"BPCA")</f>
        <v>0</v>
      </c>
      <c r="S47" s="55">
        <f>SUMIFS('Disbursements Summary'!$E:$E,'Disbursements Summary'!$C:$C,$C47,'Disbursements Summary'!$A:$A,"BPCA")</f>
        <v>0</v>
      </c>
      <c r="T47" s="55">
        <f>SUMIFS('Awards Summary'!$H:$H,'Awards Summary'!$B:$B,$C47,'Awards Summary'!$J:$J,"ELECTIONS")</f>
        <v>0</v>
      </c>
      <c r="U47" s="55">
        <f>SUMIFS('Disbursements Summary'!$E:$E,'Disbursements Summary'!$C:$C,$C47,'Disbursements Summary'!$A:$A,"ELECTIONS")</f>
        <v>0</v>
      </c>
      <c r="V47" s="55">
        <f>SUMIFS('Awards Summary'!$H:$H,'Awards Summary'!$B:$B,$C47,'Awards Summary'!$J:$J,"BFSA")</f>
        <v>0</v>
      </c>
      <c r="W47" s="55">
        <f>SUMIFS('Disbursements Summary'!$E:$E,'Disbursements Summary'!$C:$C,$C47,'Disbursements Summary'!$A:$A,"BFSA")</f>
        <v>0</v>
      </c>
      <c r="X47" s="55">
        <f>SUMIFS('Awards Summary'!$H:$H,'Awards Summary'!$B:$B,$C47,'Awards Summary'!$J:$J,"CDTA")</f>
        <v>0</v>
      </c>
      <c r="Y47" s="55">
        <f>SUMIFS('Disbursements Summary'!$E:$E,'Disbursements Summary'!$C:$C,$C47,'Disbursements Summary'!$A:$A,"CDTA")</f>
        <v>0</v>
      </c>
      <c r="Z47" s="55">
        <f>SUMIFS('Awards Summary'!$H:$H,'Awards Summary'!$B:$B,$C47,'Awards Summary'!$J:$J,"CCWSA")</f>
        <v>0</v>
      </c>
      <c r="AA47" s="55">
        <f>SUMIFS('Disbursements Summary'!$E:$E,'Disbursements Summary'!$C:$C,$C47,'Disbursements Summary'!$A:$A,"CCWSA")</f>
        <v>0</v>
      </c>
      <c r="AB47" s="55">
        <f>SUMIFS('Awards Summary'!$H:$H,'Awards Summary'!$B:$B,$C47,'Awards Summary'!$J:$J,"CNYRTA")</f>
        <v>0</v>
      </c>
      <c r="AC47" s="55">
        <f>SUMIFS('Disbursements Summary'!$E:$E,'Disbursements Summary'!$C:$C,$C47,'Disbursements Summary'!$A:$A,"CNYRTA")</f>
        <v>0</v>
      </c>
      <c r="AD47" s="55">
        <f>SUMIFS('Awards Summary'!$H:$H,'Awards Summary'!$B:$B,$C47,'Awards Summary'!$J:$J,"CUCF")</f>
        <v>0</v>
      </c>
      <c r="AE47" s="55">
        <f>SUMIFS('Disbursements Summary'!$E:$E,'Disbursements Summary'!$C:$C,$C47,'Disbursements Summary'!$A:$A,"CUCF")</f>
        <v>0</v>
      </c>
      <c r="AF47" s="55">
        <f>SUMIFS('Awards Summary'!$H:$H,'Awards Summary'!$B:$B,$C47,'Awards Summary'!$J:$J,"CUNY")</f>
        <v>0</v>
      </c>
      <c r="AG47" s="55">
        <f>SUMIFS('Disbursements Summary'!$E:$E,'Disbursements Summary'!$C:$C,$C47,'Disbursements Summary'!$A:$A,"CUNY")</f>
        <v>0</v>
      </c>
      <c r="AH47" s="55">
        <f>SUMIFS('Awards Summary'!$H:$H,'Awards Summary'!$B:$B,$C47,'Awards Summary'!$J:$J,"ARTS")</f>
        <v>0</v>
      </c>
      <c r="AI47" s="55">
        <f>SUMIFS('Disbursements Summary'!$E:$E,'Disbursements Summary'!$C:$C,$C47,'Disbursements Summary'!$A:$A,"ARTS")</f>
        <v>0</v>
      </c>
      <c r="AJ47" s="55">
        <f>SUMIFS('Awards Summary'!$H:$H,'Awards Summary'!$B:$B,$C47,'Awards Summary'!$J:$J,"AG&amp;MKTS")</f>
        <v>0</v>
      </c>
      <c r="AK47" s="55">
        <f>SUMIFS('Disbursements Summary'!$E:$E,'Disbursements Summary'!$C:$C,$C47,'Disbursements Summary'!$A:$A,"AG&amp;MKTS")</f>
        <v>0</v>
      </c>
      <c r="AL47" s="55">
        <f>SUMIFS('Awards Summary'!$H:$H,'Awards Summary'!$B:$B,$C47,'Awards Summary'!$J:$J,"CS")</f>
        <v>0</v>
      </c>
      <c r="AM47" s="55">
        <f>SUMIFS('Disbursements Summary'!$E:$E,'Disbursements Summary'!$C:$C,$C47,'Disbursements Summary'!$A:$A,"CS")</f>
        <v>0</v>
      </c>
      <c r="AN47" s="55">
        <f>SUMIFS('Awards Summary'!$H:$H,'Awards Summary'!$B:$B,$C47,'Awards Summary'!$J:$J,"DOCCS")</f>
        <v>0</v>
      </c>
      <c r="AO47" s="55">
        <f>SUMIFS('Disbursements Summary'!$E:$E,'Disbursements Summary'!$C:$C,$C47,'Disbursements Summary'!$A:$A,"DOCCS")</f>
        <v>0</v>
      </c>
      <c r="AP47" s="55">
        <f>SUMIFS('Awards Summary'!$H:$H,'Awards Summary'!$B:$B,$C47,'Awards Summary'!$J:$J,"DED")</f>
        <v>0</v>
      </c>
      <c r="AQ47" s="55">
        <f>SUMIFS('Disbursements Summary'!$E:$E,'Disbursements Summary'!$C:$C,$C47,'Disbursements Summary'!$A:$A,"DED")</f>
        <v>0</v>
      </c>
      <c r="AR47" s="55">
        <f>SUMIFS('Awards Summary'!$H:$H,'Awards Summary'!$B:$B,$C47,'Awards Summary'!$J:$J,"DEC")</f>
        <v>0</v>
      </c>
      <c r="AS47" s="55">
        <f>SUMIFS('Disbursements Summary'!$E:$E,'Disbursements Summary'!$C:$C,$C47,'Disbursements Summary'!$A:$A,"DEC")</f>
        <v>0</v>
      </c>
      <c r="AT47" s="55">
        <f>SUMIFS('Awards Summary'!$H:$H,'Awards Summary'!$B:$B,$C47,'Awards Summary'!$J:$J,"DFS")</f>
        <v>0</v>
      </c>
      <c r="AU47" s="55">
        <f>SUMIFS('Disbursements Summary'!$E:$E,'Disbursements Summary'!$C:$C,$C47,'Disbursements Summary'!$A:$A,"DFS")</f>
        <v>0</v>
      </c>
      <c r="AV47" s="55">
        <f>SUMIFS('Awards Summary'!$H:$H,'Awards Summary'!$B:$B,$C47,'Awards Summary'!$J:$J,"DOH")</f>
        <v>0</v>
      </c>
      <c r="AW47" s="55">
        <f>SUMIFS('Disbursements Summary'!$E:$E,'Disbursements Summary'!$C:$C,$C47,'Disbursements Summary'!$A:$A,"DOH")</f>
        <v>0</v>
      </c>
      <c r="AX47" s="55">
        <f>SUMIFS('Awards Summary'!$H:$H,'Awards Summary'!$B:$B,$C47,'Awards Summary'!$J:$J,"DOL")</f>
        <v>0</v>
      </c>
      <c r="AY47" s="55">
        <f>SUMIFS('Disbursements Summary'!$E:$E,'Disbursements Summary'!$C:$C,$C47,'Disbursements Summary'!$A:$A,"DOL")</f>
        <v>0</v>
      </c>
      <c r="AZ47" s="55">
        <f>SUMIFS('Awards Summary'!$H:$H,'Awards Summary'!$B:$B,$C47,'Awards Summary'!$J:$J,"DMV")</f>
        <v>0</v>
      </c>
      <c r="BA47" s="55">
        <f>SUMIFS('Disbursements Summary'!$E:$E,'Disbursements Summary'!$C:$C,$C47,'Disbursements Summary'!$A:$A,"DMV")</f>
        <v>0</v>
      </c>
      <c r="BB47" s="55">
        <f>SUMIFS('Awards Summary'!$H:$H,'Awards Summary'!$B:$B,$C47,'Awards Summary'!$J:$J,"DPS")</f>
        <v>0</v>
      </c>
      <c r="BC47" s="55">
        <f>SUMIFS('Disbursements Summary'!$E:$E,'Disbursements Summary'!$C:$C,$C47,'Disbursements Summary'!$A:$A,"DPS")</f>
        <v>0</v>
      </c>
      <c r="BD47" s="55">
        <f>SUMIFS('Awards Summary'!$H:$H,'Awards Summary'!$B:$B,$C47,'Awards Summary'!$J:$J,"DOS")</f>
        <v>0</v>
      </c>
      <c r="BE47" s="55">
        <f>SUMIFS('Disbursements Summary'!$E:$E,'Disbursements Summary'!$C:$C,$C47,'Disbursements Summary'!$A:$A,"DOS")</f>
        <v>0</v>
      </c>
      <c r="BF47" s="55">
        <f>SUMIFS('Awards Summary'!$H:$H,'Awards Summary'!$B:$B,$C47,'Awards Summary'!$J:$J,"TAX")</f>
        <v>0</v>
      </c>
      <c r="BG47" s="55">
        <f>SUMIFS('Disbursements Summary'!$E:$E,'Disbursements Summary'!$C:$C,$C47,'Disbursements Summary'!$A:$A,"TAX")</f>
        <v>0</v>
      </c>
      <c r="BH47" s="55">
        <f>SUMIFS('Awards Summary'!$H:$H,'Awards Summary'!$B:$B,$C47,'Awards Summary'!$J:$J,"DOT")</f>
        <v>0</v>
      </c>
      <c r="BI47" s="55">
        <f>SUMIFS('Disbursements Summary'!$E:$E,'Disbursements Summary'!$C:$C,$C47,'Disbursements Summary'!$A:$A,"DOT")</f>
        <v>0</v>
      </c>
      <c r="BJ47" s="55">
        <f>SUMIFS('Awards Summary'!$H:$H,'Awards Summary'!$B:$B,$C47,'Awards Summary'!$J:$J,"DANC")</f>
        <v>0</v>
      </c>
      <c r="BK47" s="55">
        <f>SUMIFS('Disbursements Summary'!$E:$E,'Disbursements Summary'!$C:$C,$C47,'Disbursements Summary'!$A:$A,"DANC")</f>
        <v>0</v>
      </c>
      <c r="BL47" s="55">
        <f>SUMIFS('Awards Summary'!$H:$H,'Awards Summary'!$B:$B,$C47,'Awards Summary'!$J:$J,"DOB")</f>
        <v>0</v>
      </c>
      <c r="BM47" s="55">
        <f>SUMIFS('Disbursements Summary'!$E:$E,'Disbursements Summary'!$C:$C,$C47,'Disbursements Summary'!$A:$A,"DOB")</f>
        <v>0</v>
      </c>
      <c r="BN47" s="55">
        <f>SUMIFS('Awards Summary'!$H:$H,'Awards Summary'!$B:$B,$C47,'Awards Summary'!$J:$J,"DCJS")</f>
        <v>0</v>
      </c>
      <c r="BO47" s="55">
        <f>SUMIFS('Disbursements Summary'!$E:$E,'Disbursements Summary'!$C:$C,$C47,'Disbursements Summary'!$A:$A,"DCJS")</f>
        <v>0</v>
      </c>
      <c r="BP47" s="55">
        <f>SUMIFS('Awards Summary'!$H:$H,'Awards Summary'!$B:$B,$C47,'Awards Summary'!$J:$J,"DHSES")</f>
        <v>0</v>
      </c>
      <c r="BQ47" s="55">
        <f>SUMIFS('Disbursements Summary'!$E:$E,'Disbursements Summary'!$C:$C,$C47,'Disbursements Summary'!$A:$A,"DHSES")</f>
        <v>0</v>
      </c>
      <c r="BR47" s="55">
        <f>SUMIFS('Awards Summary'!$H:$H,'Awards Summary'!$B:$B,$C47,'Awards Summary'!$J:$J,"DHR")</f>
        <v>0</v>
      </c>
      <c r="BS47" s="55">
        <f>SUMIFS('Disbursements Summary'!$E:$E,'Disbursements Summary'!$C:$C,$C47,'Disbursements Summary'!$A:$A,"DHR")</f>
        <v>0</v>
      </c>
      <c r="BT47" s="55">
        <f>SUMIFS('Awards Summary'!$H:$H,'Awards Summary'!$B:$B,$C47,'Awards Summary'!$J:$J,"DMNA")</f>
        <v>0</v>
      </c>
      <c r="BU47" s="55">
        <f>SUMIFS('Disbursements Summary'!$E:$E,'Disbursements Summary'!$C:$C,$C47,'Disbursements Summary'!$A:$A,"DMNA")</f>
        <v>0</v>
      </c>
      <c r="BV47" s="55">
        <f>SUMIFS('Awards Summary'!$H:$H,'Awards Summary'!$B:$B,$C47,'Awards Summary'!$J:$J,"TROOPERS")</f>
        <v>0</v>
      </c>
      <c r="BW47" s="55">
        <f>SUMIFS('Disbursements Summary'!$E:$E,'Disbursements Summary'!$C:$C,$C47,'Disbursements Summary'!$A:$A,"TROOPERS")</f>
        <v>0</v>
      </c>
      <c r="BX47" s="55">
        <f>SUMIFS('Awards Summary'!$H:$H,'Awards Summary'!$B:$B,$C47,'Awards Summary'!$J:$J,"DVA")</f>
        <v>0</v>
      </c>
      <c r="BY47" s="55">
        <f>SUMIFS('Disbursements Summary'!$E:$E,'Disbursements Summary'!$C:$C,$C47,'Disbursements Summary'!$A:$A,"DVA")</f>
        <v>0</v>
      </c>
      <c r="BZ47" s="55">
        <f>SUMIFS('Awards Summary'!$H:$H,'Awards Summary'!$B:$B,$C47,'Awards Summary'!$J:$J,"DASNY")</f>
        <v>0</v>
      </c>
      <c r="CA47" s="55">
        <f>SUMIFS('Disbursements Summary'!$E:$E,'Disbursements Summary'!$C:$C,$C47,'Disbursements Summary'!$A:$A,"DASNY")</f>
        <v>0</v>
      </c>
      <c r="CB47" s="55">
        <f>SUMIFS('Awards Summary'!$H:$H,'Awards Summary'!$B:$B,$C47,'Awards Summary'!$J:$J,"EGG")</f>
        <v>0</v>
      </c>
      <c r="CC47" s="55">
        <f>SUMIFS('Disbursements Summary'!$E:$E,'Disbursements Summary'!$C:$C,$C47,'Disbursements Summary'!$A:$A,"EGG")</f>
        <v>0</v>
      </c>
      <c r="CD47" s="55">
        <f>SUMIFS('Awards Summary'!$H:$H,'Awards Summary'!$B:$B,$C47,'Awards Summary'!$J:$J,"ESD")</f>
        <v>0</v>
      </c>
      <c r="CE47" s="55">
        <f>SUMIFS('Disbursements Summary'!$E:$E,'Disbursements Summary'!$C:$C,$C47,'Disbursements Summary'!$A:$A,"ESD")</f>
        <v>0</v>
      </c>
      <c r="CF47" s="55">
        <f>SUMIFS('Awards Summary'!$H:$H,'Awards Summary'!$B:$B,$C47,'Awards Summary'!$J:$J,"EFC")</f>
        <v>0</v>
      </c>
      <c r="CG47" s="55">
        <f>SUMIFS('Disbursements Summary'!$E:$E,'Disbursements Summary'!$C:$C,$C47,'Disbursements Summary'!$A:$A,"EFC")</f>
        <v>0</v>
      </c>
      <c r="CH47" s="55">
        <f>SUMIFS('Awards Summary'!$H:$H,'Awards Summary'!$B:$B,$C47,'Awards Summary'!$J:$J,"ECFSA")</f>
        <v>0</v>
      </c>
      <c r="CI47" s="55">
        <f>SUMIFS('Disbursements Summary'!$E:$E,'Disbursements Summary'!$C:$C,$C47,'Disbursements Summary'!$A:$A,"ECFSA")</f>
        <v>0</v>
      </c>
      <c r="CJ47" s="55">
        <f>SUMIFS('Awards Summary'!$H:$H,'Awards Summary'!$B:$B,$C47,'Awards Summary'!$J:$J,"ECMC")</f>
        <v>0</v>
      </c>
      <c r="CK47" s="55">
        <f>SUMIFS('Disbursements Summary'!$E:$E,'Disbursements Summary'!$C:$C,$C47,'Disbursements Summary'!$A:$A,"ECMC")</f>
        <v>0</v>
      </c>
      <c r="CL47" s="55">
        <f>SUMIFS('Awards Summary'!$H:$H,'Awards Summary'!$B:$B,$C47,'Awards Summary'!$J:$J,"CHAMBER")</f>
        <v>0</v>
      </c>
      <c r="CM47" s="55">
        <f>SUMIFS('Disbursements Summary'!$E:$E,'Disbursements Summary'!$C:$C,$C47,'Disbursements Summary'!$A:$A,"CHAMBER")</f>
        <v>0</v>
      </c>
      <c r="CN47" s="55">
        <f>SUMIFS('Awards Summary'!$H:$H,'Awards Summary'!$B:$B,$C47,'Awards Summary'!$J:$J,"GAMING")</f>
        <v>0</v>
      </c>
      <c r="CO47" s="55">
        <f>SUMIFS('Disbursements Summary'!$E:$E,'Disbursements Summary'!$C:$C,$C47,'Disbursements Summary'!$A:$A,"GAMING")</f>
        <v>0</v>
      </c>
      <c r="CP47" s="55">
        <f>SUMIFS('Awards Summary'!$H:$H,'Awards Summary'!$B:$B,$C47,'Awards Summary'!$J:$J,"GOER")</f>
        <v>0</v>
      </c>
      <c r="CQ47" s="55">
        <f>SUMIFS('Disbursements Summary'!$E:$E,'Disbursements Summary'!$C:$C,$C47,'Disbursements Summary'!$A:$A,"GOER")</f>
        <v>0</v>
      </c>
      <c r="CR47" s="55">
        <f>SUMIFS('Awards Summary'!$H:$H,'Awards Summary'!$B:$B,$C47,'Awards Summary'!$J:$J,"HESC")</f>
        <v>0</v>
      </c>
      <c r="CS47" s="55">
        <f>SUMIFS('Disbursements Summary'!$E:$E,'Disbursements Summary'!$C:$C,$C47,'Disbursements Summary'!$A:$A,"HESC")</f>
        <v>0</v>
      </c>
      <c r="CT47" s="55">
        <f>SUMIFS('Awards Summary'!$H:$H,'Awards Summary'!$B:$B,$C47,'Awards Summary'!$J:$J,"GOSR")</f>
        <v>0</v>
      </c>
      <c r="CU47" s="55">
        <f>SUMIFS('Disbursements Summary'!$E:$E,'Disbursements Summary'!$C:$C,$C47,'Disbursements Summary'!$A:$A,"GOSR")</f>
        <v>0</v>
      </c>
      <c r="CV47" s="55">
        <f>SUMIFS('Awards Summary'!$H:$H,'Awards Summary'!$B:$B,$C47,'Awards Summary'!$J:$J,"HRPT")</f>
        <v>0</v>
      </c>
      <c r="CW47" s="55">
        <f>SUMIFS('Disbursements Summary'!$E:$E,'Disbursements Summary'!$C:$C,$C47,'Disbursements Summary'!$A:$A,"HRPT")</f>
        <v>0</v>
      </c>
      <c r="CX47" s="55">
        <f>SUMIFS('Awards Summary'!$H:$H,'Awards Summary'!$B:$B,$C47,'Awards Summary'!$J:$J,"HRBRRD")</f>
        <v>0</v>
      </c>
      <c r="CY47" s="55">
        <f>SUMIFS('Disbursements Summary'!$E:$E,'Disbursements Summary'!$C:$C,$C47,'Disbursements Summary'!$A:$A,"HRBRRD")</f>
        <v>0</v>
      </c>
      <c r="CZ47" s="55">
        <f>SUMIFS('Awards Summary'!$H:$H,'Awards Summary'!$B:$B,$C47,'Awards Summary'!$J:$J,"ITS")</f>
        <v>0</v>
      </c>
      <c r="DA47" s="55">
        <f>SUMIFS('Disbursements Summary'!$E:$E,'Disbursements Summary'!$C:$C,$C47,'Disbursements Summary'!$A:$A,"ITS")</f>
        <v>0</v>
      </c>
      <c r="DB47" s="55">
        <f>SUMIFS('Awards Summary'!$H:$H,'Awards Summary'!$B:$B,$C47,'Awards Summary'!$J:$J,"JAVITS")</f>
        <v>0</v>
      </c>
      <c r="DC47" s="55">
        <f>SUMIFS('Disbursements Summary'!$E:$E,'Disbursements Summary'!$C:$C,$C47,'Disbursements Summary'!$A:$A,"JAVITS")</f>
        <v>0</v>
      </c>
      <c r="DD47" s="55">
        <f>SUMIFS('Awards Summary'!$H:$H,'Awards Summary'!$B:$B,$C47,'Awards Summary'!$J:$J,"JCOPE")</f>
        <v>0</v>
      </c>
      <c r="DE47" s="55">
        <f>SUMIFS('Disbursements Summary'!$E:$E,'Disbursements Summary'!$C:$C,$C47,'Disbursements Summary'!$A:$A,"JCOPE")</f>
        <v>0</v>
      </c>
      <c r="DF47" s="55">
        <f>SUMIFS('Awards Summary'!$H:$H,'Awards Summary'!$B:$B,$C47,'Awards Summary'!$J:$J,"JUSTICE")</f>
        <v>0</v>
      </c>
      <c r="DG47" s="55">
        <f>SUMIFS('Disbursements Summary'!$E:$E,'Disbursements Summary'!$C:$C,$C47,'Disbursements Summary'!$A:$A,"JUSTICE")</f>
        <v>0</v>
      </c>
      <c r="DH47" s="55">
        <f>SUMIFS('Awards Summary'!$H:$H,'Awards Summary'!$B:$B,$C47,'Awards Summary'!$J:$J,"LCWSA")</f>
        <v>0</v>
      </c>
      <c r="DI47" s="55">
        <f>SUMIFS('Disbursements Summary'!$E:$E,'Disbursements Summary'!$C:$C,$C47,'Disbursements Summary'!$A:$A,"LCWSA")</f>
        <v>0</v>
      </c>
      <c r="DJ47" s="55">
        <f>SUMIFS('Awards Summary'!$H:$H,'Awards Summary'!$B:$B,$C47,'Awards Summary'!$J:$J,"LIPA")</f>
        <v>0</v>
      </c>
      <c r="DK47" s="55">
        <f>SUMIFS('Disbursements Summary'!$E:$E,'Disbursements Summary'!$C:$C,$C47,'Disbursements Summary'!$A:$A,"LIPA")</f>
        <v>0</v>
      </c>
      <c r="DL47" s="55">
        <f>SUMIFS('Awards Summary'!$H:$H,'Awards Summary'!$B:$B,$C47,'Awards Summary'!$J:$J,"MTA")</f>
        <v>0</v>
      </c>
      <c r="DM47" s="55">
        <f>SUMIFS('Disbursements Summary'!$E:$E,'Disbursements Summary'!$C:$C,$C47,'Disbursements Summary'!$A:$A,"MTA")</f>
        <v>0</v>
      </c>
      <c r="DN47" s="55">
        <f>SUMIFS('Awards Summary'!$H:$H,'Awards Summary'!$B:$B,$C47,'Awards Summary'!$J:$J,"NIFA")</f>
        <v>0</v>
      </c>
      <c r="DO47" s="55">
        <f>SUMIFS('Disbursements Summary'!$E:$E,'Disbursements Summary'!$C:$C,$C47,'Disbursements Summary'!$A:$A,"NIFA")</f>
        <v>0</v>
      </c>
      <c r="DP47" s="55">
        <f>SUMIFS('Awards Summary'!$H:$H,'Awards Summary'!$B:$B,$C47,'Awards Summary'!$J:$J,"NHCC")</f>
        <v>0</v>
      </c>
      <c r="DQ47" s="55">
        <f>SUMIFS('Disbursements Summary'!$E:$E,'Disbursements Summary'!$C:$C,$C47,'Disbursements Summary'!$A:$A,"NHCC")</f>
        <v>0</v>
      </c>
      <c r="DR47" s="55">
        <f>SUMIFS('Awards Summary'!$H:$H,'Awards Summary'!$B:$B,$C47,'Awards Summary'!$J:$J,"NHT")</f>
        <v>0</v>
      </c>
      <c r="DS47" s="55">
        <f>SUMIFS('Disbursements Summary'!$E:$E,'Disbursements Summary'!$C:$C,$C47,'Disbursements Summary'!$A:$A,"NHT")</f>
        <v>0</v>
      </c>
      <c r="DT47" s="55">
        <f>SUMIFS('Awards Summary'!$H:$H,'Awards Summary'!$B:$B,$C47,'Awards Summary'!$J:$J,"NYPA")</f>
        <v>0</v>
      </c>
      <c r="DU47" s="55">
        <f>SUMIFS('Disbursements Summary'!$E:$E,'Disbursements Summary'!$C:$C,$C47,'Disbursements Summary'!$A:$A,"NYPA")</f>
        <v>0</v>
      </c>
      <c r="DV47" s="55">
        <f>SUMIFS('Awards Summary'!$H:$H,'Awards Summary'!$B:$B,$C47,'Awards Summary'!$J:$J,"NYSBA")</f>
        <v>0</v>
      </c>
      <c r="DW47" s="55">
        <f>SUMIFS('Disbursements Summary'!$E:$E,'Disbursements Summary'!$C:$C,$C47,'Disbursements Summary'!$A:$A,"NYSBA")</f>
        <v>0</v>
      </c>
      <c r="DX47" s="55">
        <f>SUMIFS('Awards Summary'!$H:$H,'Awards Summary'!$B:$B,$C47,'Awards Summary'!$J:$J,"NYSERDA")</f>
        <v>0</v>
      </c>
      <c r="DY47" s="55">
        <f>SUMIFS('Disbursements Summary'!$E:$E,'Disbursements Summary'!$C:$C,$C47,'Disbursements Summary'!$A:$A,"NYSERDA")</f>
        <v>0</v>
      </c>
      <c r="DZ47" s="55">
        <f>SUMIFS('Awards Summary'!$H:$H,'Awards Summary'!$B:$B,$C47,'Awards Summary'!$J:$J,"DHCR")</f>
        <v>0</v>
      </c>
      <c r="EA47" s="55">
        <f>SUMIFS('Disbursements Summary'!$E:$E,'Disbursements Summary'!$C:$C,$C47,'Disbursements Summary'!$A:$A,"DHCR")</f>
        <v>0</v>
      </c>
      <c r="EB47" s="55">
        <f>SUMIFS('Awards Summary'!$H:$H,'Awards Summary'!$B:$B,$C47,'Awards Summary'!$J:$J,"HFA")</f>
        <v>0</v>
      </c>
      <c r="EC47" s="55">
        <f>SUMIFS('Disbursements Summary'!$E:$E,'Disbursements Summary'!$C:$C,$C47,'Disbursements Summary'!$A:$A,"HFA")</f>
        <v>0</v>
      </c>
      <c r="ED47" s="55">
        <f>SUMIFS('Awards Summary'!$H:$H,'Awards Summary'!$B:$B,$C47,'Awards Summary'!$J:$J,"NYSIF")</f>
        <v>0</v>
      </c>
      <c r="EE47" s="55">
        <f>SUMIFS('Disbursements Summary'!$E:$E,'Disbursements Summary'!$C:$C,$C47,'Disbursements Summary'!$A:$A,"NYSIF")</f>
        <v>0</v>
      </c>
      <c r="EF47" s="55">
        <f>SUMIFS('Awards Summary'!$H:$H,'Awards Summary'!$B:$B,$C47,'Awards Summary'!$J:$J,"NYBREDS")</f>
        <v>0</v>
      </c>
      <c r="EG47" s="55">
        <f>SUMIFS('Disbursements Summary'!$E:$E,'Disbursements Summary'!$C:$C,$C47,'Disbursements Summary'!$A:$A,"NYBREDS")</f>
        <v>0</v>
      </c>
      <c r="EH47" s="55">
        <f>SUMIFS('Awards Summary'!$H:$H,'Awards Summary'!$B:$B,$C47,'Awards Summary'!$J:$J,"NYSTA")</f>
        <v>0</v>
      </c>
      <c r="EI47" s="55">
        <f>SUMIFS('Disbursements Summary'!$E:$E,'Disbursements Summary'!$C:$C,$C47,'Disbursements Summary'!$A:$A,"NYSTA")</f>
        <v>0</v>
      </c>
      <c r="EJ47" s="55">
        <f>SUMIFS('Awards Summary'!$H:$H,'Awards Summary'!$B:$B,$C47,'Awards Summary'!$J:$J,"NFWB")</f>
        <v>0</v>
      </c>
      <c r="EK47" s="55">
        <f>SUMIFS('Disbursements Summary'!$E:$E,'Disbursements Summary'!$C:$C,$C47,'Disbursements Summary'!$A:$A,"NFWB")</f>
        <v>0</v>
      </c>
      <c r="EL47" s="55">
        <f>SUMIFS('Awards Summary'!$H:$H,'Awards Summary'!$B:$B,$C47,'Awards Summary'!$J:$J,"NFTA")</f>
        <v>0</v>
      </c>
      <c r="EM47" s="55">
        <f>SUMIFS('Disbursements Summary'!$E:$E,'Disbursements Summary'!$C:$C,$C47,'Disbursements Summary'!$A:$A,"NFTA")</f>
        <v>0</v>
      </c>
      <c r="EN47" s="55">
        <f>SUMIFS('Awards Summary'!$H:$H,'Awards Summary'!$B:$B,$C47,'Awards Summary'!$J:$J,"OPWDD")</f>
        <v>0</v>
      </c>
      <c r="EO47" s="55">
        <f>SUMIFS('Disbursements Summary'!$E:$E,'Disbursements Summary'!$C:$C,$C47,'Disbursements Summary'!$A:$A,"OPWDD")</f>
        <v>0</v>
      </c>
      <c r="EP47" s="55">
        <f>SUMIFS('Awards Summary'!$H:$H,'Awards Summary'!$B:$B,$C47,'Awards Summary'!$J:$J,"AGING")</f>
        <v>0</v>
      </c>
      <c r="EQ47" s="55">
        <f>SUMIFS('Disbursements Summary'!$E:$E,'Disbursements Summary'!$C:$C,$C47,'Disbursements Summary'!$A:$A,"AGING")</f>
        <v>0</v>
      </c>
      <c r="ER47" s="55">
        <f>SUMIFS('Awards Summary'!$H:$H,'Awards Summary'!$B:$B,$C47,'Awards Summary'!$J:$J,"OPDV")</f>
        <v>0</v>
      </c>
      <c r="ES47" s="55">
        <f>SUMIFS('Disbursements Summary'!$E:$E,'Disbursements Summary'!$C:$C,$C47,'Disbursements Summary'!$A:$A,"OPDV")</f>
        <v>0</v>
      </c>
      <c r="ET47" s="55">
        <f>SUMIFS('Awards Summary'!$H:$H,'Awards Summary'!$B:$B,$C47,'Awards Summary'!$J:$J,"OVS")</f>
        <v>0</v>
      </c>
      <c r="EU47" s="55">
        <f>SUMIFS('Disbursements Summary'!$E:$E,'Disbursements Summary'!$C:$C,$C47,'Disbursements Summary'!$A:$A,"OVS")</f>
        <v>0</v>
      </c>
      <c r="EV47" s="55">
        <f>SUMIFS('Awards Summary'!$H:$H,'Awards Summary'!$B:$B,$C47,'Awards Summary'!$J:$J,"OASAS")</f>
        <v>0</v>
      </c>
      <c r="EW47" s="55">
        <f>SUMIFS('Disbursements Summary'!$E:$E,'Disbursements Summary'!$C:$C,$C47,'Disbursements Summary'!$A:$A,"OASAS")</f>
        <v>0</v>
      </c>
      <c r="EX47" s="55">
        <f>SUMIFS('Awards Summary'!$H:$H,'Awards Summary'!$B:$B,$C47,'Awards Summary'!$J:$J,"OCFS")</f>
        <v>0</v>
      </c>
      <c r="EY47" s="55">
        <f>SUMIFS('Disbursements Summary'!$E:$E,'Disbursements Summary'!$C:$C,$C47,'Disbursements Summary'!$A:$A,"OCFS")</f>
        <v>0</v>
      </c>
      <c r="EZ47" s="55">
        <f>SUMIFS('Awards Summary'!$H:$H,'Awards Summary'!$B:$B,$C47,'Awards Summary'!$J:$J,"OGS")</f>
        <v>0</v>
      </c>
      <c r="FA47" s="55">
        <f>SUMIFS('Disbursements Summary'!$E:$E,'Disbursements Summary'!$C:$C,$C47,'Disbursements Summary'!$A:$A,"OGS")</f>
        <v>0</v>
      </c>
      <c r="FB47" s="55">
        <f>SUMIFS('Awards Summary'!$H:$H,'Awards Summary'!$B:$B,$C47,'Awards Summary'!$J:$J,"OMH")</f>
        <v>0</v>
      </c>
      <c r="FC47" s="55">
        <f>SUMIFS('Disbursements Summary'!$E:$E,'Disbursements Summary'!$C:$C,$C47,'Disbursements Summary'!$A:$A,"OMH")</f>
        <v>0</v>
      </c>
      <c r="FD47" s="55">
        <f>SUMIFS('Awards Summary'!$H:$H,'Awards Summary'!$B:$B,$C47,'Awards Summary'!$J:$J,"PARKS")</f>
        <v>0</v>
      </c>
      <c r="FE47" s="55">
        <f>SUMIFS('Disbursements Summary'!$E:$E,'Disbursements Summary'!$C:$C,$C47,'Disbursements Summary'!$A:$A,"PARKS")</f>
        <v>0</v>
      </c>
      <c r="FF47" s="55">
        <f>SUMIFS('Awards Summary'!$H:$H,'Awards Summary'!$B:$B,$C47,'Awards Summary'!$J:$J,"OTDA")</f>
        <v>0</v>
      </c>
      <c r="FG47" s="55">
        <f>SUMIFS('Disbursements Summary'!$E:$E,'Disbursements Summary'!$C:$C,$C47,'Disbursements Summary'!$A:$A,"OTDA")</f>
        <v>0</v>
      </c>
      <c r="FH47" s="55">
        <f>SUMIFS('Awards Summary'!$H:$H,'Awards Summary'!$B:$B,$C47,'Awards Summary'!$J:$J,"OIG")</f>
        <v>0</v>
      </c>
      <c r="FI47" s="55">
        <f>SUMIFS('Disbursements Summary'!$E:$E,'Disbursements Summary'!$C:$C,$C47,'Disbursements Summary'!$A:$A,"OIG")</f>
        <v>0</v>
      </c>
      <c r="FJ47" s="55">
        <f>SUMIFS('Awards Summary'!$H:$H,'Awards Summary'!$B:$B,$C47,'Awards Summary'!$J:$J,"OMIG")</f>
        <v>0</v>
      </c>
      <c r="FK47" s="55">
        <f>SUMIFS('Disbursements Summary'!$E:$E,'Disbursements Summary'!$C:$C,$C47,'Disbursements Summary'!$A:$A,"OMIG")</f>
        <v>0</v>
      </c>
      <c r="FL47" s="55">
        <f>SUMIFS('Awards Summary'!$H:$H,'Awards Summary'!$B:$B,$C47,'Awards Summary'!$J:$J,"OSC")</f>
        <v>0</v>
      </c>
      <c r="FM47" s="55">
        <f>SUMIFS('Disbursements Summary'!$E:$E,'Disbursements Summary'!$C:$C,$C47,'Disbursements Summary'!$A:$A,"OSC")</f>
        <v>0</v>
      </c>
      <c r="FN47" s="55">
        <f>SUMIFS('Awards Summary'!$H:$H,'Awards Summary'!$B:$B,$C47,'Awards Summary'!$J:$J,"OWIG")</f>
        <v>0</v>
      </c>
      <c r="FO47" s="55">
        <f>SUMIFS('Disbursements Summary'!$E:$E,'Disbursements Summary'!$C:$C,$C47,'Disbursements Summary'!$A:$A,"OWIG")</f>
        <v>0</v>
      </c>
      <c r="FP47" s="55">
        <f>SUMIFS('Awards Summary'!$H:$H,'Awards Summary'!$B:$B,$C47,'Awards Summary'!$J:$J,"OGDEN")</f>
        <v>0</v>
      </c>
      <c r="FQ47" s="55">
        <f>SUMIFS('Disbursements Summary'!$E:$E,'Disbursements Summary'!$C:$C,$C47,'Disbursements Summary'!$A:$A,"OGDEN")</f>
        <v>0</v>
      </c>
      <c r="FR47" s="55">
        <f>SUMIFS('Awards Summary'!$H:$H,'Awards Summary'!$B:$B,$C47,'Awards Summary'!$J:$J,"ORDA")</f>
        <v>0</v>
      </c>
      <c r="FS47" s="55">
        <f>SUMIFS('Disbursements Summary'!$E:$E,'Disbursements Summary'!$C:$C,$C47,'Disbursements Summary'!$A:$A,"ORDA")</f>
        <v>0</v>
      </c>
      <c r="FT47" s="55">
        <f>SUMIFS('Awards Summary'!$H:$H,'Awards Summary'!$B:$B,$C47,'Awards Summary'!$J:$J,"OSWEGO")</f>
        <v>0</v>
      </c>
      <c r="FU47" s="55">
        <f>SUMIFS('Disbursements Summary'!$E:$E,'Disbursements Summary'!$C:$C,$C47,'Disbursements Summary'!$A:$A,"OSWEGO")</f>
        <v>0</v>
      </c>
      <c r="FV47" s="55">
        <f>SUMIFS('Awards Summary'!$H:$H,'Awards Summary'!$B:$B,$C47,'Awards Summary'!$J:$J,"PERB")</f>
        <v>0</v>
      </c>
      <c r="FW47" s="55">
        <f>SUMIFS('Disbursements Summary'!$E:$E,'Disbursements Summary'!$C:$C,$C47,'Disbursements Summary'!$A:$A,"PERB")</f>
        <v>0</v>
      </c>
      <c r="FX47" s="55">
        <f>SUMIFS('Awards Summary'!$H:$H,'Awards Summary'!$B:$B,$C47,'Awards Summary'!$J:$J,"RGRTA")</f>
        <v>0</v>
      </c>
      <c r="FY47" s="55">
        <f>SUMIFS('Disbursements Summary'!$E:$E,'Disbursements Summary'!$C:$C,$C47,'Disbursements Summary'!$A:$A,"RGRTA")</f>
        <v>0</v>
      </c>
      <c r="FZ47" s="55">
        <f>SUMIFS('Awards Summary'!$H:$H,'Awards Summary'!$B:$B,$C47,'Awards Summary'!$J:$J,"RIOC")</f>
        <v>0</v>
      </c>
      <c r="GA47" s="55">
        <f>SUMIFS('Disbursements Summary'!$E:$E,'Disbursements Summary'!$C:$C,$C47,'Disbursements Summary'!$A:$A,"RIOC")</f>
        <v>0</v>
      </c>
      <c r="GB47" s="55">
        <f>SUMIFS('Awards Summary'!$H:$H,'Awards Summary'!$B:$B,$C47,'Awards Summary'!$J:$J,"RPCI")</f>
        <v>0</v>
      </c>
      <c r="GC47" s="55">
        <f>SUMIFS('Disbursements Summary'!$E:$E,'Disbursements Summary'!$C:$C,$C47,'Disbursements Summary'!$A:$A,"RPCI")</f>
        <v>0</v>
      </c>
      <c r="GD47" s="55">
        <f>SUMIFS('Awards Summary'!$H:$H,'Awards Summary'!$B:$B,$C47,'Awards Summary'!$J:$J,"SMDA")</f>
        <v>0</v>
      </c>
      <c r="GE47" s="55">
        <f>SUMIFS('Disbursements Summary'!$E:$E,'Disbursements Summary'!$C:$C,$C47,'Disbursements Summary'!$A:$A,"SMDA")</f>
        <v>0</v>
      </c>
      <c r="GF47" s="55">
        <f>SUMIFS('Awards Summary'!$H:$H,'Awards Summary'!$B:$B,$C47,'Awards Summary'!$J:$J,"SCOC")</f>
        <v>0</v>
      </c>
      <c r="GG47" s="55">
        <f>SUMIFS('Disbursements Summary'!$E:$E,'Disbursements Summary'!$C:$C,$C47,'Disbursements Summary'!$A:$A,"SCOC")</f>
        <v>0</v>
      </c>
      <c r="GH47" s="55">
        <f>SUMIFS('Awards Summary'!$H:$H,'Awards Summary'!$B:$B,$C47,'Awards Summary'!$J:$J,"SUCF")</f>
        <v>0</v>
      </c>
      <c r="GI47" s="55">
        <f>SUMIFS('Disbursements Summary'!$E:$E,'Disbursements Summary'!$C:$C,$C47,'Disbursements Summary'!$A:$A,"SUCF")</f>
        <v>0</v>
      </c>
      <c r="GJ47" s="55">
        <f>SUMIFS('Awards Summary'!$H:$H,'Awards Summary'!$B:$B,$C47,'Awards Summary'!$J:$J,"SUNY")</f>
        <v>0</v>
      </c>
      <c r="GK47" s="55">
        <f>SUMIFS('Disbursements Summary'!$E:$E,'Disbursements Summary'!$C:$C,$C47,'Disbursements Summary'!$A:$A,"SUNY")</f>
        <v>0</v>
      </c>
      <c r="GL47" s="55">
        <f>SUMIFS('Awards Summary'!$H:$H,'Awards Summary'!$B:$B,$C47,'Awards Summary'!$J:$J,"SRAA")</f>
        <v>0</v>
      </c>
      <c r="GM47" s="55">
        <f>SUMIFS('Disbursements Summary'!$E:$E,'Disbursements Summary'!$C:$C,$C47,'Disbursements Summary'!$A:$A,"SRAA")</f>
        <v>0</v>
      </c>
      <c r="GN47" s="55">
        <f>SUMIFS('Awards Summary'!$H:$H,'Awards Summary'!$B:$B,$C47,'Awards Summary'!$J:$J,"UNDC")</f>
        <v>0</v>
      </c>
      <c r="GO47" s="55">
        <f>SUMIFS('Disbursements Summary'!$E:$E,'Disbursements Summary'!$C:$C,$C47,'Disbursements Summary'!$A:$A,"UNDC")</f>
        <v>0</v>
      </c>
      <c r="GP47" s="55">
        <f>SUMIFS('Awards Summary'!$H:$H,'Awards Summary'!$B:$B,$C47,'Awards Summary'!$J:$J,"MVWA")</f>
        <v>0</v>
      </c>
      <c r="GQ47" s="55">
        <f>SUMIFS('Disbursements Summary'!$E:$E,'Disbursements Summary'!$C:$C,$C47,'Disbursements Summary'!$A:$A,"MVWA")</f>
        <v>0</v>
      </c>
      <c r="GR47" s="55">
        <f>SUMIFS('Awards Summary'!$H:$H,'Awards Summary'!$B:$B,$C47,'Awards Summary'!$J:$J,"WMC")</f>
        <v>0</v>
      </c>
      <c r="GS47" s="55">
        <f>SUMIFS('Disbursements Summary'!$E:$E,'Disbursements Summary'!$C:$C,$C47,'Disbursements Summary'!$A:$A,"WMC")</f>
        <v>0</v>
      </c>
      <c r="GT47" s="55">
        <f>SUMIFS('Awards Summary'!$H:$H,'Awards Summary'!$B:$B,$C47,'Awards Summary'!$J:$J,"WCB")</f>
        <v>0</v>
      </c>
      <c r="GU47" s="55">
        <f>SUMIFS('Disbursements Summary'!$E:$E,'Disbursements Summary'!$C:$C,$C47,'Disbursements Summary'!$A:$A,"WCB")</f>
        <v>0</v>
      </c>
      <c r="GV47" s="32">
        <f t="shared" si="5"/>
        <v>0</v>
      </c>
      <c r="GW47" s="32">
        <f t="shared" si="6"/>
        <v>0</v>
      </c>
      <c r="GX47" s="30" t="b">
        <f t="shared" si="7"/>
        <v>1</v>
      </c>
      <c r="GY47" s="30" t="b">
        <f t="shared" si="8"/>
        <v>1</v>
      </c>
    </row>
    <row r="48" spans="1:207" s="30" customFormat="1">
      <c r="A48" s="22" t="str">
        <f t="shared" si="0"/>
        <v/>
      </c>
      <c r="B48" s="64" t="s">
        <v>466</v>
      </c>
      <c r="C48" s="65">
        <v>151083</v>
      </c>
      <c r="D48" s="66">
        <f>COUNTIF('Awards Summary'!B:B,"151083")</f>
        <v>0</v>
      </c>
      <c r="E48" s="67">
        <f>SUMIFS('Awards Summary'!H:H,'Awards Summary'!B:B,"151083")</f>
        <v>0</v>
      </c>
      <c r="F48" s="68">
        <f>SUMIFS('Disbursements Summary'!E:E,'Disbursements Summary'!C:C, "151083")</f>
        <v>0</v>
      </c>
      <c r="H48" s="55">
        <f>SUMIFS('Awards Summary'!$H:$H,'Awards Summary'!$B:$B,$C48,'Awards Summary'!$J:$J,"APA")</f>
        <v>0</v>
      </c>
      <c r="I48" s="55">
        <f>SUMIFS('Disbursements Summary'!$E:$E,'Disbursements Summary'!$C:$C,$C48,'Disbursements Summary'!$A:$A,"APA")</f>
        <v>0</v>
      </c>
      <c r="J48" s="55">
        <f>SUMIFS('Awards Summary'!$H:$H,'Awards Summary'!$B:$B,$C48,'Awards Summary'!$J:$J,"Ag&amp;Horse")</f>
        <v>0</v>
      </c>
      <c r="K48" s="55">
        <f>SUMIFS('Disbursements Summary'!$E:$E,'Disbursements Summary'!$C:$C,$C48,'Disbursements Summary'!$A:$A,"Ag&amp;Horse")</f>
        <v>0</v>
      </c>
      <c r="L48" s="55">
        <f>SUMIFS('Awards Summary'!$H:$H,'Awards Summary'!$B:$B,$C48,'Awards Summary'!$J:$J,"ACAA")</f>
        <v>0</v>
      </c>
      <c r="M48" s="55">
        <f>SUMIFS('Disbursements Summary'!$E:$E,'Disbursements Summary'!$C:$C,$C48,'Disbursements Summary'!$A:$A,"ACAA")</f>
        <v>0</v>
      </c>
      <c r="N48" s="55">
        <f>SUMIFS('Awards Summary'!$H:$H,'Awards Summary'!$B:$B,$C48,'Awards Summary'!$J:$J,"PortAlbany")</f>
        <v>0</v>
      </c>
      <c r="O48" s="55">
        <f>SUMIFS('Disbursements Summary'!$E:$E,'Disbursements Summary'!$C:$C,$C48,'Disbursements Summary'!$A:$A,"PortAlbany")</f>
        <v>0</v>
      </c>
      <c r="P48" s="55">
        <f>SUMIFS('Awards Summary'!$H:$H,'Awards Summary'!$B:$B,$C48,'Awards Summary'!$J:$J,"SLA")</f>
        <v>0</v>
      </c>
      <c r="Q48" s="55">
        <f>SUMIFS('Disbursements Summary'!$E:$E,'Disbursements Summary'!$C:$C,$C48,'Disbursements Summary'!$A:$A,"SLA")</f>
        <v>0</v>
      </c>
      <c r="R48" s="55">
        <f>SUMIFS('Awards Summary'!$H:$H,'Awards Summary'!$B:$B,$C48,'Awards Summary'!$J:$J,"BPCA")</f>
        <v>0</v>
      </c>
      <c r="S48" s="55">
        <f>SUMIFS('Disbursements Summary'!$E:$E,'Disbursements Summary'!$C:$C,$C48,'Disbursements Summary'!$A:$A,"BPCA")</f>
        <v>0</v>
      </c>
      <c r="T48" s="55">
        <f>SUMIFS('Awards Summary'!$H:$H,'Awards Summary'!$B:$B,$C48,'Awards Summary'!$J:$J,"ELECTIONS")</f>
        <v>0</v>
      </c>
      <c r="U48" s="55">
        <f>SUMIFS('Disbursements Summary'!$E:$E,'Disbursements Summary'!$C:$C,$C48,'Disbursements Summary'!$A:$A,"ELECTIONS")</f>
        <v>0</v>
      </c>
      <c r="V48" s="55">
        <f>SUMIFS('Awards Summary'!$H:$H,'Awards Summary'!$B:$B,$C48,'Awards Summary'!$J:$J,"BFSA")</f>
        <v>0</v>
      </c>
      <c r="W48" s="55">
        <f>SUMIFS('Disbursements Summary'!$E:$E,'Disbursements Summary'!$C:$C,$C48,'Disbursements Summary'!$A:$A,"BFSA")</f>
        <v>0</v>
      </c>
      <c r="X48" s="55">
        <f>SUMIFS('Awards Summary'!$H:$H,'Awards Summary'!$B:$B,$C48,'Awards Summary'!$J:$J,"CDTA")</f>
        <v>0</v>
      </c>
      <c r="Y48" s="55">
        <f>SUMIFS('Disbursements Summary'!$E:$E,'Disbursements Summary'!$C:$C,$C48,'Disbursements Summary'!$A:$A,"CDTA")</f>
        <v>0</v>
      </c>
      <c r="Z48" s="55">
        <f>SUMIFS('Awards Summary'!$H:$H,'Awards Summary'!$B:$B,$C48,'Awards Summary'!$J:$J,"CCWSA")</f>
        <v>0</v>
      </c>
      <c r="AA48" s="55">
        <f>SUMIFS('Disbursements Summary'!$E:$E,'Disbursements Summary'!$C:$C,$C48,'Disbursements Summary'!$A:$A,"CCWSA")</f>
        <v>0</v>
      </c>
      <c r="AB48" s="55">
        <f>SUMIFS('Awards Summary'!$H:$H,'Awards Summary'!$B:$B,$C48,'Awards Summary'!$J:$J,"CNYRTA")</f>
        <v>0</v>
      </c>
      <c r="AC48" s="55">
        <f>SUMIFS('Disbursements Summary'!$E:$E,'Disbursements Summary'!$C:$C,$C48,'Disbursements Summary'!$A:$A,"CNYRTA")</f>
        <v>0</v>
      </c>
      <c r="AD48" s="55">
        <f>SUMIFS('Awards Summary'!$H:$H,'Awards Summary'!$B:$B,$C48,'Awards Summary'!$J:$J,"CUCF")</f>
        <v>0</v>
      </c>
      <c r="AE48" s="55">
        <f>SUMIFS('Disbursements Summary'!$E:$E,'Disbursements Summary'!$C:$C,$C48,'Disbursements Summary'!$A:$A,"CUCF")</f>
        <v>0</v>
      </c>
      <c r="AF48" s="55">
        <f>SUMIFS('Awards Summary'!$H:$H,'Awards Summary'!$B:$B,$C48,'Awards Summary'!$J:$J,"CUNY")</f>
        <v>0</v>
      </c>
      <c r="AG48" s="55">
        <f>SUMIFS('Disbursements Summary'!$E:$E,'Disbursements Summary'!$C:$C,$C48,'Disbursements Summary'!$A:$A,"CUNY")</f>
        <v>0</v>
      </c>
      <c r="AH48" s="55">
        <f>SUMIFS('Awards Summary'!$H:$H,'Awards Summary'!$B:$B,$C48,'Awards Summary'!$J:$J,"ARTS")</f>
        <v>0</v>
      </c>
      <c r="AI48" s="55">
        <f>SUMIFS('Disbursements Summary'!$E:$E,'Disbursements Summary'!$C:$C,$C48,'Disbursements Summary'!$A:$A,"ARTS")</f>
        <v>0</v>
      </c>
      <c r="AJ48" s="55">
        <f>SUMIFS('Awards Summary'!$H:$H,'Awards Summary'!$B:$B,$C48,'Awards Summary'!$J:$J,"AG&amp;MKTS")</f>
        <v>0</v>
      </c>
      <c r="AK48" s="55">
        <f>SUMIFS('Disbursements Summary'!$E:$E,'Disbursements Summary'!$C:$C,$C48,'Disbursements Summary'!$A:$A,"AG&amp;MKTS")</f>
        <v>0</v>
      </c>
      <c r="AL48" s="55">
        <f>SUMIFS('Awards Summary'!$H:$H,'Awards Summary'!$B:$B,$C48,'Awards Summary'!$J:$J,"CS")</f>
        <v>0</v>
      </c>
      <c r="AM48" s="55">
        <f>SUMIFS('Disbursements Summary'!$E:$E,'Disbursements Summary'!$C:$C,$C48,'Disbursements Summary'!$A:$A,"CS")</f>
        <v>0</v>
      </c>
      <c r="AN48" s="55">
        <f>SUMIFS('Awards Summary'!$H:$H,'Awards Summary'!$B:$B,$C48,'Awards Summary'!$J:$J,"DOCCS")</f>
        <v>0</v>
      </c>
      <c r="AO48" s="55">
        <f>SUMIFS('Disbursements Summary'!$E:$E,'Disbursements Summary'!$C:$C,$C48,'Disbursements Summary'!$A:$A,"DOCCS")</f>
        <v>0</v>
      </c>
      <c r="AP48" s="55">
        <f>SUMIFS('Awards Summary'!$H:$H,'Awards Summary'!$B:$B,$C48,'Awards Summary'!$J:$J,"DED")</f>
        <v>0</v>
      </c>
      <c r="AQ48" s="55">
        <f>SUMIFS('Disbursements Summary'!$E:$E,'Disbursements Summary'!$C:$C,$C48,'Disbursements Summary'!$A:$A,"DED")</f>
        <v>0</v>
      </c>
      <c r="AR48" s="55">
        <f>SUMIFS('Awards Summary'!$H:$H,'Awards Summary'!$B:$B,$C48,'Awards Summary'!$J:$J,"DEC")</f>
        <v>0</v>
      </c>
      <c r="AS48" s="55">
        <f>SUMIFS('Disbursements Summary'!$E:$E,'Disbursements Summary'!$C:$C,$C48,'Disbursements Summary'!$A:$A,"DEC")</f>
        <v>0</v>
      </c>
      <c r="AT48" s="55">
        <f>SUMIFS('Awards Summary'!$H:$H,'Awards Summary'!$B:$B,$C48,'Awards Summary'!$J:$J,"DFS")</f>
        <v>0</v>
      </c>
      <c r="AU48" s="55">
        <f>SUMIFS('Disbursements Summary'!$E:$E,'Disbursements Summary'!$C:$C,$C48,'Disbursements Summary'!$A:$A,"DFS")</f>
        <v>0</v>
      </c>
      <c r="AV48" s="55">
        <f>SUMIFS('Awards Summary'!$H:$H,'Awards Summary'!$B:$B,$C48,'Awards Summary'!$J:$J,"DOH")</f>
        <v>0</v>
      </c>
      <c r="AW48" s="55">
        <f>SUMIFS('Disbursements Summary'!$E:$E,'Disbursements Summary'!$C:$C,$C48,'Disbursements Summary'!$A:$A,"DOH")</f>
        <v>0</v>
      </c>
      <c r="AX48" s="55">
        <f>SUMIFS('Awards Summary'!$H:$H,'Awards Summary'!$B:$B,$C48,'Awards Summary'!$J:$J,"DOL")</f>
        <v>0</v>
      </c>
      <c r="AY48" s="55">
        <f>SUMIFS('Disbursements Summary'!$E:$E,'Disbursements Summary'!$C:$C,$C48,'Disbursements Summary'!$A:$A,"DOL")</f>
        <v>0</v>
      </c>
      <c r="AZ48" s="55">
        <f>SUMIFS('Awards Summary'!$H:$H,'Awards Summary'!$B:$B,$C48,'Awards Summary'!$J:$J,"DMV")</f>
        <v>0</v>
      </c>
      <c r="BA48" s="55">
        <f>SUMIFS('Disbursements Summary'!$E:$E,'Disbursements Summary'!$C:$C,$C48,'Disbursements Summary'!$A:$A,"DMV")</f>
        <v>0</v>
      </c>
      <c r="BB48" s="55">
        <f>SUMIFS('Awards Summary'!$H:$H,'Awards Summary'!$B:$B,$C48,'Awards Summary'!$J:$J,"DPS")</f>
        <v>0</v>
      </c>
      <c r="BC48" s="55">
        <f>SUMIFS('Disbursements Summary'!$E:$E,'Disbursements Summary'!$C:$C,$C48,'Disbursements Summary'!$A:$A,"DPS")</f>
        <v>0</v>
      </c>
      <c r="BD48" s="55">
        <f>SUMIFS('Awards Summary'!$H:$H,'Awards Summary'!$B:$B,$C48,'Awards Summary'!$J:$J,"DOS")</f>
        <v>0</v>
      </c>
      <c r="BE48" s="55">
        <f>SUMIFS('Disbursements Summary'!$E:$E,'Disbursements Summary'!$C:$C,$C48,'Disbursements Summary'!$A:$A,"DOS")</f>
        <v>0</v>
      </c>
      <c r="BF48" s="55">
        <f>SUMIFS('Awards Summary'!$H:$H,'Awards Summary'!$B:$B,$C48,'Awards Summary'!$J:$J,"TAX")</f>
        <v>0</v>
      </c>
      <c r="BG48" s="55">
        <f>SUMIFS('Disbursements Summary'!$E:$E,'Disbursements Summary'!$C:$C,$C48,'Disbursements Summary'!$A:$A,"TAX")</f>
        <v>0</v>
      </c>
      <c r="BH48" s="55">
        <f>SUMIFS('Awards Summary'!$H:$H,'Awards Summary'!$B:$B,$C48,'Awards Summary'!$J:$J,"DOT")</f>
        <v>0</v>
      </c>
      <c r="BI48" s="55">
        <f>SUMIFS('Disbursements Summary'!$E:$E,'Disbursements Summary'!$C:$C,$C48,'Disbursements Summary'!$A:$A,"DOT")</f>
        <v>0</v>
      </c>
      <c r="BJ48" s="55">
        <f>SUMIFS('Awards Summary'!$H:$H,'Awards Summary'!$B:$B,$C48,'Awards Summary'!$J:$J,"DANC")</f>
        <v>0</v>
      </c>
      <c r="BK48" s="55">
        <f>SUMIFS('Disbursements Summary'!$E:$E,'Disbursements Summary'!$C:$C,$C48,'Disbursements Summary'!$A:$A,"DANC")</f>
        <v>0</v>
      </c>
      <c r="BL48" s="55">
        <f>SUMIFS('Awards Summary'!$H:$H,'Awards Summary'!$B:$B,$C48,'Awards Summary'!$J:$J,"DOB")</f>
        <v>0</v>
      </c>
      <c r="BM48" s="55">
        <f>SUMIFS('Disbursements Summary'!$E:$E,'Disbursements Summary'!$C:$C,$C48,'Disbursements Summary'!$A:$A,"DOB")</f>
        <v>0</v>
      </c>
      <c r="BN48" s="55">
        <f>SUMIFS('Awards Summary'!$H:$H,'Awards Summary'!$B:$B,$C48,'Awards Summary'!$J:$J,"DCJS")</f>
        <v>0</v>
      </c>
      <c r="BO48" s="55">
        <f>SUMIFS('Disbursements Summary'!$E:$E,'Disbursements Summary'!$C:$C,$C48,'Disbursements Summary'!$A:$A,"DCJS")</f>
        <v>0</v>
      </c>
      <c r="BP48" s="55">
        <f>SUMIFS('Awards Summary'!$H:$H,'Awards Summary'!$B:$B,$C48,'Awards Summary'!$J:$J,"DHSES")</f>
        <v>0</v>
      </c>
      <c r="BQ48" s="55">
        <f>SUMIFS('Disbursements Summary'!$E:$E,'Disbursements Summary'!$C:$C,$C48,'Disbursements Summary'!$A:$A,"DHSES")</f>
        <v>0</v>
      </c>
      <c r="BR48" s="55">
        <f>SUMIFS('Awards Summary'!$H:$H,'Awards Summary'!$B:$B,$C48,'Awards Summary'!$J:$J,"DHR")</f>
        <v>0</v>
      </c>
      <c r="BS48" s="55">
        <f>SUMIFS('Disbursements Summary'!$E:$E,'Disbursements Summary'!$C:$C,$C48,'Disbursements Summary'!$A:$A,"DHR")</f>
        <v>0</v>
      </c>
      <c r="BT48" s="55">
        <f>SUMIFS('Awards Summary'!$H:$H,'Awards Summary'!$B:$B,$C48,'Awards Summary'!$J:$J,"DMNA")</f>
        <v>0</v>
      </c>
      <c r="BU48" s="55">
        <f>SUMIFS('Disbursements Summary'!$E:$E,'Disbursements Summary'!$C:$C,$C48,'Disbursements Summary'!$A:$A,"DMNA")</f>
        <v>0</v>
      </c>
      <c r="BV48" s="55">
        <f>SUMIFS('Awards Summary'!$H:$H,'Awards Summary'!$B:$B,$C48,'Awards Summary'!$J:$J,"TROOPERS")</f>
        <v>0</v>
      </c>
      <c r="BW48" s="55">
        <f>SUMIFS('Disbursements Summary'!$E:$E,'Disbursements Summary'!$C:$C,$C48,'Disbursements Summary'!$A:$A,"TROOPERS")</f>
        <v>0</v>
      </c>
      <c r="BX48" s="55">
        <f>SUMIFS('Awards Summary'!$H:$H,'Awards Summary'!$B:$B,$C48,'Awards Summary'!$J:$J,"DVA")</f>
        <v>0</v>
      </c>
      <c r="BY48" s="55">
        <f>SUMIFS('Disbursements Summary'!$E:$E,'Disbursements Summary'!$C:$C,$C48,'Disbursements Summary'!$A:$A,"DVA")</f>
        <v>0</v>
      </c>
      <c r="BZ48" s="55">
        <f>SUMIFS('Awards Summary'!$H:$H,'Awards Summary'!$B:$B,$C48,'Awards Summary'!$J:$J,"DASNY")</f>
        <v>0</v>
      </c>
      <c r="CA48" s="55">
        <f>SUMIFS('Disbursements Summary'!$E:$E,'Disbursements Summary'!$C:$C,$C48,'Disbursements Summary'!$A:$A,"DASNY")</f>
        <v>0</v>
      </c>
      <c r="CB48" s="55">
        <f>SUMIFS('Awards Summary'!$H:$H,'Awards Summary'!$B:$B,$C48,'Awards Summary'!$J:$J,"EGG")</f>
        <v>0</v>
      </c>
      <c r="CC48" s="55">
        <f>SUMIFS('Disbursements Summary'!$E:$E,'Disbursements Summary'!$C:$C,$C48,'Disbursements Summary'!$A:$A,"EGG")</f>
        <v>0</v>
      </c>
      <c r="CD48" s="55">
        <f>SUMIFS('Awards Summary'!$H:$H,'Awards Summary'!$B:$B,$C48,'Awards Summary'!$J:$J,"ESD")</f>
        <v>0</v>
      </c>
      <c r="CE48" s="55">
        <f>SUMIFS('Disbursements Summary'!$E:$E,'Disbursements Summary'!$C:$C,$C48,'Disbursements Summary'!$A:$A,"ESD")</f>
        <v>0</v>
      </c>
      <c r="CF48" s="55">
        <f>SUMIFS('Awards Summary'!$H:$H,'Awards Summary'!$B:$B,$C48,'Awards Summary'!$J:$J,"EFC")</f>
        <v>0</v>
      </c>
      <c r="CG48" s="55">
        <f>SUMIFS('Disbursements Summary'!$E:$E,'Disbursements Summary'!$C:$C,$C48,'Disbursements Summary'!$A:$A,"EFC")</f>
        <v>0</v>
      </c>
      <c r="CH48" s="55">
        <f>SUMIFS('Awards Summary'!$H:$H,'Awards Summary'!$B:$B,$C48,'Awards Summary'!$J:$J,"ECFSA")</f>
        <v>0</v>
      </c>
      <c r="CI48" s="55">
        <f>SUMIFS('Disbursements Summary'!$E:$E,'Disbursements Summary'!$C:$C,$C48,'Disbursements Summary'!$A:$A,"ECFSA")</f>
        <v>0</v>
      </c>
      <c r="CJ48" s="55">
        <f>SUMIFS('Awards Summary'!$H:$H,'Awards Summary'!$B:$B,$C48,'Awards Summary'!$J:$J,"ECMC")</f>
        <v>0</v>
      </c>
      <c r="CK48" s="55">
        <f>SUMIFS('Disbursements Summary'!$E:$E,'Disbursements Summary'!$C:$C,$C48,'Disbursements Summary'!$A:$A,"ECMC")</f>
        <v>0</v>
      </c>
      <c r="CL48" s="55">
        <f>SUMIFS('Awards Summary'!$H:$H,'Awards Summary'!$B:$B,$C48,'Awards Summary'!$J:$J,"CHAMBER")</f>
        <v>0</v>
      </c>
      <c r="CM48" s="55">
        <f>SUMIFS('Disbursements Summary'!$E:$E,'Disbursements Summary'!$C:$C,$C48,'Disbursements Summary'!$A:$A,"CHAMBER")</f>
        <v>0</v>
      </c>
      <c r="CN48" s="55">
        <f>SUMIFS('Awards Summary'!$H:$H,'Awards Summary'!$B:$B,$C48,'Awards Summary'!$J:$J,"GAMING")</f>
        <v>0</v>
      </c>
      <c r="CO48" s="55">
        <f>SUMIFS('Disbursements Summary'!$E:$E,'Disbursements Summary'!$C:$C,$C48,'Disbursements Summary'!$A:$A,"GAMING")</f>
        <v>0</v>
      </c>
      <c r="CP48" s="55">
        <f>SUMIFS('Awards Summary'!$H:$H,'Awards Summary'!$B:$B,$C48,'Awards Summary'!$J:$J,"GOER")</f>
        <v>0</v>
      </c>
      <c r="CQ48" s="55">
        <f>SUMIFS('Disbursements Summary'!$E:$E,'Disbursements Summary'!$C:$C,$C48,'Disbursements Summary'!$A:$A,"GOER")</f>
        <v>0</v>
      </c>
      <c r="CR48" s="55">
        <f>SUMIFS('Awards Summary'!$H:$H,'Awards Summary'!$B:$B,$C48,'Awards Summary'!$J:$J,"HESC")</f>
        <v>0</v>
      </c>
      <c r="CS48" s="55">
        <f>SUMIFS('Disbursements Summary'!$E:$E,'Disbursements Summary'!$C:$C,$C48,'Disbursements Summary'!$A:$A,"HESC")</f>
        <v>0</v>
      </c>
      <c r="CT48" s="55">
        <f>SUMIFS('Awards Summary'!$H:$H,'Awards Summary'!$B:$B,$C48,'Awards Summary'!$J:$J,"GOSR")</f>
        <v>0</v>
      </c>
      <c r="CU48" s="55">
        <f>SUMIFS('Disbursements Summary'!$E:$E,'Disbursements Summary'!$C:$C,$C48,'Disbursements Summary'!$A:$A,"GOSR")</f>
        <v>0</v>
      </c>
      <c r="CV48" s="55">
        <f>SUMIFS('Awards Summary'!$H:$H,'Awards Summary'!$B:$B,$C48,'Awards Summary'!$J:$J,"HRPT")</f>
        <v>0</v>
      </c>
      <c r="CW48" s="55">
        <f>SUMIFS('Disbursements Summary'!$E:$E,'Disbursements Summary'!$C:$C,$C48,'Disbursements Summary'!$A:$A,"HRPT")</f>
        <v>0</v>
      </c>
      <c r="CX48" s="55">
        <f>SUMIFS('Awards Summary'!$H:$H,'Awards Summary'!$B:$B,$C48,'Awards Summary'!$J:$J,"HRBRRD")</f>
        <v>0</v>
      </c>
      <c r="CY48" s="55">
        <f>SUMIFS('Disbursements Summary'!$E:$E,'Disbursements Summary'!$C:$C,$C48,'Disbursements Summary'!$A:$A,"HRBRRD")</f>
        <v>0</v>
      </c>
      <c r="CZ48" s="55">
        <f>SUMIFS('Awards Summary'!$H:$H,'Awards Summary'!$B:$B,$C48,'Awards Summary'!$J:$J,"ITS")</f>
        <v>0</v>
      </c>
      <c r="DA48" s="55">
        <f>SUMIFS('Disbursements Summary'!$E:$E,'Disbursements Summary'!$C:$C,$C48,'Disbursements Summary'!$A:$A,"ITS")</f>
        <v>0</v>
      </c>
      <c r="DB48" s="55">
        <f>SUMIFS('Awards Summary'!$H:$H,'Awards Summary'!$B:$B,$C48,'Awards Summary'!$J:$J,"JAVITS")</f>
        <v>0</v>
      </c>
      <c r="DC48" s="55">
        <f>SUMIFS('Disbursements Summary'!$E:$E,'Disbursements Summary'!$C:$C,$C48,'Disbursements Summary'!$A:$A,"JAVITS")</f>
        <v>0</v>
      </c>
      <c r="DD48" s="55">
        <f>SUMIFS('Awards Summary'!$H:$H,'Awards Summary'!$B:$B,$C48,'Awards Summary'!$J:$J,"JCOPE")</f>
        <v>0</v>
      </c>
      <c r="DE48" s="55">
        <f>SUMIFS('Disbursements Summary'!$E:$E,'Disbursements Summary'!$C:$C,$C48,'Disbursements Summary'!$A:$A,"JCOPE")</f>
        <v>0</v>
      </c>
      <c r="DF48" s="55">
        <f>SUMIFS('Awards Summary'!$H:$H,'Awards Summary'!$B:$B,$C48,'Awards Summary'!$J:$J,"JUSTICE")</f>
        <v>0</v>
      </c>
      <c r="DG48" s="55">
        <f>SUMIFS('Disbursements Summary'!$E:$E,'Disbursements Summary'!$C:$C,$C48,'Disbursements Summary'!$A:$A,"JUSTICE")</f>
        <v>0</v>
      </c>
      <c r="DH48" s="55">
        <f>SUMIFS('Awards Summary'!$H:$H,'Awards Summary'!$B:$B,$C48,'Awards Summary'!$J:$J,"LCWSA")</f>
        <v>0</v>
      </c>
      <c r="DI48" s="55">
        <f>SUMIFS('Disbursements Summary'!$E:$E,'Disbursements Summary'!$C:$C,$C48,'Disbursements Summary'!$A:$A,"LCWSA")</f>
        <v>0</v>
      </c>
      <c r="DJ48" s="55">
        <f>SUMIFS('Awards Summary'!$H:$H,'Awards Summary'!$B:$B,$C48,'Awards Summary'!$J:$J,"LIPA")</f>
        <v>0</v>
      </c>
      <c r="DK48" s="55">
        <f>SUMIFS('Disbursements Summary'!$E:$E,'Disbursements Summary'!$C:$C,$C48,'Disbursements Summary'!$A:$A,"LIPA")</f>
        <v>0</v>
      </c>
      <c r="DL48" s="55">
        <f>SUMIFS('Awards Summary'!$H:$H,'Awards Summary'!$B:$B,$C48,'Awards Summary'!$J:$J,"MTA")</f>
        <v>0</v>
      </c>
      <c r="DM48" s="55">
        <f>SUMIFS('Disbursements Summary'!$E:$E,'Disbursements Summary'!$C:$C,$C48,'Disbursements Summary'!$A:$A,"MTA")</f>
        <v>0</v>
      </c>
      <c r="DN48" s="55">
        <f>SUMIFS('Awards Summary'!$H:$H,'Awards Summary'!$B:$B,$C48,'Awards Summary'!$J:$J,"NIFA")</f>
        <v>0</v>
      </c>
      <c r="DO48" s="55">
        <f>SUMIFS('Disbursements Summary'!$E:$E,'Disbursements Summary'!$C:$C,$C48,'Disbursements Summary'!$A:$A,"NIFA")</f>
        <v>0</v>
      </c>
      <c r="DP48" s="55">
        <f>SUMIFS('Awards Summary'!$H:$H,'Awards Summary'!$B:$B,$C48,'Awards Summary'!$J:$J,"NHCC")</f>
        <v>0</v>
      </c>
      <c r="DQ48" s="55">
        <f>SUMIFS('Disbursements Summary'!$E:$E,'Disbursements Summary'!$C:$C,$C48,'Disbursements Summary'!$A:$A,"NHCC")</f>
        <v>0</v>
      </c>
      <c r="DR48" s="55">
        <f>SUMIFS('Awards Summary'!$H:$H,'Awards Summary'!$B:$B,$C48,'Awards Summary'!$J:$J,"NHT")</f>
        <v>0</v>
      </c>
      <c r="DS48" s="55">
        <f>SUMIFS('Disbursements Summary'!$E:$E,'Disbursements Summary'!$C:$C,$C48,'Disbursements Summary'!$A:$A,"NHT")</f>
        <v>0</v>
      </c>
      <c r="DT48" s="55">
        <f>SUMIFS('Awards Summary'!$H:$H,'Awards Summary'!$B:$B,$C48,'Awards Summary'!$J:$J,"NYPA")</f>
        <v>0</v>
      </c>
      <c r="DU48" s="55">
        <f>SUMIFS('Disbursements Summary'!$E:$E,'Disbursements Summary'!$C:$C,$C48,'Disbursements Summary'!$A:$A,"NYPA")</f>
        <v>0</v>
      </c>
      <c r="DV48" s="55">
        <f>SUMIFS('Awards Summary'!$H:$H,'Awards Summary'!$B:$B,$C48,'Awards Summary'!$J:$J,"NYSBA")</f>
        <v>0</v>
      </c>
      <c r="DW48" s="55">
        <f>SUMIFS('Disbursements Summary'!$E:$E,'Disbursements Summary'!$C:$C,$C48,'Disbursements Summary'!$A:$A,"NYSBA")</f>
        <v>0</v>
      </c>
      <c r="DX48" s="55">
        <f>SUMIFS('Awards Summary'!$H:$H,'Awards Summary'!$B:$B,$C48,'Awards Summary'!$J:$J,"NYSERDA")</f>
        <v>0</v>
      </c>
      <c r="DY48" s="55">
        <f>SUMIFS('Disbursements Summary'!$E:$E,'Disbursements Summary'!$C:$C,$C48,'Disbursements Summary'!$A:$A,"NYSERDA")</f>
        <v>0</v>
      </c>
      <c r="DZ48" s="55">
        <f>SUMIFS('Awards Summary'!$H:$H,'Awards Summary'!$B:$B,$C48,'Awards Summary'!$J:$J,"DHCR")</f>
        <v>0</v>
      </c>
      <c r="EA48" s="55">
        <f>SUMIFS('Disbursements Summary'!$E:$E,'Disbursements Summary'!$C:$C,$C48,'Disbursements Summary'!$A:$A,"DHCR")</f>
        <v>0</v>
      </c>
      <c r="EB48" s="55">
        <f>SUMIFS('Awards Summary'!$H:$H,'Awards Summary'!$B:$B,$C48,'Awards Summary'!$J:$J,"HFA")</f>
        <v>0</v>
      </c>
      <c r="EC48" s="55">
        <f>SUMIFS('Disbursements Summary'!$E:$E,'Disbursements Summary'!$C:$C,$C48,'Disbursements Summary'!$A:$A,"HFA")</f>
        <v>0</v>
      </c>
      <c r="ED48" s="55">
        <f>SUMIFS('Awards Summary'!$H:$H,'Awards Summary'!$B:$B,$C48,'Awards Summary'!$J:$J,"NYSIF")</f>
        <v>0</v>
      </c>
      <c r="EE48" s="55">
        <f>SUMIFS('Disbursements Summary'!$E:$E,'Disbursements Summary'!$C:$C,$C48,'Disbursements Summary'!$A:$A,"NYSIF")</f>
        <v>0</v>
      </c>
      <c r="EF48" s="55">
        <f>SUMIFS('Awards Summary'!$H:$H,'Awards Summary'!$B:$B,$C48,'Awards Summary'!$J:$J,"NYBREDS")</f>
        <v>0</v>
      </c>
      <c r="EG48" s="55">
        <f>SUMIFS('Disbursements Summary'!$E:$E,'Disbursements Summary'!$C:$C,$C48,'Disbursements Summary'!$A:$A,"NYBREDS")</f>
        <v>0</v>
      </c>
      <c r="EH48" s="55">
        <f>SUMIFS('Awards Summary'!$H:$H,'Awards Summary'!$B:$B,$C48,'Awards Summary'!$J:$J,"NYSTA")</f>
        <v>0</v>
      </c>
      <c r="EI48" s="55">
        <f>SUMIFS('Disbursements Summary'!$E:$E,'Disbursements Summary'!$C:$C,$C48,'Disbursements Summary'!$A:$A,"NYSTA")</f>
        <v>0</v>
      </c>
      <c r="EJ48" s="55">
        <f>SUMIFS('Awards Summary'!$H:$H,'Awards Summary'!$B:$B,$C48,'Awards Summary'!$J:$J,"NFWB")</f>
        <v>0</v>
      </c>
      <c r="EK48" s="55">
        <f>SUMIFS('Disbursements Summary'!$E:$E,'Disbursements Summary'!$C:$C,$C48,'Disbursements Summary'!$A:$A,"NFWB")</f>
        <v>0</v>
      </c>
      <c r="EL48" s="55">
        <f>SUMIFS('Awards Summary'!$H:$H,'Awards Summary'!$B:$B,$C48,'Awards Summary'!$J:$J,"NFTA")</f>
        <v>0</v>
      </c>
      <c r="EM48" s="55">
        <f>SUMIFS('Disbursements Summary'!$E:$E,'Disbursements Summary'!$C:$C,$C48,'Disbursements Summary'!$A:$A,"NFTA")</f>
        <v>0</v>
      </c>
      <c r="EN48" s="55">
        <f>SUMIFS('Awards Summary'!$H:$H,'Awards Summary'!$B:$B,$C48,'Awards Summary'!$J:$J,"OPWDD")</f>
        <v>0</v>
      </c>
      <c r="EO48" s="55">
        <f>SUMIFS('Disbursements Summary'!$E:$E,'Disbursements Summary'!$C:$C,$C48,'Disbursements Summary'!$A:$A,"OPWDD")</f>
        <v>0</v>
      </c>
      <c r="EP48" s="55">
        <f>SUMIFS('Awards Summary'!$H:$H,'Awards Summary'!$B:$B,$C48,'Awards Summary'!$J:$J,"AGING")</f>
        <v>0</v>
      </c>
      <c r="EQ48" s="55">
        <f>SUMIFS('Disbursements Summary'!$E:$E,'Disbursements Summary'!$C:$C,$C48,'Disbursements Summary'!$A:$A,"AGING")</f>
        <v>0</v>
      </c>
      <c r="ER48" s="55">
        <f>SUMIFS('Awards Summary'!$H:$H,'Awards Summary'!$B:$B,$C48,'Awards Summary'!$J:$J,"OPDV")</f>
        <v>0</v>
      </c>
      <c r="ES48" s="55">
        <f>SUMIFS('Disbursements Summary'!$E:$E,'Disbursements Summary'!$C:$C,$C48,'Disbursements Summary'!$A:$A,"OPDV")</f>
        <v>0</v>
      </c>
      <c r="ET48" s="55">
        <f>SUMIFS('Awards Summary'!$H:$H,'Awards Summary'!$B:$B,$C48,'Awards Summary'!$J:$J,"OVS")</f>
        <v>0</v>
      </c>
      <c r="EU48" s="55">
        <f>SUMIFS('Disbursements Summary'!$E:$E,'Disbursements Summary'!$C:$C,$C48,'Disbursements Summary'!$A:$A,"OVS")</f>
        <v>0</v>
      </c>
      <c r="EV48" s="55">
        <f>SUMIFS('Awards Summary'!$H:$H,'Awards Summary'!$B:$B,$C48,'Awards Summary'!$J:$J,"OASAS")</f>
        <v>0</v>
      </c>
      <c r="EW48" s="55">
        <f>SUMIFS('Disbursements Summary'!$E:$E,'Disbursements Summary'!$C:$C,$C48,'Disbursements Summary'!$A:$A,"OASAS")</f>
        <v>0</v>
      </c>
      <c r="EX48" s="55">
        <f>SUMIFS('Awards Summary'!$H:$H,'Awards Summary'!$B:$B,$C48,'Awards Summary'!$J:$J,"OCFS")</f>
        <v>0</v>
      </c>
      <c r="EY48" s="55">
        <f>SUMIFS('Disbursements Summary'!$E:$E,'Disbursements Summary'!$C:$C,$C48,'Disbursements Summary'!$A:$A,"OCFS")</f>
        <v>0</v>
      </c>
      <c r="EZ48" s="55">
        <f>SUMIFS('Awards Summary'!$H:$H,'Awards Summary'!$B:$B,$C48,'Awards Summary'!$J:$J,"OGS")</f>
        <v>0</v>
      </c>
      <c r="FA48" s="55">
        <f>SUMIFS('Disbursements Summary'!$E:$E,'Disbursements Summary'!$C:$C,$C48,'Disbursements Summary'!$A:$A,"OGS")</f>
        <v>0</v>
      </c>
      <c r="FB48" s="55">
        <f>SUMIFS('Awards Summary'!$H:$H,'Awards Summary'!$B:$B,$C48,'Awards Summary'!$J:$J,"OMH")</f>
        <v>0</v>
      </c>
      <c r="FC48" s="55">
        <f>SUMIFS('Disbursements Summary'!$E:$E,'Disbursements Summary'!$C:$C,$C48,'Disbursements Summary'!$A:$A,"OMH")</f>
        <v>0</v>
      </c>
      <c r="FD48" s="55">
        <f>SUMIFS('Awards Summary'!$H:$H,'Awards Summary'!$B:$B,$C48,'Awards Summary'!$J:$J,"PARKS")</f>
        <v>0</v>
      </c>
      <c r="FE48" s="55">
        <f>SUMIFS('Disbursements Summary'!$E:$E,'Disbursements Summary'!$C:$C,$C48,'Disbursements Summary'!$A:$A,"PARKS")</f>
        <v>0</v>
      </c>
      <c r="FF48" s="55">
        <f>SUMIFS('Awards Summary'!$H:$H,'Awards Summary'!$B:$B,$C48,'Awards Summary'!$J:$J,"OTDA")</f>
        <v>0</v>
      </c>
      <c r="FG48" s="55">
        <f>SUMIFS('Disbursements Summary'!$E:$E,'Disbursements Summary'!$C:$C,$C48,'Disbursements Summary'!$A:$A,"OTDA")</f>
        <v>0</v>
      </c>
      <c r="FH48" s="55">
        <f>SUMIFS('Awards Summary'!$H:$H,'Awards Summary'!$B:$B,$C48,'Awards Summary'!$J:$J,"OIG")</f>
        <v>0</v>
      </c>
      <c r="FI48" s="55">
        <f>SUMIFS('Disbursements Summary'!$E:$E,'Disbursements Summary'!$C:$C,$C48,'Disbursements Summary'!$A:$A,"OIG")</f>
        <v>0</v>
      </c>
      <c r="FJ48" s="55">
        <f>SUMIFS('Awards Summary'!$H:$H,'Awards Summary'!$B:$B,$C48,'Awards Summary'!$J:$J,"OMIG")</f>
        <v>0</v>
      </c>
      <c r="FK48" s="55">
        <f>SUMIFS('Disbursements Summary'!$E:$E,'Disbursements Summary'!$C:$C,$C48,'Disbursements Summary'!$A:$A,"OMIG")</f>
        <v>0</v>
      </c>
      <c r="FL48" s="55">
        <f>SUMIFS('Awards Summary'!$H:$H,'Awards Summary'!$B:$B,$C48,'Awards Summary'!$J:$J,"OSC")</f>
        <v>0</v>
      </c>
      <c r="FM48" s="55">
        <f>SUMIFS('Disbursements Summary'!$E:$E,'Disbursements Summary'!$C:$C,$C48,'Disbursements Summary'!$A:$A,"OSC")</f>
        <v>0</v>
      </c>
      <c r="FN48" s="55">
        <f>SUMIFS('Awards Summary'!$H:$H,'Awards Summary'!$B:$B,$C48,'Awards Summary'!$J:$J,"OWIG")</f>
        <v>0</v>
      </c>
      <c r="FO48" s="55">
        <f>SUMIFS('Disbursements Summary'!$E:$E,'Disbursements Summary'!$C:$C,$C48,'Disbursements Summary'!$A:$A,"OWIG")</f>
        <v>0</v>
      </c>
      <c r="FP48" s="55">
        <f>SUMIFS('Awards Summary'!$H:$H,'Awards Summary'!$B:$B,$C48,'Awards Summary'!$J:$J,"OGDEN")</f>
        <v>0</v>
      </c>
      <c r="FQ48" s="55">
        <f>SUMIFS('Disbursements Summary'!$E:$E,'Disbursements Summary'!$C:$C,$C48,'Disbursements Summary'!$A:$A,"OGDEN")</f>
        <v>0</v>
      </c>
      <c r="FR48" s="55">
        <f>SUMIFS('Awards Summary'!$H:$H,'Awards Summary'!$B:$B,$C48,'Awards Summary'!$J:$J,"ORDA")</f>
        <v>0</v>
      </c>
      <c r="FS48" s="55">
        <f>SUMIFS('Disbursements Summary'!$E:$E,'Disbursements Summary'!$C:$C,$C48,'Disbursements Summary'!$A:$A,"ORDA")</f>
        <v>0</v>
      </c>
      <c r="FT48" s="55">
        <f>SUMIFS('Awards Summary'!$H:$H,'Awards Summary'!$B:$B,$C48,'Awards Summary'!$J:$J,"OSWEGO")</f>
        <v>0</v>
      </c>
      <c r="FU48" s="55">
        <f>SUMIFS('Disbursements Summary'!$E:$E,'Disbursements Summary'!$C:$C,$C48,'Disbursements Summary'!$A:$A,"OSWEGO")</f>
        <v>0</v>
      </c>
      <c r="FV48" s="55">
        <f>SUMIFS('Awards Summary'!$H:$H,'Awards Summary'!$B:$B,$C48,'Awards Summary'!$J:$J,"PERB")</f>
        <v>0</v>
      </c>
      <c r="FW48" s="55">
        <f>SUMIFS('Disbursements Summary'!$E:$E,'Disbursements Summary'!$C:$C,$C48,'Disbursements Summary'!$A:$A,"PERB")</f>
        <v>0</v>
      </c>
      <c r="FX48" s="55">
        <f>SUMIFS('Awards Summary'!$H:$H,'Awards Summary'!$B:$B,$C48,'Awards Summary'!$J:$J,"RGRTA")</f>
        <v>0</v>
      </c>
      <c r="FY48" s="55">
        <f>SUMIFS('Disbursements Summary'!$E:$E,'Disbursements Summary'!$C:$C,$C48,'Disbursements Summary'!$A:$A,"RGRTA")</f>
        <v>0</v>
      </c>
      <c r="FZ48" s="55">
        <f>SUMIFS('Awards Summary'!$H:$H,'Awards Summary'!$B:$B,$C48,'Awards Summary'!$J:$J,"RIOC")</f>
        <v>0</v>
      </c>
      <c r="GA48" s="55">
        <f>SUMIFS('Disbursements Summary'!$E:$E,'Disbursements Summary'!$C:$C,$C48,'Disbursements Summary'!$A:$A,"RIOC")</f>
        <v>0</v>
      </c>
      <c r="GB48" s="55">
        <f>SUMIFS('Awards Summary'!$H:$H,'Awards Summary'!$B:$B,$C48,'Awards Summary'!$J:$J,"RPCI")</f>
        <v>0</v>
      </c>
      <c r="GC48" s="55">
        <f>SUMIFS('Disbursements Summary'!$E:$E,'Disbursements Summary'!$C:$C,$C48,'Disbursements Summary'!$A:$A,"RPCI")</f>
        <v>0</v>
      </c>
      <c r="GD48" s="55">
        <f>SUMIFS('Awards Summary'!$H:$H,'Awards Summary'!$B:$B,$C48,'Awards Summary'!$J:$J,"SMDA")</f>
        <v>0</v>
      </c>
      <c r="GE48" s="55">
        <f>SUMIFS('Disbursements Summary'!$E:$E,'Disbursements Summary'!$C:$C,$C48,'Disbursements Summary'!$A:$A,"SMDA")</f>
        <v>0</v>
      </c>
      <c r="GF48" s="55">
        <f>SUMIFS('Awards Summary'!$H:$H,'Awards Summary'!$B:$B,$C48,'Awards Summary'!$J:$J,"SCOC")</f>
        <v>0</v>
      </c>
      <c r="GG48" s="55">
        <f>SUMIFS('Disbursements Summary'!$E:$E,'Disbursements Summary'!$C:$C,$C48,'Disbursements Summary'!$A:$A,"SCOC")</f>
        <v>0</v>
      </c>
      <c r="GH48" s="55">
        <f>SUMIFS('Awards Summary'!$H:$H,'Awards Summary'!$B:$B,$C48,'Awards Summary'!$J:$J,"SUCF")</f>
        <v>0</v>
      </c>
      <c r="GI48" s="55">
        <f>SUMIFS('Disbursements Summary'!$E:$E,'Disbursements Summary'!$C:$C,$C48,'Disbursements Summary'!$A:$A,"SUCF")</f>
        <v>0</v>
      </c>
      <c r="GJ48" s="55">
        <f>SUMIFS('Awards Summary'!$H:$H,'Awards Summary'!$B:$B,$C48,'Awards Summary'!$J:$J,"SUNY")</f>
        <v>0</v>
      </c>
      <c r="GK48" s="55">
        <f>SUMIFS('Disbursements Summary'!$E:$E,'Disbursements Summary'!$C:$C,$C48,'Disbursements Summary'!$A:$A,"SUNY")</f>
        <v>0</v>
      </c>
      <c r="GL48" s="55">
        <f>SUMIFS('Awards Summary'!$H:$H,'Awards Summary'!$B:$B,$C48,'Awards Summary'!$J:$J,"SRAA")</f>
        <v>0</v>
      </c>
      <c r="GM48" s="55">
        <f>SUMIFS('Disbursements Summary'!$E:$E,'Disbursements Summary'!$C:$C,$C48,'Disbursements Summary'!$A:$A,"SRAA")</f>
        <v>0</v>
      </c>
      <c r="GN48" s="55">
        <f>SUMIFS('Awards Summary'!$H:$H,'Awards Summary'!$B:$B,$C48,'Awards Summary'!$J:$J,"UNDC")</f>
        <v>0</v>
      </c>
      <c r="GO48" s="55">
        <f>SUMIFS('Disbursements Summary'!$E:$E,'Disbursements Summary'!$C:$C,$C48,'Disbursements Summary'!$A:$A,"UNDC")</f>
        <v>0</v>
      </c>
      <c r="GP48" s="55">
        <f>SUMIFS('Awards Summary'!$H:$H,'Awards Summary'!$B:$B,$C48,'Awards Summary'!$J:$J,"MVWA")</f>
        <v>0</v>
      </c>
      <c r="GQ48" s="55">
        <f>SUMIFS('Disbursements Summary'!$E:$E,'Disbursements Summary'!$C:$C,$C48,'Disbursements Summary'!$A:$A,"MVWA")</f>
        <v>0</v>
      </c>
      <c r="GR48" s="55">
        <f>SUMIFS('Awards Summary'!$H:$H,'Awards Summary'!$B:$B,$C48,'Awards Summary'!$J:$J,"WMC")</f>
        <v>0</v>
      </c>
      <c r="GS48" s="55">
        <f>SUMIFS('Disbursements Summary'!$E:$E,'Disbursements Summary'!$C:$C,$C48,'Disbursements Summary'!$A:$A,"WMC")</f>
        <v>0</v>
      </c>
      <c r="GT48" s="55">
        <f>SUMIFS('Awards Summary'!$H:$H,'Awards Summary'!$B:$B,$C48,'Awards Summary'!$J:$J,"WCB")</f>
        <v>0</v>
      </c>
      <c r="GU48" s="55">
        <f>SUMIFS('Disbursements Summary'!$E:$E,'Disbursements Summary'!$C:$C,$C48,'Disbursements Summary'!$A:$A,"WCB")</f>
        <v>0</v>
      </c>
      <c r="GV48" s="32">
        <f t="shared" si="5"/>
        <v>0</v>
      </c>
      <c r="GW48" s="32">
        <f t="shared" si="6"/>
        <v>0</v>
      </c>
      <c r="GX48" s="30" t="b">
        <f t="shared" si="7"/>
        <v>1</v>
      </c>
      <c r="GY48" s="30" t="b">
        <f t="shared" si="8"/>
        <v>1</v>
      </c>
    </row>
    <row r="49" spans="1:207" s="30" customFormat="1">
      <c r="A49" s="22" t="str">
        <f t="shared" si="0"/>
        <v/>
      </c>
      <c r="B49" s="40" t="s">
        <v>79</v>
      </c>
      <c r="C49" s="16">
        <v>151084</v>
      </c>
      <c r="D49" s="26">
        <f>COUNTIF('Awards Summary'!B:B,"151084")</f>
        <v>0</v>
      </c>
      <c r="E49" s="45">
        <f>SUMIFS('Awards Summary'!H:H,'Awards Summary'!B:B,"151084")</f>
        <v>0</v>
      </c>
      <c r="F49" s="46">
        <f>SUMIFS('Disbursements Summary'!E:E,'Disbursements Summary'!C:C, "151084")</f>
        <v>0</v>
      </c>
      <c r="H49" s="55">
        <f>SUMIFS('Awards Summary'!$H:$H,'Awards Summary'!$B:$B,$C49,'Awards Summary'!$J:$J,"APA")</f>
        <v>0</v>
      </c>
      <c r="I49" s="55">
        <f>SUMIFS('Disbursements Summary'!$E:$E,'Disbursements Summary'!$C:$C,$C49,'Disbursements Summary'!$A:$A,"APA")</f>
        <v>0</v>
      </c>
      <c r="J49" s="55">
        <f>SUMIFS('Awards Summary'!$H:$H,'Awards Summary'!$B:$B,$C49,'Awards Summary'!$J:$J,"Ag&amp;Horse")</f>
        <v>0</v>
      </c>
      <c r="K49" s="55">
        <f>SUMIFS('Disbursements Summary'!$E:$E,'Disbursements Summary'!$C:$C,$C49,'Disbursements Summary'!$A:$A,"Ag&amp;Horse")</f>
        <v>0</v>
      </c>
      <c r="L49" s="55">
        <f>SUMIFS('Awards Summary'!$H:$H,'Awards Summary'!$B:$B,$C49,'Awards Summary'!$J:$J,"ACAA")</f>
        <v>0</v>
      </c>
      <c r="M49" s="55">
        <f>SUMIFS('Disbursements Summary'!$E:$E,'Disbursements Summary'!$C:$C,$C49,'Disbursements Summary'!$A:$A,"ACAA")</f>
        <v>0</v>
      </c>
      <c r="N49" s="55">
        <f>SUMIFS('Awards Summary'!$H:$H,'Awards Summary'!$B:$B,$C49,'Awards Summary'!$J:$J,"PortAlbany")</f>
        <v>0</v>
      </c>
      <c r="O49" s="55">
        <f>SUMIFS('Disbursements Summary'!$E:$E,'Disbursements Summary'!$C:$C,$C49,'Disbursements Summary'!$A:$A,"PortAlbany")</f>
        <v>0</v>
      </c>
      <c r="P49" s="55">
        <f>SUMIFS('Awards Summary'!$H:$H,'Awards Summary'!$B:$B,$C49,'Awards Summary'!$J:$J,"SLA")</f>
        <v>0</v>
      </c>
      <c r="Q49" s="55">
        <f>SUMIFS('Disbursements Summary'!$E:$E,'Disbursements Summary'!$C:$C,$C49,'Disbursements Summary'!$A:$A,"SLA")</f>
        <v>0</v>
      </c>
      <c r="R49" s="55">
        <f>SUMIFS('Awards Summary'!$H:$H,'Awards Summary'!$B:$B,$C49,'Awards Summary'!$J:$J,"BPCA")</f>
        <v>0</v>
      </c>
      <c r="S49" s="55">
        <f>SUMIFS('Disbursements Summary'!$E:$E,'Disbursements Summary'!$C:$C,$C49,'Disbursements Summary'!$A:$A,"BPCA")</f>
        <v>0</v>
      </c>
      <c r="T49" s="55">
        <f>SUMIFS('Awards Summary'!$H:$H,'Awards Summary'!$B:$B,$C49,'Awards Summary'!$J:$J,"ELECTIONS")</f>
        <v>0</v>
      </c>
      <c r="U49" s="55">
        <f>SUMIFS('Disbursements Summary'!$E:$E,'Disbursements Summary'!$C:$C,$C49,'Disbursements Summary'!$A:$A,"ELECTIONS")</f>
        <v>0</v>
      </c>
      <c r="V49" s="55">
        <f>SUMIFS('Awards Summary'!$H:$H,'Awards Summary'!$B:$B,$C49,'Awards Summary'!$J:$J,"BFSA")</f>
        <v>0</v>
      </c>
      <c r="W49" s="55">
        <f>SUMIFS('Disbursements Summary'!$E:$E,'Disbursements Summary'!$C:$C,$C49,'Disbursements Summary'!$A:$A,"BFSA")</f>
        <v>0</v>
      </c>
      <c r="X49" s="55">
        <f>SUMIFS('Awards Summary'!$H:$H,'Awards Summary'!$B:$B,$C49,'Awards Summary'!$J:$J,"CDTA")</f>
        <v>0</v>
      </c>
      <c r="Y49" s="55">
        <f>SUMIFS('Disbursements Summary'!$E:$E,'Disbursements Summary'!$C:$C,$C49,'Disbursements Summary'!$A:$A,"CDTA")</f>
        <v>0</v>
      </c>
      <c r="Z49" s="55">
        <f>SUMIFS('Awards Summary'!$H:$H,'Awards Summary'!$B:$B,$C49,'Awards Summary'!$J:$J,"CCWSA")</f>
        <v>0</v>
      </c>
      <c r="AA49" s="55">
        <f>SUMIFS('Disbursements Summary'!$E:$E,'Disbursements Summary'!$C:$C,$C49,'Disbursements Summary'!$A:$A,"CCWSA")</f>
        <v>0</v>
      </c>
      <c r="AB49" s="55">
        <f>SUMIFS('Awards Summary'!$H:$H,'Awards Summary'!$B:$B,$C49,'Awards Summary'!$J:$J,"CNYRTA")</f>
        <v>0</v>
      </c>
      <c r="AC49" s="55">
        <f>SUMIFS('Disbursements Summary'!$E:$E,'Disbursements Summary'!$C:$C,$C49,'Disbursements Summary'!$A:$A,"CNYRTA")</f>
        <v>0</v>
      </c>
      <c r="AD49" s="55">
        <f>SUMIFS('Awards Summary'!$H:$H,'Awards Summary'!$B:$B,$C49,'Awards Summary'!$J:$J,"CUCF")</f>
        <v>0</v>
      </c>
      <c r="AE49" s="55">
        <f>SUMIFS('Disbursements Summary'!$E:$E,'Disbursements Summary'!$C:$C,$C49,'Disbursements Summary'!$A:$A,"CUCF")</f>
        <v>0</v>
      </c>
      <c r="AF49" s="55">
        <f>SUMIFS('Awards Summary'!$H:$H,'Awards Summary'!$B:$B,$C49,'Awards Summary'!$J:$J,"CUNY")</f>
        <v>0</v>
      </c>
      <c r="AG49" s="55">
        <f>SUMIFS('Disbursements Summary'!$E:$E,'Disbursements Summary'!$C:$C,$C49,'Disbursements Summary'!$A:$A,"CUNY")</f>
        <v>0</v>
      </c>
      <c r="AH49" s="55">
        <f>SUMIFS('Awards Summary'!$H:$H,'Awards Summary'!$B:$B,$C49,'Awards Summary'!$J:$J,"ARTS")</f>
        <v>0</v>
      </c>
      <c r="AI49" s="55">
        <f>SUMIFS('Disbursements Summary'!$E:$E,'Disbursements Summary'!$C:$C,$C49,'Disbursements Summary'!$A:$A,"ARTS")</f>
        <v>0</v>
      </c>
      <c r="AJ49" s="55">
        <f>SUMIFS('Awards Summary'!$H:$H,'Awards Summary'!$B:$B,$C49,'Awards Summary'!$J:$J,"AG&amp;MKTS")</f>
        <v>0</v>
      </c>
      <c r="AK49" s="55">
        <f>SUMIFS('Disbursements Summary'!$E:$E,'Disbursements Summary'!$C:$C,$C49,'Disbursements Summary'!$A:$A,"AG&amp;MKTS")</f>
        <v>0</v>
      </c>
      <c r="AL49" s="55">
        <f>SUMIFS('Awards Summary'!$H:$H,'Awards Summary'!$B:$B,$C49,'Awards Summary'!$J:$J,"CS")</f>
        <v>0</v>
      </c>
      <c r="AM49" s="55">
        <f>SUMIFS('Disbursements Summary'!$E:$E,'Disbursements Summary'!$C:$C,$C49,'Disbursements Summary'!$A:$A,"CS")</f>
        <v>0</v>
      </c>
      <c r="AN49" s="55">
        <f>SUMIFS('Awards Summary'!$H:$H,'Awards Summary'!$B:$B,$C49,'Awards Summary'!$J:$J,"DOCCS")</f>
        <v>0</v>
      </c>
      <c r="AO49" s="55">
        <f>SUMIFS('Disbursements Summary'!$E:$E,'Disbursements Summary'!$C:$C,$C49,'Disbursements Summary'!$A:$A,"DOCCS")</f>
        <v>0</v>
      </c>
      <c r="AP49" s="55">
        <f>SUMIFS('Awards Summary'!$H:$H,'Awards Summary'!$B:$B,$C49,'Awards Summary'!$J:$J,"DED")</f>
        <v>0</v>
      </c>
      <c r="AQ49" s="55">
        <f>SUMIFS('Disbursements Summary'!$E:$E,'Disbursements Summary'!$C:$C,$C49,'Disbursements Summary'!$A:$A,"DED")</f>
        <v>0</v>
      </c>
      <c r="AR49" s="55">
        <f>SUMIFS('Awards Summary'!$H:$H,'Awards Summary'!$B:$B,$C49,'Awards Summary'!$J:$J,"DEC")</f>
        <v>0</v>
      </c>
      <c r="AS49" s="55">
        <f>SUMIFS('Disbursements Summary'!$E:$E,'Disbursements Summary'!$C:$C,$C49,'Disbursements Summary'!$A:$A,"DEC")</f>
        <v>0</v>
      </c>
      <c r="AT49" s="55">
        <f>SUMIFS('Awards Summary'!$H:$H,'Awards Summary'!$B:$B,$C49,'Awards Summary'!$J:$J,"DFS")</f>
        <v>0</v>
      </c>
      <c r="AU49" s="55">
        <f>SUMIFS('Disbursements Summary'!$E:$E,'Disbursements Summary'!$C:$C,$C49,'Disbursements Summary'!$A:$A,"DFS")</f>
        <v>0</v>
      </c>
      <c r="AV49" s="55">
        <f>SUMIFS('Awards Summary'!$H:$H,'Awards Summary'!$B:$B,$C49,'Awards Summary'!$J:$J,"DOH")</f>
        <v>0</v>
      </c>
      <c r="AW49" s="55">
        <f>SUMIFS('Disbursements Summary'!$E:$E,'Disbursements Summary'!$C:$C,$C49,'Disbursements Summary'!$A:$A,"DOH")</f>
        <v>0</v>
      </c>
      <c r="AX49" s="55">
        <f>SUMIFS('Awards Summary'!$H:$H,'Awards Summary'!$B:$B,$C49,'Awards Summary'!$J:$J,"DOL")</f>
        <v>0</v>
      </c>
      <c r="AY49" s="55">
        <f>SUMIFS('Disbursements Summary'!$E:$E,'Disbursements Summary'!$C:$C,$C49,'Disbursements Summary'!$A:$A,"DOL")</f>
        <v>0</v>
      </c>
      <c r="AZ49" s="55">
        <f>SUMIFS('Awards Summary'!$H:$H,'Awards Summary'!$B:$B,$C49,'Awards Summary'!$J:$J,"DMV")</f>
        <v>0</v>
      </c>
      <c r="BA49" s="55">
        <f>SUMIFS('Disbursements Summary'!$E:$E,'Disbursements Summary'!$C:$C,$C49,'Disbursements Summary'!$A:$A,"DMV")</f>
        <v>0</v>
      </c>
      <c r="BB49" s="55">
        <f>SUMIFS('Awards Summary'!$H:$H,'Awards Summary'!$B:$B,$C49,'Awards Summary'!$J:$J,"DPS")</f>
        <v>0</v>
      </c>
      <c r="BC49" s="55">
        <f>SUMIFS('Disbursements Summary'!$E:$E,'Disbursements Summary'!$C:$C,$C49,'Disbursements Summary'!$A:$A,"DPS")</f>
        <v>0</v>
      </c>
      <c r="BD49" s="55">
        <f>SUMIFS('Awards Summary'!$H:$H,'Awards Summary'!$B:$B,$C49,'Awards Summary'!$J:$J,"DOS")</f>
        <v>0</v>
      </c>
      <c r="BE49" s="55">
        <f>SUMIFS('Disbursements Summary'!$E:$E,'Disbursements Summary'!$C:$C,$C49,'Disbursements Summary'!$A:$A,"DOS")</f>
        <v>0</v>
      </c>
      <c r="BF49" s="55">
        <f>SUMIFS('Awards Summary'!$H:$H,'Awards Summary'!$B:$B,$C49,'Awards Summary'!$J:$J,"TAX")</f>
        <v>0</v>
      </c>
      <c r="BG49" s="55">
        <f>SUMIFS('Disbursements Summary'!$E:$E,'Disbursements Summary'!$C:$C,$C49,'Disbursements Summary'!$A:$A,"TAX")</f>
        <v>0</v>
      </c>
      <c r="BH49" s="55">
        <f>SUMIFS('Awards Summary'!$H:$H,'Awards Summary'!$B:$B,$C49,'Awards Summary'!$J:$J,"DOT")</f>
        <v>0</v>
      </c>
      <c r="BI49" s="55">
        <f>SUMIFS('Disbursements Summary'!$E:$E,'Disbursements Summary'!$C:$C,$C49,'Disbursements Summary'!$A:$A,"DOT")</f>
        <v>0</v>
      </c>
      <c r="BJ49" s="55">
        <f>SUMIFS('Awards Summary'!$H:$H,'Awards Summary'!$B:$B,$C49,'Awards Summary'!$J:$J,"DANC")</f>
        <v>0</v>
      </c>
      <c r="BK49" s="55">
        <f>SUMIFS('Disbursements Summary'!$E:$E,'Disbursements Summary'!$C:$C,$C49,'Disbursements Summary'!$A:$A,"DANC")</f>
        <v>0</v>
      </c>
      <c r="BL49" s="55">
        <f>SUMIFS('Awards Summary'!$H:$H,'Awards Summary'!$B:$B,$C49,'Awards Summary'!$J:$J,"DOB")</f>
        <v>0</v>
      </c>
      <c r="BM49" s="55">
        <f>SUMIFS('Disbursements Summary'!$E:$E,'Disbursements Summary'!$C:$C,$C49,'Disbursements Summary'!$A:$A,"DOB")</f>
        <v>0</v>
      </c>
      <c r="BN49" s="55">
        <f>SUMIFS('Awards Summary'!$H:$H,'Awards Summary'!$B:$B,$C49,'Awards Summary'!$J:$J,"DCJS")</f>
        <v>0</v>
      </c>
      <c r="BO49" s="55">
        <f>SUMIFS('Disbursements Summary'!$E:$E,'Disbursements Summary'!$C:$C,$C49,'Disbursements Summary'!$A:$A,"DCJS")</f>
        <v>0</v>
      </c>
      <c r="BP49" s="55">
        <f>SUMIFS('Awards Summary'!$H:$H,'Awards Summary'!$B:$B,$C49,'Awards Summary'!$J:$J,"DHSES")</f>
        <v>0</v>
      </c>
      <c r="BQ49" s="55">
        <f>SUMIFS('Disbursements Summary'!$E:$E,'Disbursements Summary'!$C:$C,$C49,'Disbursements Summary'!$A:$A,"DHSES")</f>
        <v>0</v>
      </c>
      <c r="BR49" s="55">
        <f>SUMIFS('Awards Summary'!$H:$H,'Awards Summary'!$B:$B,$C49,'Awards Summary'!$J:$J,"DHR")</f>
        <v>0</v>
      </c>
      <c r="BS49" s="55">
        <f>SUMIFS('Disbursements Summary'!$E:$E,'Disbursements Summary'!$C:$C,$C49,'Disbursements Summary'!$A:$A,"DHR")</f>
        <v>0</v>
      </c>
      <c r="BT49" s="55">
        <f>SUMIFS('Awards Summary'!$H:$H,'Awards Summary'!$B:$B,$C49,'Awards Summary'!$J:$J,"DMNA")</f>
        <v>0</v>
      </c>
      <c r="BU49" s="55">
        <f>SUMIFS('Disbursements Summary'!$E:$E,'Disbursements Summary'!$C:$C,$C49,'Disbursements Summary'!$A:$A,"DMNA")</f>
        <v>0</v>
      </c>
      <c r="BV49" s="55">
        <f>SUMIFS('Awards Summary'!$H:$H,'Awards Summary'!$B:$B,$C49,'Awards Summary'!$J:$J,"TROOPERS")</f>
        <v>0</v>
      </c>
      <c r="BW49" s="55">
        <f>SUMIFS('Disbursements Summary'!$E:$E,'Disbursements Summary'!$C:$C,$C49,'Disbursements Summary'!$A:$A,"TROOPERS")</f>
        <v>0</v>
      </c>
      <c r="BX49" s="55">
        <f>SUMIFS('Awards Summary'!$H:$H,'Awards Summary'!$B:$B,$C49,'Awards Summary'!$J:$J,"DVA")</f>
        <v>0</v>
      </c>
      <c r="BY49" s="55">
        <f>SUMIFS('Disbursements Summary'!$E:$E,'Disbursements Summary'!$C:$C,$C49,'Disbursements Summary'!$A:$A,"DVA")</f>
        <v>0</v>
      </c>
      <c r="BZ49" s="55">
        <f>SUMIFS('Awards Summary'!$H:$H,'Awards Summary'!$B:$B,$C49,'Awards Summary'!$J:$J,"DASNY")</f>
        <v>0</v>
      </c>
      <c r="CA49" s="55">
        <f>SUMIFS('Disbursements Summary'!$E:$E,'Disbursements Summary'!$C:$C,$C49,'Disbursements Summary'!$A:$A,"DASNY")</f>
        <v>0</v>
      </c>
      <c r="CB49" s="55">
        <f>SUMIFS('Awards Summary'!$H:$H,'Awards Summary'!$B:$B,$C49,'Awards Summary'!$J:$J,"EGG")</f>
        <v>0</v>
      </c>
      <c r="CC49" s="55">
        <f>SUMIFS('Disbursements Summary'!$E:$E,'Disbursements Summary'!$C:$C,$C49,'Disbursements Summary'!$A:$A,"EGG")</f>
        <v>0</v>
      </c>
      <c r="CD49" s="55">
        <f>SUMIFS('Awards Summary'!$H:$H,'Awards Summary'!$B:$B,$C49,'Awards Summary'!$J:$J,"ESD")</f>
        <v>0</v>
      </c>
      <c r="CE49" s="55">
        <f>SUMIFS('Disbursements Summary'!$E:$E,'Disbursements Summary'!$C:$C,$C49,'Disbursements Summary'!$A:$A,"ESD")</f>
        <v>0</v>
      </c>
      <c r="CF49" s="55">
        <f>SUMIFS('Awards Summary'!$H:$H,'Awards Summary'!$B:$B,$C49,'Awards Summary'!$J:$J,"EFC")</f>
        <v>0</v>
      </c>
      <c r="CG49" s="55">
        <f>SUMIFS('Disbursements Summary'!$E:$E,'Disbursements Summary'!$C:$C,$C49,'Disbursements Summary'!$A:$A,"EFC")</f>
        <v>0</v>
      </c>
      <c r="CH49" s="55">
        <f>SUMIFS('Awards Summary'!$H:$H,'Awards Summary'!$B:$B,$C49,'Awards Summary'!$J:$J,"ECFSA")</f>
        <v>0</v>
      </c>
      <c r="CI49" s="55">
        <f>SUMIFS('Disbursements Summary'!$E:$E,'Disbursements Summary'!$C:$C,$C49,'Disbursements Summary'!$A:$A,"ECFSA")</f>
        <v>0</v>
      </c>
      <c r="CJ49" s="55">
        <f>SUMIFS('Awards Summary'!$H:$H,'Awards Summary'!$B:$B,$C49,'Awards Summary'!$J:$J,"ECMC")</f>
        <v>0</v>
      </c>
      <c r="CK49" s="55">
        <f>SUMIFS('Disbursements Summary'!$E:$E,'Disbursements Summary'!$C:$C,$C49,'Disbursements Summary'!$A:$A,"ECMC")</f>
        <v>0</v>
      </c>
      <c r="CL49" s="55">
        <f>SUMIFS('Awards Summary'!$H:$H,'Awards Summary'!$B:$B,$C49,'Awards Summary'!$J:$J,"CHAMBER")</f>
        <v>0</v>
      </c>
      <c r="CM49" s="55">
        <f>SUMIFS('Disbursements Summary'!$E:$E,'Disbursements Summary'!$C:$C,$C49,'Disbursements Summary'!$A:$A,"CHAMBER")</f>
        <v>0</v>
      </c>
      <c r="CN49" s="55">
        <f>SUMIFS('Awards Summary'!$H:$H,'Awards Summary'!$B:$B,$C49,'Awards Summary'!$J:$J,"GAMING")</f>
        <v>0</v>
      </c>
      <c r="CO49" s="55">
        <f>SUMIFS('Disbursements Summary'!$E:$E,'Disbursements Summary'!$C:$C,$C49,'Disbursements Summary'!$A:$A,"GAMING")</f>
        <v>0</v>
      </c>
      <c r="CP49" s="55">
        <f>SUMIFS('Awards Summary'!$H:$H,'Awards Summary'!$B:$B,$C49,'Awards Summary'!$J:$J,"GOER")</f>
        <v>0</v>
      </c>
      <c r="CQ49" s="55">
        <f>SUMIFS('Disbursements Summary'!$E:$E,'Disbursements Summary'!$C:$C,$C49,'Disbursements Summary'!$A:$A,"GOER")</f>
        <v>0</v>
      </c>
      <c r="CR49" s="55">
        <f>SUMIFS('Awards Summary'!$H:$H,'Awards Summary'!$B:$B,$C49,'Awards Summary'!$J:$J,"HESC")</f>
        <v>0</v>
      </c>
      <c r="CS49" s="55">
        <f>SUMIFS('Disbursements Summary'!$E:$E,'Disbursements Summary'!$C:$C,$C49,'Disbursements Summary'!$A:$A,"HESC")</f>
        <v>0</v>
      </c>
      <c r="CT49" s="55">
        <f>SUMIFS('Awards Summary'!$H:$H,'Awards Summary'!$B:$B,$C49,'Awards Summary'!$J:$J,"GOSR")</f>
        <v>0</v>
      </c>
      <c r="CU49" s="55">
        <f>SUMIFS('Disbursements Summary'!$E:$E,'Disbursements Summary'!$C:$C,$C49,'Disbursements Summary'!$A:$A,"GOSR")</f>
        <v>0</v>
      </c>
      <c r="CV49" s="55">
        <f>SUMIFS('Awards Summary'!$H:$H,'Awards Summary'!$B:$B,$C49,'Awards Summary'!$J:$J,"HRPT")</f>
        <v>0</v>
      </c>
      <c r="CW49" s="55">
        <f>SUMIFS('Disbursements Summary'!$E:$E,'Disbursements Summary'!$C:$C,$C49,'Disbursements Summary'!$A:$A,"HRPT")</f>
        <v>0</v>
      </c>
      <c r="CX49" s="55">
        <f>SUMIFS('Awards Summary'!$H:$H,'Awards Summary'!$B:$B,$C49,'Awards Summary'!$J:$J,"HRBRRD")</f>
        <v>0</v>
      </c>
      <c r="CY49" s="55">
        <f>SUMIFS('Disbursements Summary'!$E:$E,'Disbursements Summary'!$C:$C,$C49,'Disbursements Summary'!$A:$A,"HRBRRD")</f>
        <v>0</v>
      </c>
      <c r="CZ49" s="55">
        <f>SUMIFS('Awards Summary'!$H:$H,'Awards Summary'!$B:$B,$C49,'Awards Summary'!$J:$J,"ITS")</f>
        <v>0</v>
      </c>
      <c r="DA49" s="55">
        <f>SUMIFS('Disbursements Summary'!$E:$E,'Disbursements Summary'!$C:$C,$C49,'Disbursements Summary'!$A:$A,"ITS")</f>
        <v>0</v>
      </c>
      <c r="DB49" s="55">
        <f>SUMIFS('Awards Summary'!$H:$H,'Awards Summary'!$B:$B,$C49,'Awards Summary'!$J:$J,"JAVITS")</f>
        <v>0</v>
      </c>
      <c r="DC49" s="55">
        <f>SUMIFS('Disbursements Summary'!$E:$E,'Disbursements Summary'!$C:$C,$C49,'Disbursements Summary'!$A:$A,"JAVITS")</f>
        <v>0</v>
      </c>
      <c r="DD49" s="55">
        <f>SUMIFS('Awards Summary'!$H:$H,'Awards Summary'!$B:$B,$C49,'Awards Summary'!$J:$J,"JCOPE")</f>
        <v>0</v>
      </c>
      <c r="DE49" s="55">
        <f>SUMIFS('Disbursements Summary'!$E:$E,'Disbursements Summary'!$C:$C,$C49,'Disbursements Summary'!$A:$A,"JCOPE")</f>
        <v>0</v>
      </c>
      <c r="DF49" s="55">
        <f>SUMIFS('Awards Summary'!$H:$H,'Awards Summary'!$B:$B,$C49,'Awards Summary'!$J:$J,"JUSTICE")</f>
        <v>0</v>
      </c>
      <c r="DG49" s="55">
        <f>SUMIFS('Disbursements Summary'!$E:$E,'Disbursements Summary'!$C:$C,$C49,'Disbursements Summary'!$A:$A,"JUSTICE")</f>
        <v>0</v>
      </c>
      <c r="DH49" s="55">
        <f>SUMIFS('Awards Summary'!$H:$H,'Awards Summary'!$B:$B,$C49,'Awards Summary'!$J:$J,"LCWSA")</f>
        <v>0</v>
      </c>
      <c r="DI49" s="55">
        <f>SUMIFS('Disbursements Summary'!$E:$E,'Disbursements Summary'!$C:$C,$C49,'Disbursements Summary'!$A:$A,"LCWSA")</f>
        <v>0</v>
      </c>
      <c r="DJ49" s="55">
        <f>SUMIFS('Awards Summary'!$H:$H,'Awards Summary'!$B:$B,$C49,'Awards Summary'!$J:$J,"LIPA")</f>
        <v>0</v>
      </c>
      <c r="DK49" s="55">
        <f>SUMIFS('Disbursements Summary'!$E:$E,'Disbursements Summary'!$C:$C,$C49,'Disbursements Summary'!$A:$A,"LIPA")</f>
        <v>0</v>
      </c>
      <c r="DL49" s="55">
        <f>SUMIFS('Awards Summary'!$H:$H,'Awards Summary'!$B:$B,$C49,'Awards Summary'!$J:$J,"MTA")</f>
        <v>0</v>
      </c>
      <c r="DM49" s="55">
        <f>SUMIFS('Disbursements Summary'!$E:$E,'Disbursements Summary'!$C:$C,$C49,'Disbursements Summary'!$A:$A,"MTA")</f>
        <v>0</v>
      </c>
      <c r="DN49" s="55">
        <f>SUMIFS('Awards Summary'!$H:$H,'Awards Summary'!$B:$B,$C49,'Awards Summary'!$J:$J,"NIFA")</f>
        <v>0</v>
      </c>
      <c r="DO49" s="55">
        <f>SUMIFS('Disbursements Summary'!$E:$E,'Disbursements Summary'!$C:$C,$C49,'Disbursements Summary'!$A:$A,"NIFA")</f>
        <v>0</v>
      </c>
      <c r="DP49" s="55">
        <f>SUMIFS('Awards Summary'!$H:$H,'Awards Summary'!$B:$B,$C49,'Awards Summary'!$J:$J,"NHCC")</f>
        <v>0</v>
      </c>
      <c r="DQ49" s="55">
        <f>SUMIFS('Disbursements Summary'!$E:$E,'Disbursements Summary'!$C:$C,$C49,'Disbursements Summary'!$A:$A,"NHCC")</f>
        <v>0</v>
      </c>
      <c r="DR49" s="55">
        <f>SUMIFS('Awards Summary'!$H:$H,'Awards Summary'!$B:$B,$C49,'Awards Summary'!$J:$J,"NHT")</f>
        <v>0</v>
      </c>
      <c r="DS49" s="55">
        <f>SUMIFS('Disbursements Summary'!$E:$E,'Disbursements Summary'!$C:$C,$C49,'Disbursements Summary'!$A:$A,"NHT")</f>
        <v>0</v>
      </c>
      <c r="DT49" s="55">
        <f>SUMIFS('Awards Summary'!$H:$H,'Awards Summary'!$B:$B,$C49,'Awards Summary'!$J:$J,"NYPA")</f>
        <v>0</v>
      </c>
      <c r="DU49" s="55">
        <f>SUMIFS('Disbursements Summary'!$E:$E,'Disbursements Summary'!$C:$C,$C49,'Disbursements Summary'!$A:$A,"NYPA")</f>
        <v>0</v>
      </c>
      <c r="DV49" s="55">
        <f>SUMIFS('Awards Summary'!$H:$H,'Awards Summary'!$B:$B,$C49,'Awards Summary'!$J:$J,"NYSBA")</f>
        <v>0</v>
      </c>
      <c r="DW49" s="55">
        <f>SUMIFS('Disbursements Summary'!$E:$E,'Disbursements Summary'!$C:$C,$C49,'Disbursements Summary'!$A:$A,"NYSBA")</f>
        <v>0</v>
      </c>
      <c r="DX49" s="55">
        <f>SUMIFS('Awards Summary'!$H:$H,'Awards Summary'!$B:$B,$C49,'Awards Summary'!$J:$J,"NYSERDA")</f>
        <v>0</v>
      </c>
      <c r="DY49" s="55">
        <f>SUMIFS('Disbursements Summary'!$E:$E,'Disbursements Summary'!$C:$C,$C49,'Disbursements Summary'!$A:$A,"NYSERDA")</f>
        <v>0</v>
      </c>
      <c r="DZ49" s="55">
        <f>SUMIFS('Awards Summary'!$H:$H,'Awards Summary'!$B:$B,$C49,'Awards Summary'!$J:$J,"DHCR")</f>
        <v>0</v>
      </c>
      <c r="EA49" s="55">
        <f>SUMIFS('Disbursements Summary'!$E:$E,'Disbursements Summary'!$C:$C,$C49,'Disbursements Summary'!$A:$A,"DHCR")</f>
        <v>0</v>
      </c>
      <c r="EB49" s="55">
        <f>SUMIFS('Awards Summary'!$H:$H,'Awards Summary'!$B:$B,$C49,'Awards Summary'!$J:$J,"HFA")</f>
        <v>0</v>
      </c>
      <c r="EC49" s="55">
        <f>SUMIFS('Disbursements Summary'!$E:$E,'Disbursements Summary'!$C:$C,$C49,'Disbursements Summary'!$A:$A,"HFA")</f>
        <v>0</v>
      </c>
      <c r="ED49" s="55">
        <f>SUMIFS('Awards Summary'!$H:$H,'Awards Summary'!$B:$B,$C49,'Awards Summary'!$J:$J,"NYSIF")</f>
        <v>0</v>
      </c>
      <c r="EE49" s="55">
        <f>SUMIFS('Disbursements Summary'!$E:$E,'Disbursements Summary'!$C:$C,$C49,'Disbursements Summary'!$A:$A,"NYSIF")</f>
        <v>0</v>
      </c>
      <c r="EF49" s="55">
        <f>SUMIFS('Awards Summary'!$H:$H,'Awards Summary'!$B:$B,$C49,'Awards Summary'!$J:$J,"NYBREDS")</f>
        <v>0</v>
      </c>
      <c r="EG49" s="55">
        <f>SUMIFS('Disbursements Summary'!$E:$E,'Disbursements Summary'!$C:$C,$C49,'Disbursements Summary'!$A:$A,"NYBREDS")</f>
        <v>0</v>
      </c>
      <c r="EH49" s="55">
        <f>SUMIFS('Awards Summary'!$H:$H,'Awards Summary'!$B:$B,$C49,'Awards Summary'!$J:$J,"NYSTA")</f>
        <v>0</v>
      </c>
      <c r="EI49" s="55">
        <f>SUMIFS('Disbursements Summary'!$E:$E,'Disbursements Summary'!$C:$C,$C49,'Disbursements Summary'!$A:$A,"NYSTA")</f>
        <v>0</v>
      </c>
      <c r="EJ49" s="55">
        <f>SUMIFS('Awards Summary'!$H:$H,'Awards Summary'!$B:$B,$C49,'Awards Summary'!$J:$J,"NFWB")</f>
        <v>0</v>
      </c>
      <c r="EK49" s="55">
        <f>SUMIFS('Disbursements Summary'!$E:$E,'Disbursements Summary'!$C:$C,$C49,'Disbursements Summary'!$A:$A,"NFWB")</f>
        <v>0</v>
      </c>
      <c r="EL49" s="55">
        <f>SUMIFS('Awards Summary'!$H:$H,'Awards Summary'!$B:$B,$C49,'Awards Summary'!$J:$J,"NFTA")</f>
        <v>0</v>
      </c>
      <c r="EM49" s="55">
        <f>SUMIFS('Disbursements Summary'!$E:$E,'Disbursements Summary'!$C:$C,$C49,'Disbursements Summary'!$A:$A,"NFTA")</f>
        <v>0</v>
      </c>
      <c r="EN49" s="55">
        <f>SUMIFS('Awards Summary'!$H:$H,'Awards Summary'!$B:$B,$C49,'Awards Summary'!$J:$J,"OPWDD")</f>
        <v>0</v>
      </c>
      <c r="EO49" s="55">
        <f>SUMIFS('Disbursements Summary'!$E:$E,'Disbursements Summary'!$C:$C,$C49,'Disbursements Summary'!$A:$A,"OPWDD")</f>
        <v>0</v>
      </c>
      <c r="EP49" s="55">
        <f>SUMIFS('Awards Summary'!$H:$H,'Awards Summary'!$B:$B,$C49,'Awards Summary'!$J:$J,"AGING")</f>
        <v>0</v>
      </c>
      <c r="EQ49" s="55">
        <f>SUMIFS('Disbursements Summary'!$E:$E,'Disbursements Summary'!$C:$C,$C49,'Disbursements Summary'!$A:$A,"AGING")</f>
        <v>0</v>
      </c>
      <c r="ER49" s="55">
        <f>SUMIFS('Awards Summary'!$H:$H,'Awards Summary'!$B:$B,$C49,'Awards Summary'!$J:$J,"OPDV")</f>
        <v>0</v>
      </c>
      <c r="ES49" s="55">
        <f>SUMIFS('Disbursements Summary'!$E:$E,'Disbursements Summary'!$C:$C,$C49,'Disbursements Summary'!$A:$A,"OPDV")</f>
        <v>0</v>
      </c>
      <c r="ET49" s="55">
        <f>SUMIFS('Awards Summary'!$H:$H,'Awards Summary'!$B:$B,$C49,'Awards Summary'!$J:$J,"OVS")</f>
        <v>0</v>
      </c>
      <c r="EU49" s="55">
        <f>SUMIFS('Disbursements Summary'!$E:$E,'Disbursements Summary'!$C:$C,$C49,'Disbursements Summary'!$A:$A,"OVS")</f>
        <v>0</v>
      </c>
      <c r="EV49" s="55">
        <f>SUMIFS('Awards Summary'!$H:$H,'Awards Summary'!$B:$B,$C49,'Awards Summary'!$J:$J,"OASAS")</f>
        <v>0</v>
      </c>
      <c r="EW49" s="55">
        <f>SUMIFS('Disbursements Summary'!$E:$E,'Disbursements Summary'!$C:$C,$C49,'Disbursements Summary'!$A:$A,"OASAS")</f>
        <v>0</v>
      </c>
      <c r="EX49" s="55">
        <f>SUMIFS('Awards Summary'!$H:$H,'Awards Summary'!$B:$B,$C49,'Awards Summary'!$J:$J,"OCFS")</f>
        <v>0</v>
      </c>
      <c r="EY49" s="55">
        <f>SUMIFS('Disbursements Summary'!$E:$E,'Disbursements Summary'!$C:$C,$C49,'Disbursements Summary'!$A:$A,"OCFS")</f>
        <v>0</v>
      </c>
      <c r="EZ49" s="55">
        <f>SUMIFS('Awards Summary'!$H:$H,'Awards Summary'!$B:$B,$C49,'Awards Summary'!$J:$J,"OGS")</f>
        <v>0</v>
      </c>
      <c r="FA49" s="55">
        <f>SUMIFS('Disbursements Summary'!$E:$E,'Disbursements Summary'!$C:$C,$C49,'Disbursements Summary'!$A:$A,"OGS")</f>
        <v>0</v>
      </c>
      <c r="FB49" s="55">
        <f>SUMIFS('Awards Summary'!$H:$H,'Awards Summary'!$B:$B,$C49,'Awards Summary'!$J:$J,"OMH")</f>
        <v>0</v>
      </c>
      <c r="FC49" s="55">
        <f>SUMIFS('Disbursements Summary'!$E:$E,'Disbursements Summary'!$C:$C,$C49,'Disbursements Summary'!$A:$A,"OMH")</f>
        <v>0</v>
      </c>
      <c r="FD49" s="55">
        <f>SUMIFS('Awards Summary'!$H:$H,'Awards Summary'!$B:$B,$C49,'Awards Summary'!$J:$J,"PARKS")</f>
        <v>0</v>
      </c>
      <c r="FE49" s="55">
        <f>SUMIFS('Disbursements Summary'!$E:$E,'Disbursements Summary'!$C:$C,$C49,'Disbursements Summary'!$A:$A,"PARKS")</f>
        <v>0</v>
      </c>
      <c r="FF49" s="55">
        <f>SUMIFS('Awards Summary'!$H:$H,'Awards Summary'!$B:$B,$C49,'Awards Summary'!$J:$J,"OTDA")</f>
        <v>0</v>
      </c>
      <c r="FG49" s="55">
        <f>SUMIFS('Disbursements Summary'!$E:$E,'Disbursements Summary'!$C:$C,$C49,'Disbursements Summary'!$A:$A,"OTDA")</f>
        <v>0</v>
      </c>
      <c r="FH49" s="55">
        <f>SUMIFS('Awards Summary'!$H:$H,'Awards Summary'!$B:$B,$C49,'Awards Summary'!$J:$J,"OIG")</f>
        <v>0</v>
      </c>
      <c r="FI49" s="55">
        <f>SUMIFS('Disbursements Summary'!$E:$E,'Disbursements Summary'!$C:$C,$C49,'Disbursements Summary'!$A:$A,"OIG")</f>
        <v>0</v>
      </c>
      <c r="FJ49" s="55">
        <f>SUMIFS('Awards Summary'!$H:$H,'Awards Summary'!$B:$B,$C49,'Awards Summary'!$J:$J,"OMIG")</f>
        <v>0</v>
      </c>
      <c r="FK49" s="55">
        <f>SUMIFS('Disbursements Summary'!$E:$E,'Disbursements Summary'!$C:$C,$C49,'Disbursements Summary'!$A:$A,"OMIG")</f>
        <v>0</v>
      </c>
      <c r="FL49" s="55">
        <f>SUMIFS('Awards Summary'!$H:$H,'Awards Summary'!$B:$B,$C49,'Awards Summary'!$J:$J,"OSC")</f>
        <v>0</v>
      </c>
      <c r="FM49" s="55">
        <f>SUMIFS('Disbursements Summary'!$E:$E,'Disbursements Summary'!$C:$C,$C49,'Disbursements Summary'!$A:$A,"OSC")</f>
        <v>0</v>
      </c>
      <c r="FN49" s="55">
        <f>SUMIFS('Awards Summary'!$H:$H,'Awards Summary'!$B:$B,$C49,'Awards Summary'!$J:$J,"OWIG")</f>
        <v>0</v>
      </c>
      <c r="FO49" s="55">
        <f>SUMIFS('Disbursements Summary'!$E:$E,'Disbursements Summary'!$C:$C,$C49,'Disbursements Summary'!$A:$A,"OWIG")</f>
        <v>0</v>
      </c>
      <c r="FP49" s="55">
        <f>SUMIFS('Awards Summary'!$H:$H,'Awards Summary'!$B:$B,$C49,'Awards Summary'!$J:$J,"OGDEN")</f>
        <v>0</v>
      </c>
      <c r="FQ49" s="55">
        <f>SUMIFS('Disbursements Summary'!$E:$E,'Disbursements Summary'!$C:$C,$C49,'Disbursements Summary'!$A:$A,"OGDEN")</f>
        <v>0</v>
      </c>
      <c r="FR49" s="55">
        <f>SUMIFS('Awards Summary'!$H:$H,'Awards Summary'!$B:$B,$C49,'Awards Summary'!$J:$J,"ORDA")</f>
        <v>0</v>
      </c>
      <c r="FS49" s="55">
        <f>SUMIFS('Disbursements Summary'!$E:$E,'Disbursements Summary'!$C:$C,$C49,'Disbursements Summary'!$A:$A,"ORDA")</f>
        <v>0</v>
      </c>
      <c r="FT49" s="55">
        <f>SUMIFS('Awards Summary'!$H:$H,'Awards Summary'!$B:$B,$C49,'Awards Summary'!$J:$J,"OSWEGO")</f>
        <v>0</v>
      </c>
      <c r="FU49" s="55">
        <f>SUMIFS('Disbursements Summary'!$E:$E,'Disbursements Summary'!$C:$C,$C49,'Disbursements Summary'!$A:$A,"OSWEGO")</f>
        <v>0</v>
      </c>
      <c r="FV49" s="55">
        <f>SUMIFS('Awards Summary'!$H:$H,'Awards Summary'!$B:$B,$C49,'Awards Summary'!$J:$J,"PERB")</f>
        <v>0</v>
      </c>
      <c r="FW49" s="55">
        <f>SUMIFS('Disbursements Summary'!$E:$E,'Disbursements Summary'!$C:$C,$C49,'Disbursements Summary'!$A:$A,"PERB")</f>
        <v>0</v>
      </c>
      <c r="FX49" s="55">
        <f>SUMIFS('Awards Summary'!$H:$H,'Awards Summary'!$B:$B,$C49,'Awards Summary'!$J:$J,"RGRTA")</f>
        <v>0</v>
      </c>
      <c r="FY49" s="55">
        <f>SUMIFS('Disbursements Summary'!$E:$E,'Disbursements Summary'!$C:$C,$C49,'Disbursements Summary'!$A:$A,"RGRTA")</f>
        <v>0</v>
      </c>
      <c r="FZ49" s="55">
        <f>SUMIFS('Awards Summary'!$H:$H,'Awards Summary'!$B:$B,$C49,'Awards Summary'!$J:$J,"RIOC")</f>
        <v>0</v>
      </c>
      <c r="GA49" s="55">
        <f>SUMIFS('Disbursements Summary'!$E:$E,'Disbursements Summary'!$C:$C,$C49,'Disbursements Summary'!$A:$A,"RIOC")</f>
        <v>0</v>
      </c>
      <c r="GB49" s="55">
        <f>SUMIFS('Awards Summary'!$H:$H,'Awards Summary'!$B:$B,$C49,'Awards Summary'!$J:$J,"RPCI")</f>
        <v>0</v>
      </c>
      <c r="GC49" s="55">
        <f>SUMIFS('Disbursements Summary'!$E:$E,'Disbursements Summary'!$C:$C,$C49,'Disbursements Summary'!$A:$A,"RPCI")</f>
        <v>0</v>
      </c>
      <c r="GD49" s="55">
        <f>SUMIFS('Awards Summary'!$H:$H,'Awards Summary'!$B:$B,$C49,'Awards Summary'!$J:$J,"SMDA")</f>
        <v>0</v>
      </c>
      <c r="GE49" s="55">
        <f>SUMIFS('Disbursements Summary'!$E:$E,'Disbursements Summary'!$C:$C,$C49,'Disbursements Summary'!$A:$A,"SMDA")</f>
        <v>0</v>
      </c>
      <c r="GF49" s="55">
        <f>SUMIFS('Awards Summary'!$H:$H,'Awards Summary'!$B:$B,$C49,'Awards Summary'!$J:$J,"SCOC")</f>
        <v>0</v>
      </c>
      <c r="GG49" s="55">
        <f>SUMIFS('Disbursements Summary'!$E:$E,'Disbursements Summary'!$C:$C,$C49,'Disbursements Summary'!$A:$A,"SCOC")</f>
        <v>0</v>
      </c>
      <c r="GH49" s="55">
        <f>SUMIFS('Awards Summary'!$H:$H,'Awards Summary'!$B:$B,$C49,'Awards Summary'!$J:$J,"SUCF")</f>
        <v>0</v>
      </c>
      <c r="GI49" s="55">
        <f>SUMIFS('Disbursements Summary'!$E:$E,'Disbursements Summary'!$C:$C,$C49,'Disbursements Summary'!$A:$A,"SUCF")</f>
        <v>0</v>
      </c>
      <c r="GJ49" s="55">
        <f>SUMIFS('Awards Summary'!$H:$H,'Awards Summary'!$B:$B,$C49,'Awards Summary'!$J:$J,"SUNY")</f>
        <v>0</v>
      </c>
      <c r="GK49" s="55">
        <f>SUMIFS('Disbursements Summary'!$E:$E,'Disbursements Summary'!$C:$C,$C49,'Disbursements Summary'!$A:$A,"SUNY")</f>
        <v>0</v>
      </c>
      <c r="GL49" s="55">
        <f>SUMIFS('Awards Summary'!$H:$H,'Awards Summary'!$B:$B,$C49,'Awards Summary'!$J:$J,"SRAA")</f>
        <v>0</v>
      </c>
      <c r="GM49" s="55">
        <f>SUMIFS('Disbursements Summary'!$E:$E,'Disbursements Summary'!$C:$C,$C49,'Disbursements Summary'!$A:$A,"SRAA")</f>
        <v>0</v>
      </c>
      <c r="GN49" s="55">
        <f>SUMIFS('Awards Summary'!$H:$H,'Awards Summary'!$B:$B,$C49,'Awards Summary'!$J:$J,"UNDC")</f>
        <v>0</v>
      </c>
      <c r="GO49" s="55">
        <f>SUMIFS('Disbursements Summary'!$E:$E,'Disbursements Summary'!$C:$C,$C49,'Disbursements Summary'!$A:$A,"UNDC")</f>
        <v>0</v>
      </c>
      <c r="GP49" s="55">
        <f>SUMIFS('Awards Summary'!$H:$H,'Awards Summary'!$B:$B,$C49,'Awards Summary'!$J:$J,"MVWA")</f>
        <v>0</v>
      </c>
      <c r="GQ49" s="55">
        <f>SUMIFS('Disbursements Summary'!$E:$E,'Disbursements Summary'!$C:$C,$C49,'Disbursements Summary'!$A:$A,"MVWA")</f>
        <v>0</v>
      </c>
      <c r="GR49" s="55">
        <f>SUMIFS('Awards Summary'!$H:$H,'Awards Summary'!$B:$B,$C49,'Awards Summary'!$J:$J,"WMC")</f>
        <v>0</v>
      </c>
      <c r="GS49" s="55">
        <f>SUMIFS('Disbursements Summary'!$E:$E,'Disbursements Summary'!$C:$C,$C49,'Disbursements Summary'!$A:$A,"WMC")</f>
        <v>0</v>
      </c>
      <c r="GT49" s="55">
        <f>SUMIFS('Awards Summary'!$H:$H,'Awards Summary'!$B:$B,$C49,'Awards Summary'!$J:$J,"WCB")</f>
        <v>0</v>
      </c>
      <c r="GU49" s="55">
        <f>SUMIFS('Disbursements Summary'!$E:$E,'Disbursements Summary'!$C:$C,$C49,'Disbursements Summary'!$A:$A,"WCB")</f>
        <v>0</v>
      </c>
      <c r="GV49" s="32">
        <f t="shared" si="5"/>
        <v>0</v>
      </c>
      <c r="GW49" s="32">
        <f t="shared" si="6"/>
        <v>0</v>
      </c>
      <c r="GX49" s="30" t="b">
        <f t="shared" si="7"/>
        <v>1</v>
      </c>
      <c r="GY49" s="30" t="b">
        <f t="shared" si="8"/>
        <v>1</v>
      </c>
    </row>
    <row r="50" spans="1:207" s="30" customFormat="1">
      <c r="A50" s="22" t="str">
        <f t="shared" si="0"/>
        <v/>
      </c>
      <c r="B50" s="40" t="s">
        <v>75</v>
      </c>
      <c r="C50" s="16">
        <v>151086</v>
      </c>
      <c r="D50" s="26">
        <f>COUNTIF('Awards Summary'!B:B,"151086")</f>
        <v>0</v>
      </c>
      <c r="E50" s="45">
        <f>SUMIFS('Awards Summary'!H:H,'Awards Summary'!B:B,"151086")</f>
        <v>0</v>
      </c>
      <c r="F50" s="46">
        <f>SUMIFS('Disbursements Summary'!E:E,'Disbursements Summary'!C:C, "151086")</f>
        <v>0</v>
      </c>
      <c r="H50" s="55">
        <f>SUMIFS('Awards Summary'!$H:$H,'Awards Summary'!$B:$B,$C50,'Awards Summary'!$J:$J,"APA")</f>
        <v>0</v>
      </c>
      <c r="I50" s="55">
        <f>SUMIFS('Disbursements Summary'!$E:$E,'Disbursements Summary'!$C:$C,$C50,'Disbursements Summary'!$A:$A,"APA")</f>
        <v>0</v>
      </c>
      <c r="J50" s="55">
        <f>SUMIFS('Awards Summary'!$H:$H,'Awards Summary'!$B:$B,$C50,'Awards Summary'!$J:$J,"Ag&amp;Horse")</f>
        <v>0</v>
      </c>
      <c r="K50" s="55">
        <f>SUMIFS('Disbursements Summary'!$E:$E,'Disbursements Summary'!$C:$C,$C50,'Disbursements Summary'!$A:$A,"Ag&amp;Horse")</f>
        <v>0</v>
      </c>
      <c r="L50" s="55">
        <f>SUMIFS('Awards Summary'!$H:$H,'Awards Summary'!$B:$B,$C50,'Awards Summary'!$J:$J,"ACAA")</f>
        <v>0</v>
      </c>
      <c r="M50" s="55">
        <f>SUMIFS('Disbursements Summary'!$E:$E,'Disbursements Summary'!$C:$C,$C50,'Disbursements Summary'!$A:$A,"ACAA")</f>
        <v>0</v>
      </c>
      <c r="N50" s="55">
        <f>SUMIFS('Awards Summary'!$H:$H,'Awards Summary'!$B:$B,$C50,'Awards Summary'!$J:$J,"PortAlbany")</f>
        <v>0</v>
      </c>
      <c r="O50" s="55">
        <f>SUMIFS('Disbursements Summary'!$E:$E,'Disbursements Summary'!$C:$C,$C50,'Disbursements Summary'!$A:$A,"PortAlbany")</f>
        <v>0</v>
      </c>
      <c r="P50" s="55">
        <f>SUMIFS('Awards Summary'!$H:$H,'Awards Summary'!$B:$B,$C50,'Awards Summary'!$J:$J,"SLA")</f>
        <v>0</v>
      </c>
      <c r="Q50" s="55">
        <f>SUMIFS('Disbursements Summary'!$E:$E,'Disbursements Summary'!$C:$C,$C50,'Disbursements Summary'!$A:$A,"SLA")</f>
        <v>0</v>
      </c>
      <c r="R50" s="55">
        <f>SUMIFS('Awards Summary'!$H:$H,'Awards Summary'!$B:$B,$C50,'Awards Summary'!$J:$J,"BPCA")</f>
        <v>0</v>
      </c>
      <c r="S50" s="55">
        <f>SUMIFS('Disbursements Summary'!$E:$E,'Disbursements Summary'!$C:$C,$C50,'Disbursements Summary'!$A:$A,"BPCA")</f>
        <v>0</v>
      </c>
      <c r="T50" s="55">
        <f>SUMIFS('Awards Summary'!$H:$H,'Awards Summary'!$B:$B,$C50,'Awards Summary'!$J:$J,"ELECTIONS")</f>
        <v>0</v>
      </c>
      <c r="U50" s="55">
        <f>SUMIFS('Disbursements Summary'!$E:$E,'Disbursements Summary'!$C:$C,$C50,'Disbursements Summary'!$A:$A,"ELECTIONS")</f>
        <v>0</v>
      </c>
      <c r="V50" s="55">
        <f>SUMIFS('Awards Summary'!$H:$H,'Awards Summary'!$B:$B,$C50,'Awards Summary'!$J:$J,"BFSA")</f>
        <v>0</v>
      </c>
      <c r="W50" s="55">
        <f>SUMIFS('Disbursements Summary'!$E:$E,'Disbursements Summary'!$C:$C,$C50,'Disbursements Summary'!$A:$A,"BFSA")</f>
        <v>0</v>
      </c>
      <c r="X50" s="55">
        <f>SUMIFS('Awards Summary'!$H:$H,'Awards Summary'!$B:$B,$C50,'Awards Summary'!$J:$J,"CDTA")</f>
        <v>0</v>
      </c>
      <c r="Y50" s="55">
        <f>SUMIFS('Disbursements Summary'!$E:$E,'Disbursements Summary'!$C:$C,$C50,'Disbursements Summary'!$A:$A,"CDTA")</f>
        <v>0</v>
      </c>
      <c r="Z50" s="55">
        <f>SUMIFS('Awards Summary'!$H:$H,'Awards Summary'!$B:$B,$C50,'Awards Summary'!$J:$J,"CCWSA")</f>
        <v>0</v>
      </c>
      <c r="AA50" s="55">
        <f>SUMIFS('Disbursements Summary'!$E:$E,'Disbursements Summary'!$C:$C,$C50,'Disbursements Summary'!$A:$A,"CCWSA")</f>
        <v>0</v>
      </c>
      <c r="AB50" s="55">
        <f>SUMIFS('Awards Summary'!$H:$H,'Awards Summary'!$B:$B,$C50,'Awards Summary'!$J:$J,"CNYRTA")</f>
        <v>0</v>
      </c>
      <c r="AC50" s="55">
        <f>SUMIFS('Disbursements Summary'!$E:$E,'Disbursements Summary'!$C:$C,$C50,'Disbursements Summary'!$A:$A,"CNYRTA")</f>
        <v>0</v>
      </c>
      <c r="AD50" s="55">
        <f>SUMIFS('Awards Summary'!$H:$H,'Awards Summary'!$B:$B,$C50,'Awards Summary'!$J:$J,"CUCF")</f>
        <v>0</v>
      </c>
      <c r="AE50" s="55">
        <f>SUMIFS('Disbursements Summary'!$E:$E,'Disbursements Summary'!$C:$C,$C50,'Disbursements Summary'!$A:$A,"CUCF")</f>
        <v>0</v>
      </c>
      <c r="AF50" s="55">
        <f>SUMIFS('Awards Summary'!$H:$H,'Awards Summary'!$B:$B,$C50,'Awards Summary'!$J:$J,"CUNY")</f>
        <v>0</v>
      </c>
      <c r="AG50" s="55">
        <f>SUMIFS('Disbursements Summary'!$E:$E,'Disbursements Summary'!$C:$C,$C50,'Disbursements Summary'!$A:$A,"CUNY")</f>
        <v>0</v>
      </c>
      <c r="AH50" s="55">
        <f>SUMIFS('Awards Summary'!$H:$H,'Awards Summary'!$B:$B,$C50,'Awards Summary'!$J:$J,"ARTS")</f>
        <v>0</v>
      </c>
      <c r="AI50" s="55">
        <f>SUMIFS('Disbursements Summary'!$E:$E,'Disbursements Summary'!$C:$C,$C50,'Disbursements Summary'!$A:$A,"ARTS")</f>
        <v>0</v>
      </c>
      <c r="AJ50" s="55">
        <f>SUMIFS('Awards Summary'!$H:$H,'Awards Summary'!$B:$B,$C50,'Awards Summary'!$J:$J,"AG&amp;MKTS")</f>
        <v>0</v>
      </c>
      <c r="AK50" s="55">
        <f>SUMIFS('Disbursements Summary'!$E:$E,'Disbursements Summary'!$C:$C,$C50,'Disbursements Summary'!$A:$A,"AG&amp;MKTS")</f>
        <v>0</v>
      </c>
      <c r="AL50" s="55">
        <f>SUMIFS('Awards Summary'!$H:$H,'Awards Summary'!$B:$B,$C50,'Awards Summary'!$J:$J,"CS")</f>
        <v>0</v>
      </c>
      <c r="AM50" s="55">
        <f>SUMIFS('Disbursements Summary'!$E:$E,'Disbursements Summary'!$C:$C,$C50,'Disbursements Summary'!$A:$A,"CS")</f>
        <v>0</v>
      </c>
      <c r="AN50" s="55">
        <f>SUMIFS('Awards Summary'!$H:$H,'Awards Summary'!$B:$B,$C50,'Awards Summary'!$J:$J,"DOCCS")</f>
        <v>0</v>
      </c>
      <c r="AO50" s="55">
        <f>SUMIFS('Disbursements Summary'!$E:$E,'Disbursements Summary'!$C:$C,$C50,'Disbursements Summary'!$A:$A,"DOCCS")</f>
        <v>0</v>
      </c>
      <c r="AP50" s="55">
        <f>SUMIFS('Awards Summary'!$H:$H,'Awards Summary'!$B:$B,$C50,'Awards Summary'!$J:$J,"DED")</f>
        <v>0</v>
      </c>
      <c r="AQ50" s="55">
        <f>SUMIFS('Disbursements Summary'!$E:$E,'Disbursements Summary'!$C:$C,$C50,'Disbursements Summary'!$A:$A,"DED")</f>
        <v>0</v>
      </c>
      <c r="AR50" s="55">
        <f>SUMIFS('Awards Summary'!$H:$H,'Awards Summary'!$B:$B,$C50,'Awards Summary'!$J:$J,"DEC")</f>
        <v>0</v>
      </c>
      <c r="AS50" s="55">
        <f>SUMIFS('Disbursements Summary'!$E:$E,'Disbursements Summary'!$C:$C,$C50,'Disbursements Summary'!$A:$A,"DEC")</f>
        <v>0</v>
      </c>
      <c r="AT50" s="55">
        <f>SUMIFS('Awards Summary'!$H:$H,'Awards Summary'!$B:$B,$C50,'Awards Summary'!$J:$J,"DFS")</f>
        <v>0</v>
      </c>
      <c r="AU50" s="55">
        <f>SUMIFS('Disbursements Summary'!$E:$E,'Disbursements Summary'!$C:$C,$C50,'Disbursements Summary'!$A:$A,"DFS")</f>
        <v>0</v>
      </c>
      <c r="AV50" s="55">
        <f>SUMIFS('Awards Summary'!$H:$H,'Awards Summary'!$B:$B,$C50,'Awards Summary'!$J:$J,"DOH")</f>
        <v>0</v>
      </c>
      <c r="AW50" s="55">
        <f>SUMIFS('Disbursements Summary'!$E:$E,'Disbursements Summary'!$C:$C,$C50,'Disbursements Summary'!$A:$A,"DOH")</f>
        <v>0</v>
      </c>
      <c r="AX50" s="55">
        <f>SUMIFS('Awards Summary'!$H:$H,'Awards Summary'!$B:$B,$C50,'Awards Summary'!$J:$J,"DOL")</f>
        <v>0</v>
      </c>
      <c r="AY50" s="55">
        <f>SUMIFS('Disbursements Summary'!$E:$E,'Disbursements Summary'!$C:$C,$C50,'Disbursements Summary'!$A:$A,"DOL")</f>
        <v>0</v>
      </c>
      <c r="AZ50" s="55">
        <f>SUMIFS('Awards Summary'!$H:$H,'Awards Summary'!$B:$B,$C50,'Awards Summary'!$J:$J,"DMV")</f>
        <v>0</v>
      </c>
      <c r="BA50" s="55">
        <f>SUMIFS('Disbursements Summary'!$E:$E,'Disbursements Summary'!$C:$C,$C50,'Disbursements Summary'!$A:$A,"DMV")</f>
        <v>0</v>
      </c>
      <c r="BB50" s="55">
        <f>SUMIFS('Awards Summary'!$H:$H,'Awards Summary'!$B:$B,$C50,'Awards Summary'!$J:$J,"DPS")</f>
        <v>0</v>
      </c>
      <c r="BC50" s="55">
        <f>SUMIFS('Disbursements Summary'!$E:$E,'Disbursements Summary'!$C:$C,$C50,'Disbursements Summary'!$A:$A,"DPS")</f>
        <v>0</v>
      </c>
      <c r="BD50" s="55">
        <f>SUMIFS('Awards Summary'!$H:$H,'Awards Summary'!$B:$B,$C50,'Awards Summary'!$J:$J,"DOS")</f>
        <v>0</v>
      </c>
      <c r="BE50" s="55">
        <f>SUMIFS('Disbursements Summary'!$E:$E,'Disbursements Summary'!$C:$C,$C50,'Disbursements Summary'!$A:$A,"DOS")</f>
        <v>0</v>
      </c>
      <c r="BF50" s="55">
        <f>SUMIFS('Awards Summary'!$H:$H,'Awards Summary'!$B:$B,$C50,'Awards Summary'!$J:$J,"TAX")</f>
        <v>0</v>
      </c>
      <c r="BG50" s="55">
        <f>SUMIFS('Disbursements Summary'!$E:$E,'Disbursements Summary'!$C:$C,$C50,'Disbursements Summary'!$A:$A,"TAX")</f>
        <v>0</v>
      </c>
      <c r="BH50" s="55">
        <f>SUMIFS('Awards Summary'!$H:$H,'Awards Summary'!$B:$B,$C50,'Awards Summary'!$J:$J,"DOT")</f>
        <v>0</v>
      </c>
      <c r="BI50" s="55">
        <f>SUMIFS('Disbursements Summary'!$E:$E,'Disbursements Summary'!$C:$C,$C50,'Disbursements Summary'!$A:$A,"DOT")</f>
        <v>0</v>
      </c>
      <c r="BJ50" s="55">
        <f>SUMIFS('Awards Summary'!$H:$H,'Awards Summary'!$B:$B,$C50,'Awards Summary'!$J:$J,"DANC")</f>
        <v>0</v>
      </c>
      <c r="BK50" s="55">
        <f>SUMIFS('Disbursements Summary'!$E:$E,'Disbursements Summary'!$C:$C,$C50,'Disbursements Summary'!$A:$A,"DANC")</f>
        <v>0</v>
      </c>
      <c r="BL50" s="55">
        <f>SUMIFS('Awards Summary'!$H:$H,'Awards Summary'!$B:$B,$C50,'Awards Summary'!$J:$J,"DOB")</f>
        <v>0</v>
      </c>
      <c r="BM50" s="55">
        <f>SUMIFS('Disbursements Summary'!$E:$E,'Disbursements Summary'!$C:$C,$C50,'Disbursements Summary'!$A:$A,"DOB")</f>
        <v>0</v>
      </c>
      <c r="BN50" s="55">
        <f>SUMIFS('Awards Summary'!$H:$H,'Awards Summary'!$B:$B,$C50,'Awards Summary'!$J:$J,"DCJS")</f>
        <v>0</v>
      </c>
      <c r="BO50" s="55">
        <f>SUMIFS('Disbursements Summary'!$E:$E,'Disbursements Summary'!$C:$C,$C50,'Disbursements Summary'!$A:$A,"DCJS")</f>
        <v>0</v>
      </c>
      <c r="BP50" s="55">
        <f>SUMIFS('Awards Summary'!$H:$H,'Awards Summary'!$B:$B,$C50,'Awards Summary'!$J:$J,"DHSES")</f>
        <v>0</v>
      </c>
      <c r="BQ50" s="55">
        <f>SUMIFS('Disbursements Summary'!$E:$E,'Disbursements Summary'!$C:$C,$C50,'Disbursements Summary'!$A:$A,"DHSES")</f>
        <v>0</v>
      </c>
      <c r="BR50" s="55">
        <f>SUMIFS('Awards Summary'!$H:$H,'Awards Summary'!$B:$B,$C50,'Awards Summary'!$J:$J,"DHR")</f>
        <v>0</v>
      </c>
      <c r="BS50" s="55">
        <f>SUMIFS('Disbursements Summary'!$E:$E,'Disbursements Summary'!$C:$C,$C50,'Disbursements Summary'!$A:$A,"DHR")</f>
        <v>0</v>
      </c>
      <c r="BT50" s="55">
        <f>SUMIFS('Awards Summary'!$H:$H,'Awards Summary'!$B:$B,$C50,'Awards Summary'!$J:$J,"DMNA")</f>
        <v>0</v>
      </c>
      <c r="BU50" s="55">
        <f>SUMIFS('Disbursements Summary'!$E:$E,'Disbursements Summary'!$C:$C,$C50,'Disbursements Summary'!$A:$A,"DMNA")</f>
        <v>0</v>
      </c>
      <c r="BV50" s="55">
        <f>SUMIFS('Awards Summary'!$H:$H,'Awards Summary'!$B:$B,$C50,'Awards Summary'!$J:$J,"TROOPERS")</f>
        <v>0</v>
      </c>
      <c r="BW50" s="55">
        <f>SUMIFS('Disbursements Summary'!$E:$E,'Disbursements Summary'!$C:$C,$C50,'Disbursements Summary'!$A:$A,"TROOPERS")</f>
        <v>0</v>
      </c>
      <c r="BX50" s="55">
        <f>SUMIFS('Awards Summary'!$H:$H,'Awards Summary'!$B:$B,$C50,'Awards Summary'!$J:$J,"DVA")</f>
        <v>0</v>
      </c>
      <c r="BY50" s="55">
        <f>SUMIFS('Disbursements Summary'!$E:$E,'Disbursements Summary'!$C:$C,$C50,'Disbursements Summary'!$A:$A,"DVA")</f>
        <v>0</v>
      </c>
      <c r="BZ50" s="55">
        <f>SUMIFS('Awards Summary'!$H:$H,'Awards Summary'!$B:$B,$C50,'Awards Summary'!$J:$J,"DASNY")</f>
        <v>0</v>
      </c>
      <c r="CA50" s="55">
        <f>SUMIFS('Disbursements Summary'!$E:$E,'Disbursements Summary'!$C:$C,$C50,'Disbursements Summary'!$A:$A,"DASNY")</f>
        <v>0</v>
      </c>
      <c r="CB50" s="55">
        <f>SUMIFS('Awards Summary'!$H:$H,'Awards Summary'!$B:$B,$C50,'Awards Summary'!$J:$J,"EGG")</f>
        <v>0</v>
      </c>
      <c r="CC50" s="55">
        <f>SUMIFS('Disbursements Summary'!$E:$E,'Disbursements Summary'!$C:$C,$C50,'Disbursements Summary'!$A:$A,"EGG")</f>
        <v>0</v>
      </c>
      <c r="CD50" s="55">
        <f>SUMIFS('Awards Summary'!$H:$H,'Awards Summary'!$B:$B,$C50,'Awards Summary'!$J:$J,"ESD")</f>
        <v>0</v>
      </c>
      <c r="CE50" s="55">
        <f>SUMIFS('Disbursements Summary'!$E:$E,'Disbursements Summary'!$C:$C,$C50,'Disbursements Summary'!$A:$A,"ESD")</f>
        <v>0</v>
      </c>
      <c r="CF50" s="55">
        <f>SUMIFS('Awards Summary'!$H:$H,'Awards Summary'!$B:$B,$C50,'Awards Summary'!$J:$J,"EFC")</f>
        <v>0</v>
      </c>
      <c r="CG50" s="55">
        <f>SUMIFS('Disbursements Summary'!$E:$E,'Disbursements Summary'!$C:$C,$C50,'Disbursements Summary'!$A:$A,"EFC")</f>
        <v>0</v>
      </c>
      <c r="CH50" s="55">
        <f>SUMIFS('Awards Summary'!$H:$H,'Awards Summary'!$B:$B,$C50,'Awards Summary'!$J:$J,"ECFSA")</f>
        <v>0</v>
      </c>
      <c r="CI50" s="55">
        <f>SUMIFS('Disbursements Summary'!$E:$E,'Disbursements Summary'!$C:$C,$C50,'Disbursements Summary'!$A:$A,"ECFSA")</f>
        <v>0</v>
      </c>
      <c r="CJ50" s="55">
        <f>SUMIFS('Awards Summary'!$H:$H,'Awards Summary'!$B:$B,$C50,'Awards Summary'!$J:$J,"ECMC")</f>
        <v>0</v>
      </c>
      <c r="CK50" s="55">
        <f>SUMIFS('Disbursements Summary'!$E:$E,'Disbursements Summary'!$C:$C,$C50,'Disbursements Summary'!$A:$A,"ECMC")</f>
        <v>0</v>
      </c>
      <c r="CL50" s="55">
        <f>SUMIFS('Awards Summary'!$H:$H,'Awards Summary'!$B:$B,$C50,'Awards Summary'!$J:$J,"CHAMBER")</f>
        <v>0</v>
      </c>
      <c r="CM50" s="55">
        <f>SUMIFS('Disbursements Summary'!$E:$E,'Disbursements Summary'!$C:$C,$C50,'Disbursements Summary'!$A:$A,"CHAMBER")</f>
        <v>0</v>
      </c>
      <c r="CN50" s="55">
        <f>SUMIFS('Awards Summary'!$H:$H,'Awards Summary'!$B:$B,$C50,'Awards Summary'!$J:$J,"GAMING")</f>
        <v>0</v>
      </c>
      <c r="CO50" s="55">
        <f>SUMIFS('Disbursements Summary'!$E:$E,'Disbursements Summary'!$C:$C,$C50,'Disbursements Summary'!$A:$A,"GAMING")</f>
        <v>0</v>
      </c>
      <c r="CP50" s="55">
        <f>SUMIFS('Awards Summary'!$H:$H,'Awards Summary'!$B:$B,$C50,'Awards Summary'!$J:$J,"GOER")</f>
        <v>0</v>
      </c>
      <c r="CQ50" s="55">
        <f>SUMIFS('Disbursements Summary'!$E:$E,'Disbursements Summary'!$C:$C,$C50,'Disbursements Summary'!$A:$A,"GOER")</f>
        <v>0</v>
      </c>
      <c r="CR50" s="55">
        <f>SUMIFS('Awards Summary'!$H:$H,'Awards Summary'!$B:$B,$C50,'Awards Summary'!$J:$J,"HESC")</f>
        <v>0</v>
      </c>
      <c r="CS50" s="55">
        <f>SUMIFS('Disbursements Summary'!$E:$E,'Disbursements Summary'!$C:$C,$C50,'Disbursements Summary'!$A:$A,"HESC")</f>
        <v>0</v>
      </c>
      <c r="CT50" s="55">
        <f>SUMIFS('Awards Summary'!$H:$H,'Awards Summary'!$B:$B,$C50,'Awards Summary'!$J:$J,"GOSR")</f>
        <v>0</v>
      </c>
      <c r="CU50" s="55">
        <f>SUMIFS('Disbursements Summary'!$E:$E,'Disbursements Summary'!$C:$C,$C50,'Disbursements Summary'!$A:$A,"GOSR")</f>
        <v>0</v>
      </c>
      <c r="CV50" s="55">
        <f>SUMIFS('Awards Summary'!$H:$H,'Awards Summary'!$B:$B,$C50,'Awards Summary'!$J:$J,"HRPT")</f>
        <v>0</v>
      </c>
      <c r="CW50" s="55">
        <f>SUMIFS('Disbursements Summary'!$E:$E,'Disbursements Summary'!$C:$C,$C50,'Disbursements Summary'!$A:$A,"HRPT")</f>
        <v>0</v>
      </c>
      <c r="CX50" s="55">
        <f>SUMIFS('Awards Summary'!$H:$H,'Awards Summary'!$B:$B,$C50,'Awards Summary'!$J:$J,"HRBRRD")</f>
        <v>0</v>
      </c>
      <c r="CY50" s="55">
        <f>SUMIFS('Disbursements Summary'!$E:$E,'Disbursements Summary'!$C:$C,$C50,'Disbursements Summary'!$A:$A,"HRBRRD")</f>
        <v>0</v>
      </c>
      <c r="CZ50" s="55">
        <f>SUMIFS('Awards Summary'!$H:$H,'Awards Summary'!$B:$B,$C50,'Awards Summary'!$J:$J,"ITS")</f>
        <v>0</v>
      </c>
      <c r="DA50" s="55">
        <f>SUMIFS('Disbursements Summary'!$E:$E,'Disbursements Summary'!$C:$C,$C50,'Disbursements Summary'!$A:$A,"ITS")</f>
        <v>0</v>
      </c>
      <c r="DB50" s="55">
        <f>SUMIFS('Awards Summary'!$H:$H,'Awards Summary'!$B:$B,$C50,'Awards Summary'!$J:$J,"JAVITS")</f>
        <v>0</v>
      </c>
      <c r="DC50" s="55">
        <f>SUMIFS('Disbursements Summary'!$E:$E,'Disbursements Summary'!$C:$C,$C50,'Disbursements Summary'!$A:$A,"JAVITS")</f>
        <v>0</v>
      </c>
      <c r="DD50" s="55">
        <f>SUMIFS('Awards Summary'!$H:$H,'Awards Summary'!$B:$B,$C50,'Awards Summary'!$J:$J,"JCOPE")</f>
        <v>0</v>
      </c>
      <c r="DE50" s="55">
        <f>SUMIFS('Disbursements Summary'!$E:$E,'Disbursements Summary'!$C:$C,$C50,'Disbursements Summary'!$A:$A,"JCOPE")</f>
        <v>0</v>
      </c>
      <c r="DF50" s="55">
        <f>SUMIFS('Awards Summary'!$H:$H,'Awards Summary'!$B:$B,$C50,'Awards Summary'!$J:$J,"JUSTICE")</f>
        <v>0</v>
      </c>
      <c r="DG50" s="55">
        <f>SUMIFS('Disbursements Summary'!$E:$E,'Disbursements Summary'!$C:$C,$C50,'Disbursements Summary'!$A:$A,"JUSTICE")</f>
        <v>0</v>
      </c>
      <c r="DH50" s="55">
        <f>SUMIFS('Awards Summary'!$H:$H,'Awards Summary'!$B:$B,$C50,'Awards Summary'!$J:$J,"LCWSA")</f>
        <v>0</v>
      </c>
      <c r="DI50" s="55">
        <f>SUMIFS('Disbursements Summary'!$E:$E,'Disbursements Summary'!$C:$C,$C50,'Disbursements Summary'!$A:$A,"LCWSA")</f>
        <v>0</v>
      </c>
      <c r="DJ50" s="55">
        <f>SUMIFS('Awards Summary'!$H:$H,'Awards Summary'!$B:$B,$C50,'Awards Summary'!$J:$J,"LIPA")</f>
        <v>0</v>
      </c>
      <c r="DK50" s="55">
        <f>SUMIFS('Disbursements Summary'!$E:$E,'Disbursements Summary'!$C:$C,$C50,'Disbursements Summary'!$A:$A,"LIPA")</f>
        <v>0</v>
      </c>
      <c r="DL50" s="55">
        <f>SUMIFS('Awards Summary'!$H:$H,'Awards Summary'!$B:$B,$C50,'Awards Summary'!$J:$J,"MTA")</f>
        <v>0</v>
      </c>
      <c r="DM50" s="55">
        <f>SUMIFS('Disbursements Summary'!$E:$E,'Disbursements Summary'!$C:$C,$C50,'Disbursements Summary'!$A:$A,"MTA")</f>
        <v>0</v>
      </c>
      <c r="DN50" s="55">
        <f>SUMIFS('Awards Summary'!$H:$H,'Awards Summary'!$B:$B,$C50,'Awards Summary'!$J:$J,"NIFA")</f>
        <v>0</v>
      </c>
      <c r="DO50" s="55">
        <f>SUMIFS('Disbursements Summary'!$E:$E,'Disbursements Summary'!$C:$C,$C50,'Disbursements Summary'!$A:$A,"NIFA")</f>
        <v>0</v>
      </c>
      <c r="DP50" s="55">
        <f>SUMIFS('Awards Summary'!$H:$H,'Awards Summary'!$B:$B,$C50,'Awards Summary'!$J:$J,"NHCC")</f>
        <v>0</v>
      </c>
      <c r="DQ50" s="55">
        <f>SUMIFS('Disbursements Summary'!$E:$E,'Disbursements Summary'!$C:$C,$C50,'Disbursements Summary'!$A:$A,"NHCC")</f>
        <v>0</v>
      </c>
      <c r="DR50" s="55">
        <f>SUMIFS('Awards Summary'!$H:$H,'Awards Summary'!$B:$B,$C50,'Awards Summary'!$J:$J,"NHT")</f>
        <v>0</v>
      </c>
      <c r="DS50" s="55">
        <f>SUMIFS('Disbursements Summary'!$E:$E,'Disbursements Summary'!$C:$C,$C50,'Disbursements Summary'!$A:$A,"NHT")</f>
        <v>0</v>
      </c>
      <c r="DT50" s="55">
        <f>SUMIFS('Awards Summary'!$H:$H,'Awards Summary'!$B:$B,$C50,'Awards Summary'!$J:$J,"NYPA")</f>
        <v>0</v>
      </c>
      <c r="DU50" s="55">
        <f>SUMIFS('Disbursements Summary'!$E:$E,'Disbursements Summary'!$C:$C,$C50,'Disbursements Summary'!$A:$A,"NYPA")</f>
        <v>0</v>
      </c>
      <c r="DV50" s="55">
        <f>SUMIFS('Awards Summary'!$H:$H,'Awards Summary'!$B:$B,$C50,'Awards Summary'!$J:$J,"NYSBA")</f>
        <v>0</v>
      </c>
      <c r="DW50" s="55">
        <f>SUMIFS('Disbursements Summary'!$E:$E,'Disbursements Summary'!$C:$C,$C50,'Disbursements Summary'!$A:$A,"NYSBA")</f>
        <v>0</v>
      </c>
      <c r="DX50" s="55">
        <f>SUMIFS('Awards Summary'!$H:$H,'Awards Summary'!$B:$B,$C50,'Awards Summary'!$J:$J,"NYSERDA")</f>
        <v>0</v>
      </c>
      <c r="DY50" s="55">
        <f>SUMIFS('Disbursements Summary'!$E:$E,'Disbursements Summary'!$C:$C,$C50,'Disbursements Summary'!$A:$A,"NYSERDA")</f>
        <v>0</v>
      </c>
      <c r="DZ50" s="55">
        <f>SUMIFS('Awards Summary'!$H:$H,'Awards Summary'!$B:$B,$C50,'Awards Summary'!$J:$J,"DHCR")</f>
        <v>0</v>
      </c>
      <c r="EA50" s="55">
        <f>SUMIFS('Disbursements Summary'!$E:$E,'Disbursements Summary'!$C:$C,$C50,'Disbursements Summary'!$A:$A,"DHCR")</f>
        <v>0</v>
      </c>
      <c r="EB50" s="55">
        <f>SUMIFS('Awards Summary'!$H:$H,'Awards Summary'!$B:$B,$C50,'Awards Summary'!$J:$J,"HFA")</f>
        <v>0</v>
      </c>
      <c r="EC50" s="55">
        <f>SUMIFS('Disbursements Summary'!$E:$E,'Disbursements Summary'!$C:$C,$C50,'Disbursements Summary'!$A:$A,"HFA")</f>
        <v>0</v>
      </c>
      <c r="ED50" s="55">
        <f>SUMIFS('Awards Summary'!$H:$H,'Awards Summary'!$B:$B,$C50,'Awards Summary'!$J:$J,"NYSIF")</f>
        <v>0</v>
      </c>
      <c r="EE50" s="55">
        <f>SUMIFS('Disbursements Summary'!$E:$E,'Disbursements Summary'!$C:$C,$C50,'Disbursements Summary'!$A:$A,"NYSIF")</f>
        <v>0</v>
      </c>
      <c r="EF50" s="55">
        <f>SUMIFS('Awards Summary'!$H:$H,'Awards Summary'!$B:$B,$C50,'Awards Summary'!$J:$J,"NYBREDS")</f>
        <v>0</v>
      </c>
      <c r="EG50" s="55">
        <f>SUMIFS('Disbursements Summary'!$E:$E,'Disbursements Summary'!$C:$C,$C50,'Disbursements Summary'!$A:$A,"NYBREDS")</f>
        <v>0</v>
      </c>
      <c r="EH50" s="55">
        <f>SUMIFS('Awards Summary'!$H:$H,'Awards Summary'!$B:$B,$C50,'Awards Summary'!$J:$J,"NYSTA")</f>
        <v>0</v>
      </c>
      <c r="EI50" s="55">
        <f>SUMIFS('Disbursements Summary'!$E:$E,'Disbursements Summary'!$C:$C,$C50,'Disbursements Summary'!$A:$A,"NYSTA")</f>
        <v>0</v>
      </c>
      <c r="EJ50" s="55">
        <f>SUMIFS('Awards Summary'!$H:$H,'Awards Summary'!$B:$B,$C50,'Awards Summary'!$J:$J,"NFWB")</f>
        <v>0</v>
      </c>
      <c r="EK50" s="55">
        <f>SUMIFS('Disbursements Summary'!$E:$E,'Disbursements Summary'!$C:$C,$C50,'Disbursements Summary'!$A:$A,"NFWB")</f>
        <v>0</v>
      </c>
      <c r="EL50" s="55">
        <f>SUMIFS('Awards Summary'!$H:$H,'Awards Summary'!$B:$B,$C50,'Awards Summary'!$J:$J,"NFTA")</f>
        <v>0</v>
      </c>
      <c r="EM50" s="55">
        <f>SUMIFS('Disbursements Summary'!$E:$E,'Disbursements Summary'!$C:$C,$C50,'Disbursements Summary'!$A:$A,"NFTA")</f>
        <v>0</v>
      </c>
      <c r="EN50" s="55">
        <f>SUMIFS('Awards Summary'!$H:$H,'Awards Summary'!$B:$B,$C50,'Awards Summary'!$J:$J,"OPWDD")</f>
        <v>0</v>
      </c>
      <c r="EO50" s="55">
        <f>SUMIFS('Disbursements Summary'!$E:$E,'Disbursements Summary'!$C:$C,$C50,'Disbursements Summary'!$A:$A,"OPWDD")</f>
        <v>0</v>
      </c>
      <c r="EP50" s="55">
        <f>SUMIFS('Awards Summary'!$H:$H,'Awards Summary'!$B:$B,$C50,'Awards Summary'!$J:$J,"AGING")</f>
        <v>0</v>
      </c>
      <c r="EQ50" s="55">
        <f>SUMIFS('Disbursements Summary'!$E:$E,'Disbursements Summary'!$C:$C,$C50,'Disbursements Summary'!$A:$A,"AGING")</f>
        <v>0</v>
      </c>
      <c r="ER50" s="55">
        <f>SUMIFS('Awards Summary'!$H:$H,'Awards Summary'!$B:$B,$C50,'Awards Summary'!$J:$J,"OPDV")</f>
        <v>0</v>
      </c>
      <c r="ES50" s="55">
        <f>SUMIFS('Disbursements Summary'!$E:$E,'Disbursements Summary'!$C:$C,$C50,'Disbursements Summary'!$A:$A,"OPDV")</f>
        <v>0</v>
      </c>
      <c r="ET50" s="55">
        <f>SUMIFS('Awards Summary'!$H:$H,'Awards Summary'!$B:$B,$C50,'Awards Summary'!$J:$J,"OVS")</f>
        <v>0</v>
      </c>
      <c r="EU50" s="55">
        <f>SUMIFS('Disbursements Summary'!$E:$E,'Disbursements Summary'!$C:$C,$C50,'Disbursements Summary'!$A:$A,"OVS")</f>
        <v>0</v>
      </c>
      <c r="EV50" s="55">
        <f>SUMIFS('Awards Summary'!$H:$H,'Awards Summary'!$B:$B,$C50,'Awards Summary'!$J:$J,"OASAS")</f>
        <v>0</v>
      </c>
      <c r="EW50" s="55">
        <f>SUMIFS('Disbursements Summary'!$E:$E,'Disbursements Summary'!$C:$C,$C50,'Disbursements Summary'!$A:$A,"OASAS")</f>
        <v>0</v>
      </c>
      <c r="EX50" s="55">
        <f>SUMIFS('Awards Summary'!$H:$H,'Awards Summary'!$B:$B,$C50,'Awards Summary'!$J:$J,"OCFS")</f>
        <v>0</v>
      </c>
      <c r="EY50" s="55">
        <f>SUMIFS('Disbursements Summary'!$E:$E,'Disbursements Summary'!$C:$C,$C50,'Disbursements Summary'!$A:$A,"OCFS")</f>
        <v>0</v>
      </c>
      <c r="EZ50" s="55">
        <f>SUMIFS('Awards Summary'!$H:$H,'Awards Summary'!$B:$B,$C50,'Awards Summary'!$J:$J,"OGS")</f>
        <v>0</v>
      </c>
      <c r="FA50" s="55">
        <f>SUMIFS('Disbursements Summary'!$E:$E,'Disbursements Summary'!$C:$C,$C50,'Disbursements Summary'!$A:$A,"OGS")</f>
        <v>0</v>
      </c>
      <c r="FB50" s="55">
        <f>SUMIFS('Awards Summary'!$H:$H,'Awards Summary'!$B:$B,$C50,'Awards Summary'!$J:$J,"OMH")</f>
        <v>0</v>
      </c>
      <c r="FC50" s="55">
        <f>SUMIFS('Disbursements Summary'!$E:$E,'Disbursements Summary'!$C:$C,$C50,'Disbursements Summary'!$A:$A,"OMH")</f>
        <v>0</v>
      </c>
      <c r="FD50" s="55">
        <f>SUMIFS('Awards Summary'!$H:$H,'Awards Summary'!$B:$B,$C50,'Awards Summary'!$J:$J,"PARKS")</f>
        <v>0</v>
      </c>
      <c r="FE50" s="55">
        <f>SUMIFS('Disbursements Summary'!$E:$E,'Disbursements Summary'!$C:$C,$C50,'Disbursements Summary'!$A:$A,"PARKS")</f>
        <v>0</v>
      </c>
      <c r="FF50" s="55">
        <f>SUMIFS('Awards Summary'!$H:$H,'Awards Summary'!$B:$B,$C50,'Awards Summary'!$J:$J,"OTDA")</f>
        <v>0</v>
      </c>
      <c r="FG50" s="55">
        <f>SUMIFS('Disbursements Summary'!$E:$E,'Disbursements Summary'!$C:$C,$C50,'Disbursements Summary'!$A:$A,"OTDA")</f>
        <v>0</v>
      </c>
      <c r="FH50" s="55">
        <f>SUMIFS('Awards Summary'!$H:$H,'Awards Summary'!$B:$B,$C50,'Awards Summary'!$J:$J,"OIG")</f>
        <v>0</v>
      </c>
      <c r="FI50" s="55">
        <f>SUMIFS('Disbursements Summary'!$E:$E,'Disbursements Summary'!$C:$C,$C50,'Disbursements Summary'!$A:$A,"OIG")</f>
        <v>0</v>
      </c>
      <c r="FJ50" s="55">
        <f>SUMIFS('Awards Summary'!$H:$H,'Awards Summary'!$B:$B,$C50,'Awards Summary'!$J:$J,"OMIG")</f>
        <v>0</v>
      </c>
      <c r="FK50" s="55">
        <f>SUMIFS('Disbursements Summary'!$E:$E,'Disbursements Summary'!$C:$C,$C50,'Disbursements Summary'!$A:$A,"OMIG")</f>
        <v>0</v>
      </c>
      <c r="FL50" s="55">
        <f>SUMIFS('Awards Summary'!$H:$H,'Awards Summary'!$B:$B,$C50,'Awards Summary'!$J:$J,"OSC")</f>
        <v>0</v>
      </c>
      <c r="FM50" s="55">
        <f>SUMIFS('Disbursements Summary'!$E:$E,'Disbursements Summary'!$C:$C,$C50,'Disbursements Summary'!$A:$A,"OSC")</f>
        <v>0</v>
      </c>
      <c r="FN50" s="55">
        <f>SUMIFS('Awards Summary'!$H:$H,'Awards Summary'!$B:$B,$C50,'Awards Summary'!$J:$J,"OWIG")</f>
        <v>0</v>
      </c>
      <c r="FO50" s="55">
        <f>SUMIFS('Disbursements Summary'!$E:$E,'Disbursements Summary'!$C:$C,$C50,'Disbursements Summary'!$A:$A,"OWIG")</f>
        <v>0</v>
      </c>
      <c r="FP50" s="55">
        <f>SUMIFS('Awards Summary'!$H:$H,'Awards Summary'!$B:$B,$C50,'Awards Summary'!$J:$J,"OGDEN")</f>
        <v>0</v>
      </c>
      <c r="FQ50" s="55">
        <f>SUMIFS('Disbursements Summary'!$E:$E,'Disbursements Summary'!$C:$C,$C50,'Disbursements Summary'!$A:$A,"OGDEN")</f>
        <v>0</v>
      </c>
      <c r="FR50" s="55">
        <f>SUMIFS('Awards Summary'!$H:$H,'Awards Summary'!$B:$B,$C50,'Awards Summary'!$J:$J,"ORDA")</f>
        <v>0</v>
      </c>
      <c r="FS50" s="55">
        <f>SUMIFS('Disbursements Summary'!$E:$E,'Disbursements Summary'!$C:$C,$C50,'Disbursements Summary'!$A:$A,"ORDA")</f>
        <v>0</v>
      </c>
      <c r="FT50" s="55">
        <f>SUMIFS('Awards Summary'!$H:$H,'Awards Summary'!$B:$B,$C50,'Awards Summary'!$J:$J,"OSWEGO")</f>
        <v>0</v>
      </c>
      <c r="FU50" s="55">
        <f>SUMIFS('Disbursements Summary'!$E:$E,'Disbursements Summary'!$C:$C,$C50,'Disbursements Summary'!$A:$A,"OSWEGO")</f>
        <v>0</v>
      </c>
      <c r="FV50" s="55">
        <f>SUMIFS('Awards Summary'!$H:$H,'Awards Summary'!$B:$B,$C50,'Awards Summary'!$J:$J,"PERB")</f>
        <v>0</v>
      </c>
      <c r="FW50" s="55">
        <f>SUMIFS('Disbursements Summary'!$E:$E,'Disbursements Summary'!$C:$C,$C50,'Disbursements Summary'!$A:$A,"PERB")</f>
        <v>0</v>
      </c>
      <c r="FX50" s="55">
        <f>SUMIFS('Awards Summary'!$H:$H,'Awards Summary'!$B:$B,$C50,'Awards Summary'!$J:$J,"RGRTA")</f>
        <v>0</v>
      </c>
      <c r="FY50" s="55">
        <f>SUMIFS('Disbursements Summary'!$E:$E,'Disbursements Summary'!$C:$C,$C50,'Disbursements Summary'!$A:$A,"RGRTA")</f>
        <v>0</v>
      </c>
      <c r="FZ50" s="55">
        <f>SUMIFS('Awards Summary'!$H:$H,'Awards Summary'!$B:$B,$C50,'Awards Summary'!$J:$J,"RIOC")</f>
        <v>0</v>
      </c>
      <c r="GA50" s="55">
        <f>SUMIFS('Disbursements Summary'!$E:$E,'Disbursements Summary'!$C:$C,$C50,'Disbursements Summary'!$A:$A,"RIOC")</f>
        <v>0</v>
      </c>
      <c r="GB50" s="55">
        <f>SUMIFS('Awards Summary'!$H:$H,'Awards Summary'!$B:$B,$C50,'Awards Summary'!$J:$J,"RPCI")</f>
        <v>0</v>
      </c>
      <c r="GC50" s="55">
        <f>SUMIFS('Disbursements Summary'!$E:$E,'Disbursements Summary'!$C:$C,$C50,'Disbursements Summary'!$A:$A,"RPCI")</f>
        <v>0</v>
      </c>
      <c r="GD50" s="55">
        <f>SUMIFS('Awards Summary'!$H:$H,'Awards Summary'!$B:$B,$C50,'Awards Summary'!$J:$J,"SMDA")</f>
        <v>0</v>
      </c>
      <c r="GE50" s="55">
        <f>SUMIFS('Disbursements Summary'!$E:$E,'Disbursements Summary'!$C:$C,$C50,'Disbursements Summary'!$A:$A,"SMDA")</f>
        <v>0</v>
      </c>
      <c r="GF50" s="55">
        <f>SUMIFS('Awards Summary'!$H:$H,'Awards Summary'!$B:$B,$C50,'Awards Summary'!$J:$J,"SCOC")</f>
        <v>0</v>
      </c>
      <c r="GG50" s="55">
        <f>SUMIFS('Disbursements Summary'!$E:$E,'Disbursements Summary'!$C:$C,$C50,'Disbursements Summary'!$A:$A,"SCOC")</f>
        <v>0</v>
      </c>
      <c r="GH50" s="55">
        <f>SUMIFS('Awards Summary'!$H:$H,'Awards Summary'!$B:$B,$C50,'Awards Summary'!$J:$J,"SUCF")</f>
        <v>0</v>
      </c>
      <c r="GI50" s="55">
        <f>SUMIFS('Disbursements Summary'!$E:$E,'Disbursements Summary'!$C:$C,$C50,'Disbursements Summary'!$A:$A,"SUCF")</f>
        <v>0</v>
      </c>
      <c r="GJ50" s="55">
        <f>SUMIFS('Awards Summary'!$H:$H,'Awards Summary'!$B:$B,$C50,'Awards Summary'!$J:$J,"SUNY")</f>
        <v>0</v>
      </c>
      <c r="GK50" s="55">
        <f>SUMIFS('Disbursements Summary'!$E:$E,'Disbursements Summary'!$C:$C,$C50,'Disbursements Summary'!$A:$A,"SUNY")</f>
        <v>0</v>
      </c>
      <c r="GL50" s="55">
        <f>SUMIFS('Awards Summary'!$H:$H,'Awards Summary'!$B:$B,$C50,'Awards Summary'!$J:$J,"SRAA")</f>
        <v>0</v>
      </c>
      <c r="GM50" s="55">
        <f>SUMIFS('Disbursements Summary'!$E:$E,'Disbursements Summary'!$C:$C,$C50,'Disbursements Summary'!$A:$A,"SRAA")</f>
        <v>0</v>
      </c>
      <c r="GN50" s="55">
        <f>SUMIFS('Awards Summary'!$H:$H,'Awards Summary'!$B:$B,$C50,'Awards Summary'!$J:$J,"UNDC")</f>
        <v>0</v>
      </c>
      <c r="GO50" s="55">
        <f>SUMIFS('Disbursements Summary'!$E:$E,'Disbursements Summary'!$C:$C,$C50,'Disbursements Summary'!$A:$A,"UNDC")</f>
        <v>0</v>
      </c>
      <c r="GP50" s="55">
        <f>SUMIFS('Awards Summary'!$H:$H,'Awards Summary'!$B:$B,$C50,'Awards Summary'!$J:$J,"MVWA")</f>
        <v>0</v>
      </c>
      <c r="GQ50" s="55">
        <f>SUMIFS('Disbursements Summary'!$E:$E,'Disbursements Summary'!$C:$C,$C50,'Disbursements Summary'!$A:$A,"MVWA")</f>
        <v>0</v>
      </c>
      <c r="GR50" s="55">
        <f>SUMIFS('Awards Summary'!$H:$H,'Awards Summary'!$B:$B,$C50,'Awards Summary'!$J:$J,"WMC")</f>
        <v>0</v>
      </c>
      <c r="GS50" s="55">
        <f>SUMIFS('Disbursements Summary'!$E:$E,'Disbursements Summary'!$C:$C,$C50,'Disbursements Summary'!$A:$A,"WMC")</f>
        <v>0</v>
      </c>
      <c r="GT50" s="55">
        <f>SUMIFS('Awards Summary'!$H:$H,'Awards Summary'!$B:$B,$C50,'Awards Summary'!$J:$J,"WCB")</f>
        <v>0</v>
      </c>
      <c r="GU50" s="55">
        <f>SUMIFS('Disbursements Summary'!$E:$E,'Disbursements Summary'!$C:$C,$C50,'Disbursements Summary'!$A:$A,"WCB")</f>
        <v>0</v>
      </c>
      <c r="GV50" s="32">
        <f t="shared" si="5"/>
        <v>0</v>
      </c>
      <c r="GW50" s="32">
        <f t="shared" si="6"/>
        <v>0</v>
      </c>
      <c r="GX50" s="30" t="b">
        <f t="shared" si="7"/>
        <v>1</v>
      </c>
      <c r="GY50" s="30" t="b">
        <f t="shared" si="8"/>
        <v>1</v>
      </c>
    </row>
    <row r="51" spans="1:207" s="30" customFormat="1">
      <c r="A51" s="22" t="str">
        <f t="shared" si="0"/>
        <v/>
      </c>
      <c r="B51" s="40" t="s">
        <v>109</v>
      </c>
      <c r="C51" s="16">
        <v>151087</v>
      </c>
      <c r="D51" s="26">
        <f>COUNTIF('Awards Summary'!B:B,"151087")</f>
        <v>0</v>
      </c>
      <c r="E51" s="45">
        <f>SUMIFS('Awards Summary'!H:H,'Awards Summary'!B:B,"151087")</f>
        <v>0</v>
      </c>
      <c r="F51" s="46">
        <f>SUMIFS('Disbursements Summary'!E:E,'Disbursements Summary'!C:C, "151087")</f>
        <v>0</v>
      </c>
      <c r="H51" s="55">
        <f>SUMIFS('Awards Summary'!$H:$H,'Awards Summary'!$B:$B,$C51,'Awards Summary'!$J:$J,"APA")</f>
        <v>0</v>
      </c>
      <c r="I51" s="55">
        <f>SUMIFS('Disbursements Summary'!$E:$E,'Disbursements Summary'!$C:$C,$C51,'Disbursements Summary'!$A:$A,"APA")</f>
        <v>0</v>
      </c>
      <c r="J51" s="55">
        <f>SUMIFS('Awards Summary'!$H:$H,'Awards Summary'!$B:$B,$C51,'Awards Summary'!$J:$J,"Ag&amp;Horse")</f>
        <v>0</v>
      </c>
      <c r="K51" s="55">
        <f>SUMIFS('Disbursements Summary'!$E:$E,'Disbursements Summary'!$C:$C,$C51,'Disbursements Summary'!$A:$A,"Ag&amp;Horse")</f>
        <v>0</v>
      </c>
      <c r="L51" s="55">
        <f>SUMIFS('Awards Summary'!$H:$H,'Awards Summary'!$B:$B,$C51,'Awards Summary'!$J:$J,"ACAA")</f>
        <v>0</v>
      </c>
      <c r="M51" s="55">
        <f>SUMIFS('Disbursements Summary'!$E:$E,'Disbursements Summary'!$C:$C,$C51,'Disbursements Summary'!$A:$A,"ACAA")</f>
        <v>0</v>
      </c>
      <c r="N51" s="55">
        <f>SUMIFS('Awards Summary'!$H:$H,'Awards Summary'!$B:$B,$C51,'Awards Summary'!$J:$J,"PortAlbany")</f>
        <v>0</v>
      </c>
      <c r="O51" s="55">
        <f>SUMIFS('Disbursements Summary'!$E:$E,'Disbursements Summary'!$C:$C,$C51,'Disbursements Summary'!$A:$A,"PortAlbany")</f>
        <v>0</v>
      </c>
      <c r="P51" s="55">
        <f>SUMIFS('Awards Summary'!$H:$H,'Awards Summary'!$B:$B,$C51,'Awards Summary'!$J:$J,"SLA")</f>
        <v>0</v>
      </c>
      <c r="Q51" s="55">
        <f>SUMIFS('Disbursements Summary'!$E:$E,'Disbursements Summary'!$C:$C,$C51,'Disbursements Summary'!$A:$A,"SLA")</f>
        <v>0</v>
      </c>
      <c r="R51" s="55">
        <f>SUMIFS('Awards Summary'!$H:$H,'Awards Summary'!$B:$B,$C51,'Awards Summary'!$J:$J,"BPCA")</f>
        <v>0</v>
      </c>
      <c r="S51" s="55">
        <f>SUMIFS('Disbursements Summary'!$E:$E,'Disbursements Summary'!$C:$C,$C51,'Disbursements Summary'!$A:$A,"BPCA")</f>
        <v>0</v>
      </c>
      <c r="T51" s="55">
        <f>SUMIFS('Awards Summary'!$H:$H,'Awards Summary'!$B:$B,$C51,'Awards Summary'!$J:$J,"ELECTIONS")</f>
        <v>0</v>
      </c>
      <c r="U51" s="55">
        <f>SUMIFS('Disbursements Summary'!$E:$E,'Disbursements Summary'!$C:$C,$C51,'Disbursements Summary'!$A:$A,"ELECTIONS")</f>
        <v>0</v>
      </c>
      <c r="V51" s="55">
        <f>SUMIFS('Awards Summary'!$H:$H,'Awards Summary'!$B:$B,$C51,'Awards Summary'!$J:$J,"BFSA")</f>
        <v>0</v>
      </c>
      <c r="W51" s="55">
        <f>SUMIFS('Disbursements Summary'!$E:$E,'Disbursements Summary'!$C:$C,$C51,'Disbursements Summary'!$A:$A,"BFSA")</f>
        <v>0</v>
      </c>
      <c r="X51" s="55">
        <f>SUMIFS('Awards Summary'!$H:$H,'Awards Summary'!$B:$B,$C51,'Awards Summary'!$J:$J,"CDTA")</f>
        <v>0</v>
      </c>
      <c r="Y51" s="55">
        <f>SUMIFS('Disbursements Summary'!$E:$E,'Disbursements Summary'!$C:$C,$C51,'Disbursements Summary'!$A:$A,"CDTA")</f>
        <v>0</v>
      </c>
      <c r="Z51" s="55">
        <f>SUMIFS('Awards Summary'!$H:$H,'Awards Summary'!$B:$B,$C51,'Awards Summary'!$J:$J,"CCWSA")</f>
        <v>0</v>
      </c>
      <c r="AA51" s="55">
        <f>SUMIFS('Disbursements Summary'!$E:$E,'Disbursements Summary'!$C:$C,$C51,'Disbursements Summary'!$A:$A,"CCWSA")</f>
        <v>0</v>
      </c>
      <c r="AB51" s="55">
        <f>SUMIFS('Awards Summary'!$H:$H,'Awards Summary'!$B:$B,$C51,'Awards Summary'!$J:$J,"CNYRTA")</f>
        <v>0</v>
      </c>
      <c r="AC51" s="55">
        <f>SUMIFS('Disbursements Summary'!$E:$E,'Disbursements Summary'!$C:$C,$C51,'Disbursements Summary'!$A:$A,"CNYRTA")</f>
        <v>0</v>
      </c>
      <c r="AD51" s="55">
        <f>SUMIFS('Awards Summary'!$H:$H,'Awards Summary'!$B:$B,$C51,'Awards Summary'!$J:$J,"CUCF")</f>
        <v>0</v>
      </c>
      <c r="AE51" s="55">
        <f>SUMIFS('Disbursements Summary'!$E:$E,'Disbursements Summary'!$C:$C,$C51,'Disbursements Summary'!$A:$A,"CUCF")</f>
        <v>0</v>
      </c>
      <c r="AF51" s="55">
        <f>SUMIFS('Awards Summary'!$H:$H,'Awards Summary'!$B:$B,$C51,'Awards Summary'!$J:$J,"CUNY")</f>
        <v>0</v>
      </c>
      <c r="AG51" s="55">
        <f>SUMIFS('Disbursements Summary'!$E:$E,'Disbursements Summary'!$C:$C,$C51,'Disbursements Summary'!$A:$A,"CUNY")</f>
        <v>0</v>
      </c>
      <c r="AH51" s="55">
        <f>SUMIFS('Awards Summary'!$H:$H,'Awards Summary'!$B:$B,$C51,'Awards Summary'!$J:$J,"ARTS")</f>
        <v>0</v>
      </c>
      <c r="AI51" s="55">
        <f>SUMIFS('Disbursements Summary'!$E:$E,'Disbursements Summary'!$C:$C,$C51,'Disbursements Summary'!$A:$A,"ARTS")</f>
        <v>0</v>
      </c>
      <c r="AJ51" s="55">
        <f>SUMIFS('Awards Summary'!$H:$H,'Awards Summary'!$B:$B,$C51,'Awards Summary'!$J:$J,"AG&amp;MKTS")</f>
        <v>0</v>
      </c>
      <c r="AK51" s="55">
        <f>SUMIFS('Disbursements Summary'!$E:$E,'Disbursements Summary'!$C:$C,$C51,'Disbursements Summary'!$A:$A,"AG&amp;MKTS")</f>
        <v>0</v>
      </c>
      <c r="AL51" s="55">
        <f>SUMIFS('Awards Summary'!$H:$H,'Awards Summary'!$B:$B,$C51,'Awards Summary'!$J:$J,"CS")</f>
        <v>0</v>
      </c>
      <c r="AM51" s="55">
        <f>SUMIFS('Disbursements Summary'!$E:$E,'Disbursements Summary'!$C:$C,$C51,'Disbursements Summary'!$A:$A,"CS")</f>
        <v>0</v>
      </c>
      <c r="AN51" s="55">
        <f>SUMIFS('Awards Summary'!$H:$H,'Awards Summary'!$B:$B,$C51,'Awards Summary'!$J:$J,"DOCCS")</f>
        <v>0</v>
      </c>
      <c r="AO51" s="55">
        <f>SUMIFS('Disbursements Summary'!$E:$E,'Disbursements Summary'!$C:$C,$C51,'Disbursements Summary'!$A:$A,"DOCCS")</f>
        <v>0</v>
      </c>
      <c r="AP51" s="55">
        <f>SUMIFS('Awards Summary'!$H:$H,'Awards Summary'!$B:$B,$C51,'Awards Summary'!$J:$J,"DED")</f>
        <v>0</v>
      </c>
      <c r="AQ51" s="55">
        <f>SUMIFS('Disbursements Summary'!$E:$E,'Disbursements Summary'!$C:$C,$C51,'Disbursements Summary'!$A:$A,"DED")</f>
        <v>0</v>
      </c>
      <c r="AR51" s="55">
        <f>SUMIFS('Awards Summary'!$H:$H,'Awards Summary'!$B:$B,$C51,'Awards Summary'!$J:$J,"DEC")</f>
        <v>0</v>
      </c>
      <c r="AS51" s="55">
        <f>SUMIFS('Disbursements Summary'!$E:$E,'Disbursements Summary'!$C:$C,$C51,'Disbursements Summary'!$A:$A,"DEC")</f>
        <v>0</v>
      </c>
      <c r="AT51" s="55">
        <f>SUMIFS('Awards Summary'!$H:$H,'Awards Summary'!$B:$B,$C51,'Awards Summary'!$J:$J,"DFS")</f>
        <v>0</v>
      </c>
      <c r="AU51" s="55">
        <f>SUMIFS('Disbursements Summary'!$E:$E,'Disbursements Summary'!$C:$C,$C51,'Disbursements Summary'!$A:$A,"DFS")</f>
        <v>0</v>
      </c>
      <c r="AV51" s="55">
        <f>SUMIFS('Awards Summary'!$H:$H,'Awards Summary'!$B:$B,$C51,'Awards Summary'!$J:$J,"DOH")</f>
        <v>0</v>
      </c>
      <c r="AW51" s="55">
        <f>SUMIFS('Disbursements Summary'!$E:$E,'Disbursements Summary'!$C:$C,$C51,'Disbursements Summary'!$A:$A,"DOH")</f>
        <v>0</v>
      </c>
      <c r="AX51" s="55">
        <f>SUMIFS('Awards Summary'!$H:$H,'Awards Summary'!$B:$B,$C51,'Awards Summary'!$J:$J,"DOL")</f>
        <v>0</v>
      </c>
      <c r="AY51" s="55">
        <f>SUMIFS('Disbursements Summary'!$E:$E,'Disbursements Summary'!$C:$C,$C51,'Disbursements Summary'!$A:$A,"DOL")</f>
        <v>0</v>
      </c>
      <c r="AZ51" s="55">
        <f>SUMIFS('Awards Summary'!$H:$H,'Awards Summary'!$B:$B,$C51,'Awards Summary'!$J:$J,"DMV")</f>
        <v>0</v>
      </c>
      <c r="BA51" s="55">
        <f>SUMIFS('Disbursements Summary'!$E:$E,'Disbursements Summary'!$C:$C,$C51,'Disbursements Summary'!$A:$A,"DMV")</f>
        <v>0</v>
      </c>
      <c r="BB51" s="55">
        <f>SUMIFS('Awards Summary'!$H:$H,'Awards Summary'!$B:$B,$C51,'Awards Summary'!$J:$J,"DPS")</f>
        <v>0</v>
      </c>
      <c r="BC51" s="55">
        <f>SUMIFS('Disbursements Summary'!$E:$E,'Disbursements Summary'!$C:$C,$C51,'Disbursements Summary'!$A:$A,"DPS")</f>
        <v>0</v>
      </c>
      <c r="BD51" s="55">
        <f>SUMIFS('Awards Summary'!$H:$H,'Awards Summary'!$B:$B,$C51,'Awards Summary'!$J:$J,"DOS")</f>
        <v>0</v>
      </c>
      <c r="BE51" s="55">
        <f>SUMIFS('Disbursements Summary'!$E:$E,'Disbursements Summary'!$C:$C,$C51,'Disbursements Summary'!$A:$A,"DOS")</f>
        <v>0</v>
      </c>
      <c r="BF51" s="55">
        <f>SUMIFS('Awards Summary'!$H:$H,'Awards Summary'!$B:$B,$C51,'Awards Summary'!$J:$J,"TAX")</f>
        <v>0</v>
      </c>
      <c r="BG51" s="55">
        <f>SUMIFS('Disbursements Summary'!$E:$E,'Disbursements Summary'!$C:$C,$C51,'Disbursements Summary'!$A:$A,"TAX")</f>
        <v>0</v>
      </c>
      <c r="BH51" s="55">
        <f>SUMIFS('Awards Summary'!$H:$H,'Awards Summary'!$B:$B,$C51,'Awards Summary'!$J:$J,"DOT")</f>
        <v>0</v>
      </c>
      <c r="BI51" s="55">
        <f>SUMIFS('Disbursements Summary'!$E:$E,'Disbursements Summary'!$C:$C,$C51,'Disbursements Summary'!$A:$A,"DOT")</f>
        <v>0</v>
      </c>
      <c r="BJ51" s="55">
        <f>SUMIFS('Awards Summary'!$H:$H,'Awards Summary'!$B:$B,$C51,'Awards Summary'!$J:$J,"DANC")</f>
        <v>0</v>
      </c>
      <c r="BK51" s="55">
        <f>SUMIFS('Disbursements Summary'!$E:$E,'Disbursements Summary'!$C:$C,$C51,'Disbursements Summary'!$A:$A,"DANC")</f>
        <v>0</v>
      </c>
      <c r="BL51" s="55">
        <f>SUMIFS('Awards Summary'!$H:$H,'Awards Summary'!$B:$B,$C51,'Awards Summary'!$J:$J,"DOB")</f>
        <v>0</v>
      </c>
      <c r="BM51" s="55">
        <f>SUMIFS('Disbursements Summary'!$E:$E,'Disbursements Summary'!$C:$C,$C51,'Disbursements Summary'!$A:$A,"DOB")</f>
        <v>0</v>
      </c>
      <c r="BN51" s="55">
        <f>SUMIFS('Awards Summary'!$H:$H,'Awards Summary'!$B:$B,$C51,'Awards Summary'!$J:$J,"DCJS")</f>
        <v>0</v>
      </c>
      <c r="BO51" s="55">
        <f>SUMIFS('Disbursements Summary'!$E:$E,'Disbursements Summary'!$C:$C,$C51,'Disbursements Summary'!$A:$A,"DCJS")</f>
        <v>0</v>
      </c>
      <c r="BP51" s="55">
        <f>SUMIFS('Awards Summary'!$H:$H,'Awards Summary'!$B:$B,$C51,'Awards Summary'!$J:$J,"DHSES")</f>
        <v>0</v>
      </c>
      <c r="BQ51" s="55">
        <f>SUMIFS('Disbursements Summary'!$E:$E,'Disbursements Summary'!$C:$C,$C51,'Disbursements Summary'!$A:$A,"DHSES")</f>
        <v>0</v>
      </c>
      <c r="BR51" s="55">
        <f>SUMIFS('Awards Summary'!$H:$H,'Awards Summary'!$B:$B,$C51,'Awards Summary'!$J:$J,"DHR")</f>
        <v>0</v>
      </c>
      <c r="BS51" s="55">
        <f>SUMIFS('Disbursements Summary'!$E:$E,'Disbursements Summary'!$C:$C,$C51,'Disbursements Summary'!$A:$A,"DHR")</f>
        <v>0</v>
      </c>
      <c r="BT51" s="55">
        <f>SUMIFS('Awards Summary'!$H:$H,'Awards Summary'!$B:$B,$C51,'Awards Summary'!$J:$J,"DMNA")</f>
        <v>0</v>
      </c>
      <c r="BU51" s="55">
        <f>SUMIFS('Disbursements Summary'!$E:$E,'Disbursements Summary'!$C:$C,$C51,'Disbursements Summary'!$A:$A,"DMNA")</f>
        <v>0</v>
      </c>
      <c r="BV51" s="55">
        <f>SUMIFS('Awards Summary'!$H:$H,'Awards Summary'!$B:$B,$C51,'Awards Summary'!$J:$J,"TROOPERS")</f>
        <v>0</v>
      </c>
      <c r="BW51" s="55">
        <f>SUMIFS('Disbursements Summary'!$E:$E,'Disbursements Summary'!$C:$C,$C51,'Disbursements Summary'!$A:$A,"TROOPERS")</f>
        <v>0</v>
      </c>
      <c r="BX51" s="55">
        <f>SUMIFS('Awards Summary'!$H:$H,'Awards Summary'!$B:$B,$C51,'Awards Summary'!$J:$J,"DVA")</f>
        <v>0</v>
      </c>
      <c r="BY51" s="55">
        <f>SUMIFS('Disbursements Summary'!$E:$E,'Disbursements Summary'!$C:$C,$C51,'Disbursements Summary'!$A:$A,"DVA")</f>
        <v>0</v>
      </c>
      <c r="BZ51" s="55">
        <f>SUMIFS('Awards Summary'!$H:$H,'Awards Summary'!$B:$B,$C51,'Awards Summary'!$J:$J,"DASNY")</f>
        <v>0</v>
      </c>
      <c r="CA51" s="55">
        <f>SUMIFS('Disbursements Summary'!$E:$E,'Disbursements Summary'!$C:$C,$C51,'Disbursements Summary'!$A:$A,"DASNY")</f>
        <v>0</v>
      </c>
      <c r="CB51" s="55">
        <f>SUMIFS('Awards Summary'!$H:$H,'Awards Summary'!$B:$B,$C51,'Awards Summary'!$J:$J,"EGG")</f>
        <v>0</v>
      </c>
      <c r="CC51" s="55">
        <f>SUMIFS('Disbursements Summary'!$E:$E,'Disbursements Summary'!$C:$C,$C51,'Disbursements Summary'!$A:$A,"EGG")</f>
        <v>0</v>
      </c>
      <c r="CD51" s="55">
        <f>SUMIFS('Awards Summary'!$H:$H,'Awards Summary'!$B:$B,$C51,'Awards Summary'!$J:$J,"ESD")</f>
        <v>0</v>
      </c>
      <c r="CE51" s="55">
        <f>SUMIFS('Disbursements Summary'!$E:$E,'Disbursements Summary'!$C:$C,$C51,'Disbursements Summary'!$A:$A,"ESD")</f>
        <v>0</v>
      </c>
      <c r="CF51" s="55">
        <f>SUMIFS('Awards Summary'!$H:$H,'Awards Summary'!$B:$B,$C51,'Awards Summary'!$J:$J,"EFC")</f>
        <v>0</v>
      </c>
      <c r="CG51" s="55">
        <f>SUMIFS('Disbursements Summary'!$E:$E,'Disbursements Summary'!$C:$C,$C51,'Disbursements Summary'!$A:$A,"EFC")</f>
        <v>0</v>
      </c>
      <c r="CH51" s="55">
        <f>SUMIFS('Awards Summary'!$H:$H,'Awards Summary'!$B:$B,$C51,'Awards Summary'!$J:$J,"ECFSA")</f>
        <v>0</v>
      </c>
      <c r="CI51" s="55">
        <f>SUMIFS('Disbursements Summary'!$E:$E,'Disbursements Summary'!$C:$C,$C51,'Disbursements Summary'!$A:$A,"ECFSA")</f>
        <v>0</v>
      </c>
      <c r="CJ51" s="55">
        <f>SUMIFS('Awards Summary'!$H:$H,'Awards Summary'!$B:$B,$C51,'Awards Summary'!$J:$J,"ECMC")</f>
        <v>0</v>
      </c>
      <c r="CK51" s="55">
        <f>SUMIFS('Disbursements Summary'!$E:$E,'Disbursements Summary'!$C:$C,$C51,'Disbursements Summary'!$A:$A,"ECMC")</f>
        <v>0</v>
      </c>
      <c r="CL51" s="55">
        <f>SUMIFS('Awards Summary'!$H:$H,'Awards Summary'!$B:$B,$C51,'Awards Summary'!$J:$J,"CHAMBER")</f>
        <v>0</v>
      </c>
      <c r="CM51" s="55">
        <f>SUMIFS('Disbursements Summary'!$E:$E,'Disbursements Summary'!$C:$C,$C51,'Disbursements Summary'!$A:$A,"CHAMBER")</f>
        <v>0</v>
      </c>
      <c r="CN51" s="55">
        <f>SUMIFS('Awards Summary'!$H:$H,'Awards Summary'!$B:$B,$C51,'Awards Summary'!$J:$J,"GAMING")</f>
        <v>0</v>
      </c>
      <c r="CO51" s="55">
        <f>SUMIFS('Disbursements Summary'!$E:$E,'Disbursements Summary'!$C:$C,$C51,'Disbursements Summary'!$A:$A,"GAMING")</f>
        <v>0</v>
      </c>
      <c r="CP51" s="55">
        <f>SUMIFS('Awards Summary'!$H:$H,'Awards Summary'!$B:$B,$C51,'Awards Summary'!$J:$J,"GOER")</f>
        <v>0</v>
      </c>
      <c r="CQ51" s="55">
        <f>SUMIFS('Disbursements Summary'!$E:$E,'Disbursements Summary'!$C:$C,$C51,'Disbursements Summary'!$A:$A,"GOER")</f>
        <v>0</v>
      </c>
      <c r="CR51" s="55">
        <f>SUMIFS('Awards Summary'!$H:$H,'Awards Summary'!$B:$B,$C51,'Awards Summary'!$J:$J,"HESC")</f>
        <v>0</v>
      </c>
      <c r="CS51" s="55">
        <f>SUMIFS('Disbursements Summary'!$E:$E,'Disbursements Summary'!$C:$C,$C51,'Disbursements Summary'!$A:$A,"HESC")</f>
        <v>0</v>
      </c>
      <c r="CT51" s="55">
        <f>SUMIFS('Awards Summary'!$H:$H,'Awards Summary'!$B:$B,$C51,'Awards Summary'!$J:$J,"GOSR")</f>
        <v>0</v>
      </c>
      <c r="CU51" s="55">
        <f>SUMIFS('Disbursements Summary'!$E:$E,'Disbursements Summary'!$C:$C,$C51,'Disbursements Summary'!$A:$A,"GOSR")</f>
        <v>0</v>
      </c>
      <c r="CV51" s="55">
        <f>SUMIFS('Awards Summary'!$H:$H,'Awards Summary'!$B:$B,$C51,'Awards Summary'!$J:$J,"HRPT")</f>
        <v>0</v>
      </c>
      <c r="CW51" s="55">
        <f>SUMIFS('Disbursements Summary'!$E:$E,'Disbursements Summary'!$C:$C,$C51,'Disbursements Summary'!$A:$A,"HRPT")</f>
        <v>0</v>
      </c>
      <c r="CX51" s="55">
        <f>SUMIFS('Awards Summary'!$H:$H,'Awards Summary'!$B:$B,$C51,'Awards Summary'!$J:$J,"HRBRRD")</f>
        <v>0</v>
      </c>
      <c r="CY51" s="55">
        <f>SUMIFS('Disbursements Summary'!$E:$E,'Disbursements Summary'!$C:$C,$C51,'Disbursements Summary'!$A:$A,"HRBRRD")</f>
        <v>0</v>
      </c>
      <c r="CZ51" s="55">
        <f>SUMIFS('Awards Summary'!$H:$H,'Awards Summary'!$B:$B,$C51,'Awards Summary'!$J:$J,"ITS")</f>
        <v>0</v>
      </c>
      <c r="DA51" s="55">
        <f>SUMIFS('Disbursements Summary'!$E:$E,'Disbursements Summary'!$C:$C,$C51,'Disbursements Summary'!$A:$A,"ITS")</f>
        <v>0</v>
      </c>
      <c r="DB51" s="55">
        <f>SUMIFS('Awards Summary'!$H:$H,'Awards Summary'!$B:$B,$C51,'Awards Summary'!$J:$J,"JAVITS")</f>
        <v>0</v>
      </c>
      <c r="DC51" s="55">
        <f>SUMIFS('Disbursements Summary'!$E:$E,'Disbursements Summary'!$C:$C,$C51,'Disbursements Summary'!$A:$A,"JAVITS")</f>
        <v>0</v>
      </c>
      <c r="DD51" s="55">
        <f>SUMIFS('Awards Summary'!$H:$H,'Awards Summary'!$B:$B,$C51,'Awards Summary'!$J:$J,"JCOPE")</f>
        <v>0</v>
      </c>
      <c r="DE51" s="55">
        <f>SUMIFS('Disbursements Summary'!$E:$E,'Disbursements Summary'!$C:$C,$C51,'Disbursements Summary'!$A:$A,"JCOPE")</f>
        <v>0</v>
      </c>
      <c r="DF51" s="55">
        <f>SUMIFS('Awards Summary'!$H:$H,'Awards Summary'!$B:$B,$C51,'Awards Summary'!$J:$J,"JUSTICE")</f>
        <v>0</v>
      </c>
      <c r="DG51" s="55">
        <f>SUMIFS('Disbursements Summary'!$E:$E,'Disbursements Summary'!$C:$C,$C51,'Disbursements Summary'!$A:$A,"JUSTICE")</f>
        <v>0</v>
      </c>
      <c r="DH51" s="55">
        <f>SUMIFS('Awards Summary'!$H:$H,'Awards Summary'!$B:$B,$C51,'Awards Summary'!$J:$J,"LCWSA")</f>
        <v>0</v>
      </c>
      <c r="DI51" s="55">
        <f>SUMIFS('Disbursements Summary'!$E:$E,'Disbursements Summary'!$C:$C,$C51,'Disbursements Summary'!$A:$A,"LCWSA")</f>
        <v>0</v>
      </c>
      <c r="DJ51" s="55">
        <f>SUMIFS('Awards Summary'!$H:$H,'Awards Summary'!$B:$B,$C51,'Awards Summary'!$J:$J,"LIPA")</f>
        <v>0</v>
      </c>
      <c r="DK51" s="55">
        <f>SUMIFS('Disbursements Summary'!$E:$E,'Disbursements Summary'!$C:$C,$C51,'Disbursements Summary'!$A:$A,"LIPA")</f>
        <v>0</v>
      </c>
      <c r="DL51" s="55">
        <f>SUMIFS('Awards Summary'!$H:$H,'Awards Summary'!$B:$B,$C51,'Awards Summary'!$J:$J,"MTA")</f>
        <v>0</v>
      </c>
      <c r="DM51" s="55">
        <f>SUMIFS('Disbursements Summary'!$E:$E,'Disbursements Summary'!$C:$C,$C51,'Disbursements Summary'!$A:$A,"MTA")</f>
        <v>0</v>
      </c>
      <c r="DN51" s="55">
        <f>SUMIFS('Awards Summary'!$H:$H,'Awards Summary'!$B:$B,$C51,'Awards Summary'!$J:$J,"NIFA")</f>
        <v>0</v>
      </c>
      <c r="DO51" s="55">
        <f>SUMIFS('Disbursements Summary'!$E:$E,'Disbursements Summary'!$C:$C,$C51,'Disbursements Summary'!$A:$A,"NIFA")</f>
        <v>0</v>
      </c>
      <c r="DP51" s="55">
        <f>SUMIFS('Awards Summary'!$H:$H,'Awards Summary'!$B:$B,$C51,'Awards Summary'!$J:$J,"NHCC")</f>
        <v>0</v>
      </c>
      <c r="DQ51" s="55">
        <f>SUMIFS('Disbursements Summary'!$E:$E,'Disbursements Summary'!$C:$C,$C51,'Disbursements Summary'!$A:$A,"NHCC")</f>
        <v>0</v>
      </c>
      <c r="DR51" s="55">
        <f>SUMIFS('Awards Summary'!$H:$H,'Awards Summary'!$B:$B,$C51,'Awards Summary'!$J:$J,"NHT")</f>
        <v>0</v>
      </c>
      <c r="DS51" s="55">
        <f>SUMIFS('Disbursements Summary'!$E:$E,'Disbursements Summary'!$C:$C,$C51,'Disbursements Summary'!$A:$A,"NHT")</f>
        <v>0</v>
      </c>
      <c r="DT51" s="55">
        <f>SUMIFS('Awards Summary'!$H:$H,'Awards Summary'!$B:$B,$C51,'Awards Summary'!$J:$J,"NYPA")</f>
        <v>0</v>
      </c>
      <c r="DU51" s="55">
        <f>SUMIFS('Disbursements Summary'!$E:$E,'Disbursements Summary'!$C:$C,$C51,'Disbursements Summary'!$A:$A,"NYPA")</f>
        <v>0</v>
      </c>
      <c r="DV51" s="55">
        <f>SUMIFS('Awards Summary'!$H:$H,'Awards Summary'!$B:$B,$C51,'Awards Summary'!$J:$J,"NYSBA")</f>
        <v>0</v>
      </c>
      <c r="DW51" s="55">
        <f>SUMIFS('Disbursements Summary'!$E:$E,'Disbursements Summary'!$C:$C,$C51,'Disbursements Summary'!$A:$A,"NYSBA")</f>
        <v>0</v>
      </c>
      <c r="DX51" s="55">
        <f>SUMIFS('Awards Summary'!$H:$H,'Awards Summary'!$B:$B,$C51,'Awards Summary'!$J:$J,"NYSERDA")</f>
        <v>0</v>
      </c>
      <c r="DY51" s="55">
        <f>SUMIFS('Disbursements Summary'!$E:$E,'Disbursements Summary'!$C:$C,$C51,'Disbursements Summary'!$A:$A,"NYSERDA")</f>
        <v>0</v>
      </c>
      <c r="DZ51" s="55">
        <f>SUMIFS('Awards Summary'!$H:$H,'Awards Summary'!$B:$B,$C51,'Awards Summary'!$J:$J,"DHCR")</f>
        <v>0</v>
      </c>
      <c r="EA51" s="55">
        <f>SUMIFS('Disbursements Summary'!$E:$E,'Disbursements Summary'!$C:$C,$C51,'Disbursements Summary'!$A:$A,"DHCR")</f>
        <v>0</v>
      </c>
      <c r="EB51" s="55">
        <f>SUMIFS('Awards Summary'!$H:$H,'Awards Summary'!$B:$B,$C51,'Awards Summary'!$J:$J,"HFA")</f>
        <v>0</v>
      </c>
      <c r="EC51" s="55">
        <f>SUMIFS('Disbursements Summary'!$E:$E,'Disbursements Summary'!$C:$C,$C51,'Disbursements Summary'!$A:$A,"HFA")</f>
        <v>0</v>
      </c>
      <c r="ED51" s="55">
        <f>SUMIFS('Awards Summary'!$H:$H,'Awards Summary'!$B:$B,$C51,'Awards Summary'!$J:$J,"NYSIF")</f>
        <v>0</v>
      </c>
      <c r="EE51" s="55">
        <f>SUMIFS('Disbursements Summary'!$E:$E,'Disbursements Summary'!$C:$C,$C51,'Disbursements Summary'!$A:$A,"NYSIF")</f>
        <v>0</v>
      </c>
      <c r="EF51" s="55">
        <f>SUMIFS('Awards Summary'!$H:$H,'Awards Summary'!$B:$B,$C51,'Awards Summary'!$J:$J,"NYBREDS")</f>
        <v>0</v>
      </c>
      <c r="EG51" s="55">
        <f>SUMIFS('Disbursements Summary'!$E:$E,'Disbursements Summary'!$C:$C,$C51,'Disbursements Summary'!$A:$A,"NYBREDS")</f>
        <v>0</v>
      </c>
      <c r="EH51" s="55">
        <f>SUMIFS('Awards Summary'!$H:$H,'Awards Summary'!$B:$B,$C51,'Awards Summary'!$J:$J,"NYSTA")</f>
        <v>0</v>
      </c>
      <c r="EI51" s="55">
        <f>SUMIFS('Disbursements Summary'!$E:$E,'Disbursements Summary'!$C:$C,$C51,'Disbursements Summary'!$A:$A,"NYSTA")</f>
        <v>0</v>
      </c>
      <c r="EJ51" s="55">
        <f>SUMIFS('Awards Summary'!$H:$H,'Awards Summary'!$B:$B,$C51,'Awards Summary'!$J:$J,"NFWB")</f>
        <v>0</v>
      </c>
      <c r="EK51" s="55">
        <f>SUMIFS('Disbursements Summary'!$E:$E,'Disbursements Summary'!$C:$C,$C51,'Disbursements Summary'!$A:$A,"NFWB")</f>
        <v>0</v>
      </c>
      <c r="EL51" s="55">
        <f>SUMIFS('Awards Summary'!$H:$H,'Awards Summary'!$B:$B,$C51,'Awards Summary'!$J:$J,"NFTA")</f>
        <v>0</v>
      </c>
      <c r="EM51" s="55">
        <f>SUMIFS('Disbursements Summary'!$E:$E,'Disbursements Summary'!$C:$C,$C51,'Disbursements Summary'!$A:$A,"NFTA")</f>
        <v>0</v>
      </c>
      <c r="EN51" s="55">
        <f>SUMIFS('Awards Summary'!$H:$H,'Awards Summary'!$B:$B,$C51,'Awards Summary'!$J:$J,"OPWDD")</f>
        <v>0</v>
      </c>
      <c r="EO51" s="55">
        <f>SUMIFS('Disbursements Summary'!$E:$E,'Disbursements Summary'!$C:$C,$C51,'Disbursements Summary'!$A:$A,"OPWDD")</f>
        <v>0</v>
      </c>
      <c r="EP51" s="55">
        <f>SUMIFS('Awards Summary'!$H:$H,'Awards Summary'!$B:$B,$C51,'Awards Summary'!$J:$J,"AGING")</f>
        <v>0</v>
      </c>
      <c r="EQ51" s="55">
        <f>SUMIFS('Disbursements Summary'!$E:$E,'Disbursements Summary'!$C:$C,$C51,'Disbursements Summary'!$A:$A,"AGING")</f>
        <v>0</v>
      </c>
      <c r="ER51" s="55">
        <f>SUMIFS('Awards Summary'!$H:$H,'Awards Summary'!$B:$B,$C51,'Awards Summary'!$J:$J,"OPDV")</f>
        <v>0</v>
      </c>
      <c r="ES51" s="55">
        <f>SUMIFS('Disbursements Summary'!$E:$E,'Disbursements Summary'!$C:$C,$C51,'Disbursements Summary'!$A:$A,"OPDV")</f>
        <v>0</v>
      </c>
      <c r="ET51" s="55">
        <f>SUMIFS('Awards Summary'!$H:$H,'Awards Summary'!$B:$B,$C51,'Awards Summary'!$J:$J,"OVS")</f>
        <v>0</v>
      </c>
      <c r="EU51" s="55">
        <f>SUMIFS('Disbursements Summary'!$E:$E,'Disbursements Summary'!$C:$C,$C51,'Disbursements Summary'!$A:$A,"OVS")</f>
        <v>0</v>
      </c>
      <c r="EV51" s="55">
        <f>SUMIFS('Awards Summary'!$H:$H,'Awards Summary'!$B:$B,$C51,'Awards Summary'!$J:$J,"OASAS")</f>
        <v>0</v>
      </c>
      <c r="EW51" s="55">
        <f>SUMIFS('Disbursements Summary'!$E:$E,'Disbursements Summary'!$C:$C,$C51,'Disbursements Summary'!$A:$A,"OASAS")</f>
        <v>0</v>
      </c>
      <c r="EX51" s="55">
        <f>SUMIFS('Awards Summary'!$H:$H,'Awards Summary'!$B:$B,$C51,'Awards Summary'!$J:$J,"OCFS")</f>
        <v>0</v>
      </c>
      <c r="EY51" s="55">
        <f>SUMIFS('Disbursements Summary'!$E:$E,'Disbursements Summary'!$C:$C,$C51,'Disbursements Summary'!$A:$A,"OCFS")</f>
        <v>0</v>
      </c>
      <c r="EZ51" s="55">
        <f>SUMIFS('Awards Summary'!$H:$H,'Awards Summary'!$B:$B,$C51,'Awards Summary'!$J:$J,"OGS")</f>
        <v>0</v>
      </c>
      <c r="FA51" s="55">
        <f>SUMIFS('Disbursements Summary'!$E:$E,'Disbursements Summary'!$C:$C,$C51,'Disbursements Summary'!$A:$A,"OGS")</f>
        <v>0</v>
      </c>
      <c r="FB51" s="55">
        <f>SUMIFS('Awards Summary'!$H:$H,'Awards Summary'!$B:$B,$C51,'Awards Summary'!$J:$J,"OMH")</f>
        <v>0</v>
      </c>
      <c r="FC51" s="55">
        <f>SUMIFS('Disbursements Summary'!$E:$E,'Disbursements Summary'!$C:$C,$C51,'Disbursements Summary'!$A:$A,"OMH")</f>
        <v>0</v>
      </c>
      <c r="FD51" s="55">
        <f>SUMIFS('Awards Summary'!$H:$H,'Awards Summary'!$B:$B,$C51,'Awards Summary'!$J:$J,"PARKS")</f>
        <v>0</v>
      </c>
      <c r="FE51" s="55">
        <f>SUMIFS('Disbursements Summary'!$E:$E,'Disbursements Summary'!$C:$C,$C51,'Disbursements Summary'!$A:$A,"PARKS")</f>
        <v>0</v>
      </c>
      <c r="FF51" s="55">
        <f>SUMIFS('Awards Summary'!$H:$H,'Awards Summary'!$B:$B,$C51,'Awards Summary'!$J:$J,"OTDA")</f>
        <v>0</v>
      </c>
      <c r="FG51" s="55">
        <f>SUMIFS('Disbursements Summary'!$E:$E,'Disbursements Summary'!$C:$C,$C51,'Disbursements Summary'!$A:$A,"OTDA")</f>
        <v>0</v>
      </c>
      <c r="FH51" s="55">
        <f>SUMIFS('Awards Summary'!$H:$H,'Awards Summary'!$B:$B,$C51,'Awards Summary'!$J:$J,"OIG")</f>
        <v>0</v>
      </c>
      <c r="FI51" s="55">
        <f>SUMIFS('Disbursements Summary'!$E:$E,'Disbursements Summary'!$C:$C,$C51,'Disbursements Summary'!$A:$A,"OIG")</f>
        <v>0</v>
      </c>
      <c r="FJ51" s="55">
        <f>SUMIFS('Awards Summary'!$H:$H,'Awards Summary'!$B:$B,$C51,'Awards Summary'!$J:$J,"OMIG")</f>
        <v>0</v>
      </c>
      <c r="FK51" s="55">
        <f>SUMIFS('Disbursements Summary'!$E:$E,'Disbursements Summary'!$C:$C,$C51,'Disbursements Summary'!$A:$A,"OMIG")</f>
        <v>0</v>
      </c>
      <c r="FL51" s="55">
        <f>SUMIFS('Awards Summary'!$H:$H,'Awards Summary'!$B:$B,$C51,'Awards Summary'!$J:$J,"OSC")</f>
        <v>0</v>
      </c>
      <c r="FM51" s="55">
        <f>SUMIFS('Disbursements Summary'!$E:$E,'Disbursements Summary'!$C:$C,$C51,'Disbursements Summary'!$A:$A,"OSC")</f>
        <v>0</v>
      </c>
      <c r="FN51" s="55">
        <f>SUMIFS('Awards Summary'!$H:$H,'Awards Summary'!$B:$B,$C51,'Awards Summary'!$J:$J,"OWIG")</f>
        <v>0</v>
      </c>
      <c r="FO51" s="55">
        <f>SUMIFS('Disbursements Summary'!$E:$E,'Disbursements Summary'!$C:$C,$C51,'Disbursements Summary'!$A:$A,"OWIG")</f>
        <v>0</v>
      </c>
      <c r="FP51" s="55">
        <f>SUMIFS('Awards Summary'!$H:$H,'Awards Summary'!$B:$B,$C51,'Awards Summary'!$J:$J,"OGDEN")</f>
        <v>0</v>
      </c>
      <c r="FQ51" s="55">
        <f>SUMIFS('Disbursements Summary'!$E:$E,'Disbursements Summary'!$C:$C,$C51,'Disbursements Summary'!$A:$A,"OGDEN")</f>
        <v>0</v>
      </c>
      <c r="FR51" s="55">
        <f>SUMIFS('Awards Summary'!$H:$H,'Awards Summary'!$B:$B,$C51,'Awards Summary'!$J:$J,"ORDA")</f>
        <v>0</v>
      </c>
      <c r="FS51" s="55">
        <f>SUMIFS('Disbursements Summary'!$E:$E,'Disbursements Summary'!$C:$C,$C51,'Disbursements Summary'!$A:$A,"ORDA")</f>
        <v>0</v>
      </c>
      <c r="FT51" s="55">
        <f>SUMIFS('Awards Summary'!$H:$H,'Awards Summary'!$B:$B,$C51,'Awards Summary'!$J:$J,"OSWEGO")</f>
        <v>0</v>
      </c>
      <c r="FU51" s="55">
        <f>SUMIFS('Disbursements Summary'!$E:$E,'Disbursements Summary'!$C:$C,$C51,'Disbursements Summary'!$A:$A,"OSWEGO")</f>
        <v>0</v>
      </c>
      <c r="FV51" s="55">
        <f>SUMIFS('Awards Summary'!$H:$H,'Awards Summary'!$B:$B,$C51,'Awards Summary'!$J:$J,"PERB")</f>
        <v>0</v>
      </c>
      <c r="FW51" s="55">
        <f>SUMIFS('Disbursements Summary'!$E:$E,'Disbursements Summary'!$C:$C,$C51,'Disbursements Summary'!$A:$A,"PERB")</f>
        <v>0</v>
      </c>
      <c r="FX51" s="55">
        <f>SUMIFS('Awards Summary'!$H:$H,'Awards Summary'!$B:$B,$C51,'Awards Summary'!$J:$J,"RGRTA")</f>
        <v>0</v>
      </c>
      <c r="FY51" s="55">
        <f>SUMIFS('Disbursements Summary'!$E:$E,'Disbursements Summary'!$C:$C,$C51,'Disbursements Summary'!$A:$A,"RGRTA")</f>
        <v>0</v>
      </c>
      <c r="FZ51" s="55">
        <f>SUMIFS('Awards Summary'!$H:$H,'Awards Summary'!$B:$B,$C51,'Awards Summary'!$J:$J,"RIOC")</f>
        <v>0</v>
      </c>
      <c r="GA51" s="55">
        <f>SUMIFS('Disbursements Summary'!$E:$E,'Disbursements Summary'!$C:$C,$C51,'Disbursements Summary'!$A:$A,"RIOC")</f>
        <v>0</v>
      </c>
      <c r="GB51" s="55">
        <f>SUMIFS('Awards Summary'!$H:$H,'Awards Summary'!$B:$B,$C51,'Awards Summary'!$J:$J,"RPCI")</f>
        <v>0</v>
      </c>
      <c r="GC51" s="55">
        <f>SUMIFS('Disbursements Summary'!$E:$E,'Disbursements Summary'!$C:$C,$C51,'Disbursements Summary'!$A:$A,"RPCI")</f>
        <v>0</v>
      </c>
      <c r="GD51" s="55">
        <f>SUMIFS('Awards Summary'!$H:$H,'Awards Summary'!$B:$B,$C51,'Awards Summary'!$J:$J,"SMDA")</f>
        <v>0</v>
      </c>
      <c r="GE51" s="55">
        <f>SUMIFS('Disbursements Summary'!$E:$E,'Disbursements Summary'!$C:$C,$C51,'Disbursements Summary'!$A:$A,"SMDA")</f>
        <v>0</v>
      </c>
      <c r="GF51" s="55">
        <f>SUMIFS('Awards Summary'!$H:$H,'Awards Summary'!$B:$B,$C51,'Awards Summary'!$J:$J,"SCOC")</f>
        <v>0</v>
      </c>
      <c r="GG51" s="55">
        <f>SUMIFS('Disbursements Summary'!$E:$E,'Disbursements Summary'!$C:$C,$C51,'Disbursements Summary'!$A:$A,"SCOC")</f>
        <v>0</v>
      </c>
      <c r="GH51" s="55">
        <f>SUMIFS('Awards Summary'!$H:$H,'Awards Summary'!$B:$B,$C51,'Awards Summary'!$J:$J,"SUCF")</f>
        <v>0</v>
      </c>
      <c r="GI51" s="55">
        <f>SUMIFS('Disbursements Summary'!$E:$E,'Disbursements Summary'!$C:$C,$C51,'Disbursements Summary'!$A:$A,"SUCF")</f>
        <v>0</v>
      </c>
      <c r="GJ51" s="55">
        <f>SUMIFS('Awards Summary'!$H:$H,'Awards Summary'!$B:$B,$C51,'Awards Summary'!$J:$J,"SUNY")</f>
        <v>0</v>
      </c>
      <c r="GK51" s="55">
        <f>SUMIFS('Disbursements Summary'!$E:$E,'Disbursements Summary'!$C:$C,$C51,'Disbursements Summary'!$A:$A,"SUNY")</f>
        <v>0</v>
      </c>
      <c r="GL51" s="55">
        <f>SUMIFS('Awards Summary'!$H:$H,'Awards Summary'!$B:$B,$C51,'Awards Summary'!$J:$J,"SRAA")</f>
        <v>0</v>
      </c>
      <c r="GM51" s="55">
        <f>SUMIFS('Disbursements Summary'!$E:$E,'Disbursements Summary'!$C:$C,$C51,'Disbursements Summary'!$A:$A,"SRAA")</f>
        <v>0</v>
      </c>
      <c r="GN51" s="55">
        <f>SUMIFS('Awards Summary'!$H:$H,'Awards Summary'!$B:$B,$C51,'Awards Summary'!$J:$J,"UNDC")</f>
        <v>0</v>
      </c>
      <c r="GO51" s="55">
        <f>SUMIFS('Disbursements Summary'!$E:$E,'Disbursements Summary'!$C:$C,$C51,'Disbursements Summary'!$A:$A,"UNDC")</f>
        <v>0</v>
      </c>
      <c r="GP51" s="55">
        <f>SUMIFS('Awards Summary'!$H:$H,'Awards Summary'!$B:$B,$C51,'Awards Summary'!$J:$J,"MVWA")</f>
        <v>0</v>
      </c>
      <c r="GQ51" s="55">
        <f>SUMIFS('Disbursements Summary'!$E:$E,'Disbursements Summary'!$C:$C,$C51,'Disbursements Summary'!$A:$A,"MVWA")</f>
        <v>0</v>
      </c>
      <c r="GR51" s="55">
        <f>SUMIFS('Awards Summary'!$H:$H,'Awards Summary'!$B:$B,$C51,'Awards Summary'!$J:$J,"WMC")</f>
        <v>0</v>
      </c>
      <c r="GS51" s="55">
        <f>SUMIFS('Disbursements Summary'!$E:$E,'Disbursements Summary'!$C:$C,$C51,'Disbursements Summary'!$A:$A,"WMC")</f>
        <v>0</v>
      </c>
      <c r="GT51" s="55">
        <f>SUMIFS('Awards Summary'!$H:$H,'Awards Summary'!$B:$B,$C51,'Awards Summary'!$J:$J,"WCB")</f>
        <v>0</v>
      </c>
      <c r="GU51" s="55">
        <f>SUMIFS('Disbursements Summary'!$E:$E,'Disbursements Summary'!$C:$C,$C51,'Disbursements Summary'!$A:$A,"WCB")</f>
        <v>0</v>
      </c>
      <c r="GV51" s="32">
        <f t="shared" si="5"/>
        <v>0</v>
      </c>
      <c r="GW51" s="32">
        <f t="shared" si="6"/>
        <v>0</v>
      </c>
      <c r="GX51" s="30" t="b">
        <f t="shared" si="7"/>
        <v>1</v>
      </c>
      <c r="GY51" s="30" t="b">
        <f t="shared" si="8"/>
        <v>1</v>
      </c>
    </row>
    <row r="52" spans="1:207" s="30" customFormat="1">
      <c r="A52" s="22" t="str">
        <f t="shared" si="0"/>
        <v/>
      </c>
      <c r="B52" s="21" t="s">
        <v>234</v>
      </c>
      <c r="C52" s="16">
        <v>151091</v>
      </c>
      <c r="D52" s="26">
        <f>COUNTIF('Awards Summary'!B:B,"151091")</f>
        <v>0</v>
      </c>
      <c r="E52" s="45">
        <f>SUMIFS('Awards Summary'!H:H,'Awards Summary'!B:B,"151091")</f>
        <v>0</v>
      </c>
      <c r="F52" s="46">
        <f>SUMIFS('Disbursements Summary'!E:E,'Disbursements Summary'!C:C, "151091")</f>
        <v>0</v>
      </c>
      <c r="H52" s="55">
        <f>SUMIFS('Awards Summary'!$H:$H,'Awards Summary'!$B:$B,$C52,'Awards Summary'!$J:$J,"APA")</f>
        <v>0</v>
      </c>
      <c r="I52" s="55">
        <f>SUMIFS('Disbursements Summary'!$E:$E,'Disbursements Summary'!$C:$C,$C52,'Disbursements Summary'!$A:$A,"APA")</f>
        <v>0</v>
      </c>
      <c r="J52" s="55">
        <f>SUMIFS('Awards Summary'!$H:$H,'Awards Summary'!$B:$B,$C52,'Awards Summary'!$J:$J,"Ag&amp;Horse")</f>
        <v>0</v>
      </c>
      <c r="K52" s="55">
        <f>SUMIFS('Disbursements Summary'!$E:$E,'Disbursements Summary'!$C:$C,$C52,'Disbursements Summary'!$A:$A,"Ag&amp;Horse")</f>
        <v>0</v>
      </c>
      <c r="L52" s="55">
        <f>SUMIFS('Awards Summary'!$H:$H,'Awards Summary'!$B:$B,$C52,'Awards Summary'!$J:$J,"ACAA")</f>
        <v>0</v>
      </c>
      <c r="M52" s="55">
        <f>SUMIFS('Disbursements Summary'!$E:$E,'Disbursements Summary'!$C:$C,$C52,'Disbursements Summary'!$A:$A,"ACAA")</f>
        <v>0</v>
      </c>
      <c r="N52" s="55">
        <f>SUMIFS('Awards Summary'!$H:$H,'Awards Summary'!$B:$B,$C52,'Awards Summary'!$J:$J,"PortAlbany")</f>
        <v>0</v>
      </c>
      <c r="O52" s="55">
        <f>SUMIFS('Disbursements Summary'!$E:$E,'Disbursements Summary'!$C:$C,$C52,'Disbursements Summary'!$A:$A,"PortAlbany")</f>
        <v>0</v>
      </c>
      <c r="P52" s="55">
        <f>SUMIFS('Awards Summary'!$H:$H,'Awards Summary'!$B:$B,$C52,'Awards Summary'!$J:$J,"SLA")</f>
        <v>0</v>
      </c>
      <c r="Q52" s="55">
        <f>SUMIFS('Disbursements Summary'!$E:$E,'Disbursements Summary'!$C:$C,$C52,'Disbursements Summary'!$A:$A,"SLA")</f>
        <v>0</v>
      </c>
      <c r="R52" s="55">
        <f>SUMIFS('Awards Summary'!$H:$H,'Awards Summary'!$B:$B,$C52,'Awards Summary'!$J:$J,"BPCA")</f>
        <v>0</v>
      </c>
      <c r="S52" s="55">
        <f>SUMIFS('Disbursements Summary'!$E:$E,'Disbursements Summary'!$C:$C,$C52,'Disbursements Summary'!$A:$A,"BPCA")</f>
        <v>0</v>
      </c>
      <c r="T52" s="55">
        <f>SUMIFS('Awards Summary'!$H:$H,'Awards Summary'!$B:$B,$C52,'Awards Summary'!$J:$J,"ELECTIONS")</f>
        <v>0</v>
      </c>
      <c r="U52" s="55">
        <f>SUMIFS('Disbursements Summary'!$E:$E,'Disbursements Summary'!$C:$C,$C52,'Disbursements Summary'!$A:$A,"ELECTIONS")</f>
        <v>0</v>
      </c>
      <c r="V52" s="55">
        <f>SUMIFS('Awards Summary'!$H:$H,'Awards Summary'!$B:$B,$C52,'Awards Summary'!$J:$J,"BFSA")</f>
        <v>0</v>
      </c>
      <c r="W52" s="55">
        <f>SUMIFS('Disbursements Summary'!$E:$E,'Disbursements Summary'!$C:$C,$C52,'Disbursements Summary'!$A:$A,"BFSA")</f>
        <v>0</v>
      </c>
      <c r="X52" s="55">
        <f>SUMIFS('Awards Summary'!$H:$H,'Awards Summary'!$B:$B,$C52,'Awards Summary'!$J:$J,"CDTA")</f>
        <v>0</v>
      </c>
      <c r="Y52" s="55">
        <f>SUMIFS('Disbursements Summary'!$E:$E,'Disbursements Summary'!$C:$C,$C52,'Disbursements Summary'!$A:$A,"CDTA")</f>
        <v>0</v>
      </c>
      <c r="Z52" s="55">
        <f>SUMIFS('Awards Summary'!$H:$H,'Awards Summary'!$B:$B,$C52,'Awards Summary'!$J:$J,"CCWSA")</f>
        <v>0</v>
      </c>
      <c r="AA52" s="55">
        <f>SUMIFS('Disbursements Summary'!$E:$E,'Disbursements Summary'!$C:$C,$C52,'Disbursements Summary'!$A:$A,"CCWSA")</f>
        <v>0</v>
      </c>
      <c r="AB52" s="55">
        <f>SUMIFS('Awards Summary'!$H:$H,'Awards Summary'!$B:$B,$C52,'Awards Summary'!$J:$J,"CNYRTA")</f>
        <v>0</v>
      </c>
      <c r="AC52" s="55">
        <f>SUMIFS('Disbursements Summary'!$E:$E,'Disbursements Summary'!$C:$C,$C52,'Disbursements Summary'!$A:$A,"CNYRTA")</f>
        <v>0</v>
      </c>
      <c r="AD52" s="55">
        <f>SUMIFS('Awards Summary'!$H:$H,'Awards Summary'!$B:$B,$C52,'Awards Summary'!$J:$J,"CUCF")</f>
        <v>0</v>
      </c>
      <c r="AE52" s="55">
        <f>SUMIFS('Disbursements Summary'!$E:$E,'Disbursements Summary'!$C:$C,$C52,'Disbursements Summary'!$A:$A,"CUCF")</f>
        <v>0</v>
      </c>
      <c r="AF52" s="55">
        <f>SUMIFS('Awards Summary'!$H:$H,'Awards Summary'!$B:$B,$C52,'Awards Summary'!$J:$J,"CUNY")</f>
        <v>0</v>
      </c>
      <c r="AG52" s="55">
        <f>SUMIFS('Disbursements Summary'!$E:$E,'Disbursements Summary'!$C:$C,$C52,'Disbursements Summary'!$A:$A,"CUNY")</f>
        <v>0</v>
      </c>
      <c r="AH52" s="55">
        <f>SUMIFS('Awards Summary'!$H:$H,'Awards Summary'!$B:$B,$C52,'Awards Summary'!$J:$J,"ARTS")</f>
        <v>0</v>
      </c>
      <c r="AI52" s="55">
        <f>SUMIFS('Disbursements Summary'!$E:$E,'Disbursements Summary'!$C:$C,$C52,'Disbursements Summary'!$A:$A,"ARTS")</f>
        <v>0</v>
      </c>
      <c r="AJ52" s="55">
        <f>SUMIFS('Awards Summary'!$H:$H,'Awards Summary'!$B:$B,$C52,'Awards Summary'!$J:$J,"AG&amp;MKTS")</f>
        <v>0</v>
      </c>
      <c r="AK52" s="55">
        <f>SUMIFS('Disbursements Summary'!$E:$E,'Disbursements Summary'!$C:$C,$C52,'Disbursements Summary'!$A:$A,"AG&amp;MKTS")</f>
        <v>0</v>
      </c>
      <c r="AL52" s="55">
        <f>SUMIFS('Awards Summary'!$H:$H,'Awards Summary'!$B:$B,$C52,'Awards Summary'!$J:$J,"CS")</f>
        <v>0</v>
      </c>
      <c r="AM52" s="55">
        <f>SUMIFS('Disbursements Summary'!$E:$E,'Disbursements Summary'!$C:$C,$C52,'Disbursements Summary'!$A:$A,"CS")</f>
        <v>0</v>
      </c>
      <c r="AN52" s="55">
        <f>SUMIFS('Awards Summary'!$H:$H,'Awards Summary'!$B:$B,$C52,'Awards Summary'!$J:$J,"DOCCS")</f>
        <v>0</v>
      </c>
      <c r="AO52" s="55">
        <f>SUMIFS('Disbursements Summary'!$E:$E,'Disbursements Summary'!$C:$C,$C52,'Disbursements Summary'!$A:$A,"DOCCS")</f>
        <v>0</v>
      </c>
      <c r="AP52" s="55">
        <f>SUMIFS('Awards Summary'!$H:$H,'Awards Summary'!$B:$B,$C52,'Awards Summary'!$J:$J,"DED")</f>
        <v>0</v>
      </c>
      <c r="AQ52" s="55">
        <f>SUMIFS('Disbursements Summary'!$E:$E,'Disbursements Summary'!$C:$C,$C52,'Disbursements Summary'!$A:$A,"DED")</f>
        <v>0</v>
      </c>
      <c r="AR52" s="55">
        <f>SUMIFS('Awards Summary'!$H:$H,'Awards Summary'!$B:$B,$C52,'Awards Summary'!$J:$J,"DEC")</f>
        <v>0</v>
      </c>
      <c r="AS52" s="55">
        <f>SUMIFS('Disbursements Summary'!$E:$E,'Disbursements Summary'!$C:$C,$C52,'Disbursements Summary'!$A:$A,"DEC")</f>
        <v>0</v>
      </c>
      <c r="AT52" s="55">
        <f>SUMIFS('Awards Summary'!$H:$H,'Awards Summary'!$B:$B,$C52,'Awards Summary'!$J:$J,"DFS")</f>
        <v>0</v>
      </c>
      <c r="AU52" s="55">
        <f>SUMIFS('Disbursements Summary'!$E:$E,'Disbursements Summary'!$C:$C,$C52,'Disbursements Summary'!$A:$A,"DFS")</f>
        <v>0</v>
      </c>
      <c r="AV52" s="55">
        <f>SUMIFS('Awards Summary'!$H:$H,'Awards Summary'!$B:$B,$C52,'Awards Summary'!$J:$J,"DOH")</f>
        <v>0</v>
      </c>
      <c r="AW52" s="55">
        <f>SUMIFS('Disbursements Summary'!$E:$E,'Disbursements Summary'!$C:$C,$C52,'Disbursements Summary'!$A:$A,"DOH")</f>
        <v>0</v>
      </c>
      <c r="AX52" s="55">
        <f>SUMIFS('Awards Summary'!$H:$H,'Awards Summary'!$B:$B,$C52,'Awards Summary'!$J:$J,"DOL")</f>
        <v>0</v>
      </c>
      <c r="AY52" s="55">
        <f>SUMIFS('Disbursements Summary'!$E:$E,'Disbursements Summary'!$C:$C,$C52,'Disbursements Summary'!$A:$A,"DOL")</f>
        <v>0</v>
      </c>
      <c r="AZ52" s="55">
        <f>SUMIFS('Awards Summary'!$H:$H,'Awards Summary'!$B:$B,$C52,'Awards Summary'!$J:$J,"DMV")</f>
        <v>0</v>
      </c>
      <c r="BA52" s="55">
        <f>SUMIFS('Disbursements Summary'!$E:$E,'Disbursements Summary'!$C:$C,$C52,'Disbursements Summary'!$A:$A,"DMV")</f>
        <v>0</v>
      </c>
      <c r="BB52" s="55">
        <f>SUMIFS('Awards Summary'!$H:$H,'Awards Summary'!$B:$B,$C52,'Awards Summary'!$J:$J,"DPS")</f>
        <v>0</v>
      </c>
      <c r="BC52" s="55">
        <f>SUMIFS('Disbursements Summary'!$E:$E,'Disbursements Summary'!$C:$C,$C52,'Disbursements Summary'!$A:$A,"DPS")</f>
        <v>0</v>
      </c>
      <c r="BD52" s="55">
        <f>SUMIFS('Awards Summary'!$H:$H,'Awards Summary'!$B:$B,$C52,'Awards Summary'!$J:$J,"DOS")</f>
        <v>0</v>
      </c>
      <c r="BE52" s="55">
        <f>SUMIFS('Disbursements Summary'!$E:$E,'Disbursements Summary'!$C:$C,$C52,'Disbursements Summary'!$A:$A,"DOS")</f>
        <v>0</v>
      </c>
      <c r="BF52" s="55">
        <f>SUMIFS('Awards Summary'!$H:$H,'Awards Summary'!$B:$B,$C52,'Awards Summary'!$J:$J,"TAX")</f>
        <v>0</v>
      </c>
      <c r="BG52" s="55">
        <f>SUMIFS('Disbursements Summary'!$E:$E,'Disbursements Summary'!$C:$C,$C52,'Disbursements Summary'!$A:$A,"TAX")</f>
        <v>0</v>
      </c>
      <c r="BH52" s="55">
        <f>SUMIFS('Awards Summary'!$H:$H,'Awards Summary'!$B:$B,$C52,'Awards Summary'!$J:$J,"DOT")</f>
        <v>0</v>
      </c>
      <c r="BI52" s="55">
        <f>SUMIFS('Disbursements Summary'!$E:$E,'Disbursements Summary'!$C:$C,$C52,'Disbursements Summary'!$A:$A,"DOT")</f>
        <v>0</v>
      </c>
      <c r="BJ52" s="55">
        <f>SUMIFS('Awards Summary'!$H:$H,'Awards Summary'!$B:$B,$C52,'Awards Summary'!$J:$J,"DANC")</f>
        <v>0</v>
      </c>
      <c r="BK52" s="55">
        <f>SUMIFS('Disbursements Summary'!$E:$E,'Disbursements Summary'!$C:$C,$C52,'Disbursements Summary'!$A:$A,"DANC")</f>
        <v>0</v>
      </c>
      <c r="BL52" s="55">
        <f>SUMIFS('Awards Summary'!$H:$H,'Awards Summary'!$B:$B,$C52,'Awards Summary'!$J:$J,"DOB")</f>
        <v>0</v>
      </c>
      <c r="BM52" s="55">
        <f>SUMIFS('Disbursements Summary'!$E:$E,'Disbursements Summary'!$C:$C,$C52,'Disbursements Summary'!$A:$A,"DOB")</f>
        <v>0</v>
      </c>
      <c r="BN52" s="55">
        <f>SUMIFS('Awards Summary'!$H:$H,'Awards Summary'!$B:$B,$C52,'Awards Summary'!$J:$J,"DCJS")</f>
        <v>0</v>
      </c>
      <c r="BO52" s="55">
        <f>SUMIFS('Disbursements Summary'!$E:$E,'Disbursements Summary'!$C:$C,$C52,'Disbursements Summary'!$A:$A,"DCJS")</f>
        <v>0</v>
      </c>
      <c r="BP52" s="55">
        <f>SUMIFS('Awards Summary'!$H:$H,'Awards Summary'!$B:$B,$C52,'Awards Summary'!$J:$J,"DHSES")</f>
        <v>0</v>
      </c>
      <c r="BQ52" s="55">
        <f>SUMIFS('Disbursements Summary'!$E:$E,'Disbursements Summary'!$C:$C,$C52,'Disbursements Summary'!$A:$A,"DHSES")</f>
        <v>0</v>
      </c>
      <c r="BR52" s="55">
        <f>SUMIFS('Awards Summary'!$H:$H,'Awards Summary'!$B:$B,$C52,'Awards Summary'!$J:$J,"DHR")</f>
        <v>0</v>
      </c>
      <c r="BS52" s="55">
        <f>SUMIFS('Disbursements Summary'!$E:$E,'Disbursements Summary'!$C:$C,$C52,'Disbursements Summary'!$A:$A,"DHR")</f>
        <v>0</v>
      </c>
      <c r="BT52" s="55">
        <f>SUMIFS('Awards Summary'!$H:$H,'Awards Summary'!$B:$B,$C52,'Awards Summary'!$J:$J,"DMNA")</f>
        <v>0</v>
      </c>
      <c r="BU52" s="55">
        <f>SUMIFS('Disbursements Summary'!$E:$E,'Disbursements Summary'!$C:$C,$C52,'Disbursements Summary'!$A:$A,"DMNA")</f>
        <v>0</v>
      </c>
      <c r="BV52" s="55">
        <f>SUMIFS('Awards Summary'!$H:$H,'Awards Summary'!$B:$B,$C52,'Awards Summary'!$J:$J,"TROOPERS")</f>
        <v>0</v>
      </c>
      <c r="BW52" s="55">
        <f>SUMIFS('Disbursements Summary'!$E:$E,'Disbursements Summary'!$C:$C,$C52,'Disbursements Summary'!$A:$A,"TROOPERS")</f>
        <v>0</v>
      </c>
      <c r="BX52" s="55">
        <f>SUMIFS('Awards Summary'!$H:$H,'Awards Summary'!$B:$B,$C52,'Awards Summary'!$J:$J,"DVA")</f>
        <v>0</v>
      </c>
      <c r="BY52" s="55">
        <f>SUMIFS('Disbursements Summary'!$E:$E,'Disbursements Summary'!$C:$C,$C52,'Disbursements Summary'!$A:$A,"DVA")</f>
        <v>0</v>
      </c>
      <c r="BZ52" s="55">
        <f>SUMIFS('Awards Summary'!$H:$H,'Awards Summary'!$B:$B,$C52,'Awards Summary'!$J:$J,"DASNY")</f>
        <v>0</v>
      </c>
      <c r="CA52" s="55">
        <f>SUMIFS('Disbursements Summary'!$E:$E,'Disbursements Summary'!$C:$C,$C52,'Disbursements Summary'!$A:$A,"DASNY")</f>
        <v>0</v>
      </c>
      <c r="CB52" s="55">
        <f>SUMIFS('Awards Summary'!$H:$H,'Awards Summary'!$B:$B,$C52,'Awards Summary'!$J:$J,"EGG")</f>
        <v>0</v>
      </c>
      <c r="CC52" s="55">
        <f>SUMIFS('Disbursements Summary'!$E:$E,'Disbursements Summary'!$C:$C,$C52,'Disbursements Summary'!$A:$A,"EGG")</f>
        <v>0</v>
      </c>
      <c r="CD52" s="55">
        <f>SUMIFS('Awards Summary'!$H:$H,'Awards Summary'!$B:$B,$C52,'Awards Summary'!$J:$J,"ESD")</f>
        <v>0</v>
      </c>
      <c r="CE52" s="55">
        <f>SUMIFS('Disbursements Summary'!$E:$E,'Disbursements Summary'!$C:$C,$C52,'Disbursements Summary'!$A:$A,"ESD")</f>
        <v>0</v>
      </c>
      <c r="CF52" s="55">
        <f>SUMIFS('Awards Summary'!$H:$H,'Awards Summary'!$B:$B,$C52,'Awards Summary'!$J:$J,"EFC")</f>
        <v>0</v>
      </c>
      <c r="CG52" s="55">
        <f>SUMIFS('Disbursements Summary'!$E:$E,'Disbursements Summary'!$C:$C,$C52,'Disbursements Summary'!$A:$A,"EFC")</f>
        <v>0</v>
      </c>
      <c r="CH52" s="55">
        <f>SUMIFS('Awards Summary'!$H:$H,'Awards Summary'!$B:$B,$C52,'Awards Summary'!$J:$J,"ECFSA")</f>
        <v>0</v>
      </c>
      <c r="CI52" s="55">
        <f>SUMIFS('Disbursements Summary'!$E:$E,'Disbursements Summary'!$C:$C,$C52,'Disbursements Summary'!$A:$A,"ECFSA")</f>
        <v>0</v>
      </c>
      <c r="CJ52" s="55">
        <f>SUMIFS('Awards Summary'!$H:$H,'Awards Summary'!$B:$B,$C52,'Awards Summary'!$J:$J,"ECMC")</f>
        <v>0</v>
      </c>
      <c r="CK52" s="55">
        <f>SUMIFS('Disbursements Summary'!$E:$E,'Disbursements Summary'!$C:$C,$C52,'Disbursements Summary'!$A:$A,"ECMC")</f>
        <v>0</v>
      </c>
      <c r="CL52" s="55">
        <f>SUMIFS('Awards Summary'!$H:$H,'Awards Summary'!$B:$B,$C52,'Awards Summary'!$J:$J,"CHAMBER")</f>
        <v>0</v>
      </c>
      <c r="CM52" s="55">
        <f>SUMIFS('Disbursements Summary'!$E:$E,'Disbursements Summary'!$C:$C,$C52,'Disbursements Summary'!$A:$A,"CHAMBER")</f>
        <v>0</v>
      </c>
      <c r="CN52" s="55">
        <f>SUMIFS('Awards Summary'!$H:$H,'Awards Summary'!$B:$B,$C52,'Awards Summary'!$J:$J,"GAMING")</f>
        <v>0</v>
      </c>
      <c r="CO52" s="55">
        <f>SUMIFS('Disbursements Summary'!$E:$E,'Disbursements Summary'!$C:$C,$C52,'Disbursements Summary'!$A:$A,"GAMING")</f>
        <v>0</v>
      </c>
      <c r="CP52" s="55">
        <f>SUMIFS('Awards Summary'!$H:$H,'Awards Summary'!$B:$B,$C52,'Awards Summary'!$J:$J,"GOER")</f>
        <v>0</v>
      </c>
      <c r="CQ52" s="55">
        <f>SUMIFS('Disbursements Summary'!$E:$E,'Disbursements Summary'!$C:$C,$C52,'Disbursements Summary'!$A:$A,"GOER")</f>
        <v>0</v>
      </c>
      <c r="CR52" s="55">
        <f>SUMIFS('Awards Summary'!$H:$H,'Awards Summary'!$B:$B,$C52,'Awards Summary'!$J:$J,"HESC")</f>
        <v>0</v>
      </c>
      <c r="CS52" s="55">
        <f>SUMIFS('Disbursements Summary'!$E:$E,'Disbursements Summary'!$C:$C,$C52,'Disbursements Summary'!$A:$A,"HESC")</f>
        <v>0</v>
      </c>
      <c r="CT52" s="55">
        <f>SUMIFS('Awards Summary'!$H:$H,'Awards Summary'!$B:$B,$C52,'Awards Summary'!$J:$J,"GOSR")</f>
        <v>0</v>
      </c>
      <c r="CU52" s="55">
        <f>SUMIFS('Disbursements Summary'!$E:$E,'Disbursements Summary'!$C:$C,$C52,'Disbursements Summary'!$A:$A,"GOSR")</f>
        <v>0</v>
      </c>
      <c r="CV52" s="55">
        <f>SUMIFS('Awards Summary'!$H:$H,'Awards Summary'!$B:$B,$C52,'Awards Summary'!$J:$J,"HRPT")</f>
        <v>0</v>
      </c>
      <c r="CW52" s="55">
        <f>SUMIFS('Disbursements Summary'!$E:$E,'Disbursements Summary'!$C:$C,$C52,'Disbursements Summary'!$A:$A,"HRPT")</f>
        <v>0</v>
      </c>
      <c r="CX52" s="55">
        <f>SUMIFS('Awards Summary'!$H:$H,'Awards Summary'!$B:$B,$C52,'Awards Summary'!$J:$J,"HRBRRD")</f>
        <v>0</v>
      </c>
      <c r="CY52" s="55">
        <f>SUMIFS('Disbursements Summary'!$E:$E,'Disbursements Summary'!$C:$C,$C52,'Disbursements Summary'!$A:$A,"HRBRRD")</f>
        <v>0</v>
      </c>
      <c r="CZ52" s="55">
        <f>SUMIFS('Awards Summary'!$H:$H,'Awards Summary'!$B:$B,$C52,'Awards Summary'!$J:$J,"ITS")</f>
        <v>0</v>
      </c>
      <c r="DA52" s="55">
        <f>SUMIFS('Disbursements Summary'!$E:$E,'Disbursements Summary'!$C:$C,$C52,'Disbursements Summary'!$A:$A,"ITS")</f>
        <v>0</v>
      </c>
      <c r="DB52" s="55">
        <f>SUMIFS('Awards Summary'!$H:$H,'Awards Summary'!$B:$B,$C52,'Awards Summary'!$J:$J,"JAVITS")</f>
        <v>0</v>
      </c>
      <c r="DC52" s="55">
        <f>SUMIFS('Disbursements Summary'!$E:$E,'Disbursements Summary'!$C:$C,$C52,'Disbursements Summary'!$A:$A,"JAVITS")</f>
        <v>0</v>
      </c>
      <c r="DD52" s="55">
        <f>SUMIFS('Awards Summary'!$H:$H,'Awards Summary'!$B:$B,$C52,'Awards Summary'!$J:$J,"JCOPE")</f>
        <v>0</v>
      </c>
      <c r="DE52" s="55">
        <f>SUMIFS('Disbursements Summary'!$E:$E,'Disbursements Summary'!$C:$C,$C52,'Disbursements Summary'!$A:$A,"JCOPE")</f>
        <v>0</v>
      </c>
      <c r="DF52" s="55">
        <f>SUMIFS('Awards Summary'!$H:$H,'Awards Summary'!$B:$B,$C52,'Awards Summary'!$J:$J,"JUSTICE")</f>
        <v>0</v>
      </c>
      <c r="DG52" s="55">
        <f>SUMIFS('Disbursements Summary'!$E:$E,'Disbursements Summary'!$C:$C,$C52,'Disbursements Summary'!$A:$A,"JUSTICE")</f>
        <v>0</v>
      </c>
      <c r="DH52" s="55">
        <f>SUMIFS('Awards Summary'!$H:$H,'Awards Summary'!$B:$B,$C52,'Awards Summary'!$J:$J,"LCWSA")</f>
        <v>0</v>
      </c>
      <c r="DI52" s="55">
        <f>SUMIFS('Disbursements Summary'!$E:$E,'Disbursements Summary'!$C:$C,$C52,'Disbursements Summary'!$A:$A,"LCWSA")</f>
        <v>0</v>
      </c>
      <c r="DJ52" s="55">
        <f>SUMIFS('Awards Summary'!$H:$H,'Awards Summary'!$B:$B,$C52,'Awards Summary'!$J:$J,"LIPA")</f>
        <v>0</v>
      </c>
      <c r="DK52" s="55">
        <f>SUMIFS('Disbursements Summary'!$E:$E,'Disbursements Summary'!$C:$C,$C52,'Disbursements Summary'!$A:$A,"LIPA")</f>
        <v>0</v>
      </c>
      <c r="DL52" s="55">
        <f>SUMIFS('Awards Summary'!$H:$H,'Awards Summary'!$B:$B,$C52,'Awards Summary'!$J:$J,"MTA")</f>
        <v>0</v>
      </c>
      <c r="DM52" s="55">
        <f>SUMIFS('Disbursements Summary'!$E:$E,'Disbursements Summary'!$C:$C,$C52,'Disbursements Summary'!$A:$A,"MTA")</f>
        <v>0</v>
      </c>
      <c r="DN52" s="55">
        <f>SUMIFS('Awards Summary'!$H:$H,'Awards Summary'!$B:$B,$C52,'Awards Summary'!$J:$J,"NIFA")</f>
        <v>0</v>
      </c>
      <c r="DO52" s="55">
        <f>SUMIFS('Disbursements Summary'!$E:$E,'Disbursements Summary'!$C:$C,$C52,'Disbursements Summary'!$A:$A,"NIFA")</f>
        <v>0</v>
      </c>
      <c r="DP52" s="55">
        <f>SUMIFS('Awards Summary'!$H:$H,'Awards Summary'!$B:$B,$C52,'Awards Summary'!$J:$J,"NHCC")</f>
        <v>0</v>
      </c>
      <c r="DQ52" s="55">
        <f>SUMIFS('Disbursements Summary'!$E:$E,'Disbursements Summary'!$C:$C,$C52,'Disbursements Summary'!$A:$A,"NHCC")</f>
        <v>0</v>
      </c>
      <c r="DR52" s="55">
        <f>SUMIFS('Awards Summary'!$H:$H,'Awards Summary'!$B:$B,$C52,'Awards Summary'!$J:$J,"NHT")</f>
        <v>0</v>
      </c>
      <c r="DS52" s="55">
        <f>SUMIFS('Disbursements Summary'!$E:$E,'Disbursements Summary'!$C:$C,$C52,'Disbursements Summary'!$A:$A,"NHT")</f>
        <v>0</v>
      </c>
      <c r="DT52" s="55">
        <f>SUMIFS('Awards Summary'!$H:$H,'Awards Summary'!$B:$B,$C52,'Awards Summary'!$J:$J,"NYPA")</f>
        <v>0</v>
      </c>
      <c r="DU52" s="55">
        <f>SUMIFS('Disbursements Summary'!$E:$E,'Disbursements Summary'!$C:$C,$C52,'Disbursements Summary'!$A:$A,"NYPA")</f>
        <v>0</v>
      </c>
      <c r="DV52" s="55">
        <f>SUMIFS('Awards Summary'!$H:$H,'Awards Summary'!$B:$B,$C52,'Awards Summary'!$J:$J,"NYSBA")</f>
        <v>0</v>
      </c>
      <c r="DW52" s="55">
        <f>SUMIFS('Disbursements Summary'!$E:$E,'Disbursements Summary'!$C:$C,$C52,'Disbursements Summary'!$A:$A,"NYSBA")</f>
        <v>0</v>
      </c>
      <c r="DX52" s="55">
        <f>SUMIFS('Awards Summary'!$H:$H,'Awards Summary'!$B:$B,$C52,'Awards Summary'!$J:$J,"NYSERDA")</f>
        <v>0</v>
      </c>
      <c r="DY52" s="55">
        <f>SUMIFS('Disbursements Summary'!$E:$E,'Disbursements Summary'!$C:$C,$C52,'Disbursements Summary'!$A:$A,"NYSERDA")</f>
        <v>0</v>
      </c>
      <c r="DZ52" s="55">
        <f>SUMIFS('Awards Summary'!$H:$H,'Awards Summary'!$B:$B,$C52,'Awards Summary'!$J:$J,"DHCR")</f>
        <v>0</v>
      </c>
      <c r="EA52" s="55">
        <f>SUMIFS('Disbursements Summary'!$E:$E,'Disbursements Summary'!$C:$C,$C52,'Disbursements Summary'!$A:$A,"DHCR")</f>
        <v>0</v>
      </c>
      <c r="EB52" s="55">
        <f>SUMIFS('Awards Summary'!$H:$H,'Awards Summary'!$B:$B,$C52,'Awards Summary'!$J:$J,"HFA")</f>
        <v>0</v>
      </c>
      <c r="EC52" s="55">
        <f>SUMIFS('Disbursements Summary'!$E:$E,'Disbursements Summary'!$C:$C,$C52,'Disbursements Summary'!$A:$A,"HFA")</f>
        <v>0</v>
      </c>
      <c r="ED52" s="55">
        <f>SUMIFS('Awards Summary'!$H:$H,'Awards Summary'!$B:$B,$C52,'Awards Summary'!$J:$J,"NYSIF")</f>
        <v>0</v>
      </c>
      <c r="EE52" s="55">
        <f>SUMIFS('Disbursements Summary'!$E:$E,'Disbursements Summary'!$C:$C,$C52,'Disbursements Summary'!$A:$A,"NYSIF")</f>
        <v>0</v>
      </c>
      <c r="EF52" s="55">
        <f>SUMIFS('Awards Summary'!$H:$H,'Awards Summary'!$B:$B,$C52,'Awards Summary'!$J:$J,"NYBREDS")</f>
        <v>0</v>
      </c>
      <c r="EG52" s="55">
        <f>SUMIFS('Disbursements Summary'!$E:$E,'Disbursements Summary'!$C:$C,$C52,'Disbursements Summary'!$A:$A,"NYBREDS")</f>
        <v>0</v>
      </c>
      <c r="EH52" s="55">
        <f>SUMIFS('Awards Summary'!$H:$H,'Awards Summary'!$B:$B,$C52,'Awards Summary'!$J:$J,"NYSTA")</f>
        <v>0</v>
      </c>
      <c r="EI52" s="55">
        <f>SUMIFS('Disbursements Summary'!$E:$E,'Disbursements Summary'!$C:$C,$C52,'Disbursements Summary'!$A:$A,"NYSTA")</f>
        <v>0</v>
      </c>
      <c r="EJ52" s="55">
        <f>SUMIFS('Awards Summary'!$H:$H,'Awards Summary'!$B:$B,$C52,'Awards Summary'!$J:$J,"NFWB")</f>
        <v>0</v>
      </c>
      <c r="EK52" s="55">
        <f>SUMIFS('Disbursements Summary'!$E:$E,'Disbursements Summary'!$C:$C,$C52,'Disbursements Summary'!$A:$A,"NFWB")</f>
        <v>0</v>
      </c>
      <c r="EL52" s="55">
        <f>SUMIFS('Awards Summary'!$H:$H,'Awards Summary'!$B:$B,$C52,'Awards Summary'!$J:$J,"NFTA")</f>
        <v>0</v>
      </c>
      <c r="EM52" s="55">
        <f>SUMIFS('Disbursements Summary'!$E:$E,'Disbursements Summary'!$C:$C,$C52,'Disbursements Summary'!$A:$A,"NFTA")</f>
        <v>0</v>
      </c>
      <c r="EN52" s="55">
        <f>SUMIFS('Awards Summary'!$H:$H,'Awards Summary'!$B:$B,$C52,'Awards Summary'!$J:$J,"OPWDD")</f>
        <v>0</v>
      </c>
      <c r="EO52" s="55">
        <f>SUMIFS('Disbursements Summary'!$E:$E,'Disbursements Summary'!$C:$C,$C52,'Disbursements Summary'!$A:$A,"OPWDD")</f>
        <v>0</v>
      </c>
      <c r="EP52" s="55">
        <f>SUMIFS('Awards Summary'!$H:$H,'Awards Summary'!$B:$B,$C52,'Awards Summary'!$J:$J,"AGING")</f>
        <v>0</v>
      </c>
      <c r="EQ52" s="55">
        <f>SUMIFS('Disbursements Summary'!$E:$E,'Disbursements Summary'!$C:$C,$C52,'Disbursements Summary'!$A:$A,"AGING")</f>
        <v>0</v>
      </c>
      <c r="ER52" s="55">
        <f>SUMIFS('Awards Summary'!$H:$H,'Awards Summary'!$B:$B,$C52,'Awards Summary'!$J:$J,"OPDV")</f>
        <v>0</v>
      </c>
      <c r="ES52" s="55">
        <f>SUMIFS('Disbursements Summary'!$E:$E,'Disbursements Summary'!$C:$C,$C52,'Disbursements Summary'!$A:$A,"OPDV")</f>
        <v>0</v>
      </c>
      <c r="ET52" s="55">
        <f>SUMIFS('Awards Summary'!$H:$H,'Awards Summary'!$B:$B,$C52,'Awards Summary'!$J:$J,"OVS")</f>
        <v>0</v>
      </c>
      <c r="EU52" s="55">
        <f>SUMIFS('Disbursements Summary'!$E:$E,'Disbursements Summary'!$C:$C,$C52,'Disbursements Summary'!$A:$A,"OVS")</f>
        <v>0</v>
      </c>
      <c r="EV52" s="55">
        <f>SUMIFS('Awards Summary'!$H:$H,'Awards Summary'!$B:$B,$C52,'Awards Summary'!$J:$J,"OASAS")</f>
        <v>0</v>
      </c>
      <c r="EW52" s="55">
        <f>SUMIFS('Disbursements Summary'!$E:$E,'Disbursements Summary'!$C:$C,$C52,'Disbursements Summary'!$A:$A,"OASAS")</f>
        <v>0</v>
      </c>
      <c r="EX52" s="55">
        <f>SUMIFS('Awards Summary'!$H:$H,'Awards Summary'!$B:$B,$C52,'Awards Summary'!$J:$J,"OCFS")</f>
        <v>0</v>
      </c>
      <c r="EY52" s="55">
        <f>SUMIFS('Disbursements Summary'!$E:$E,'Disbursements Summary'!$C:$C,$C52,'Disbursements Summary'!$A:$A,"OCFS")</f>
        <v>0</v>
      </c>
      <c r="EZ52" s="55">
        <f>SUMIFS('Awards Summary'!$H:$H,'Awards Summary'!$B:$B,$C52,'Awards Summary'!$J:$J,"OGS")</f>
        <v>0</v>
      </c>
      <c r="FA52" s="55">
        <f>SUMIFS('Disbursements Summary'!$E:$E,'Disbursements Summary'!$C:$C,$C52,'Disbursements Summary'!$A:$A,"OGS")</f>
        <v>0</v>
      </c>
      <c r="FB52" s="55">
        <f>SUMIFS('Awards Summary'!$H:$H,'Awards Summary'!$B:$B,$C52,'Awards Summary'!$J:$J,"OMH")</f>
        <v>0</v>
      </c>
      <c r="FC52" s="55">
        <f>SUMIFS('Disbursements Summary'!$E:$E,'Disbursements Summary'!$C:$C,$C52,'Disbursements Summary'!$A:$A,"OMH")</f>
        <v>0</v>
      </c>
      <c r="FD52" s="55">
        <f>SUMIFS('Awards Summary'!$H:$H,'Awards Summary'!$B:$B,$C52,'Awards Summary'!$J:$J,"PARKS")</f>
        <v>0</v>
      </c>
      <c r="FE52" s="55">
        <f>SUMIFS('Disbursements Summary'!$E:$E,'Disbursements Summary'!$C:$C,$C52,'Disbursements Summary'!$A:$A,"PARKS")</f>
        <v>0</v>
      </c>
      <c r="FF52" s="55">
        <f>SUMIFS('Awards Summary'!$H:$H,'Awards Summary'!$B:$B,$C52,'Awards Summary'!$J:$J,"OTDA")</f>
        <v>0</v>
      </c>
      <c r="FG52" s="55">
        <f>SUMIFS('Disbursements Summary'!$E:$E,'Disbursements Summary'!$C:$C,$C52,'Disbursements Summary'!$A:$A,"OTDA")</f>
        <v>0</v>
      </c>
      <c r="FH52" s="55">
        <f>SUMIFS('Awards Summary'!$H:$H,'Awards Summary'!$B:$B,$C52,'Awards Summary'!$J:$J,"OIG")</f>
        <v>0</v>
      </c>
      <c r="FI52" s="55">
        <f>SUMIFS('Disbursements Summary'!$E:$E,'Disbursements Summary'!$C:$C,$C52,'Disbursements Summary'!$A:$A,"OIG")</f>
        <v>0</v>
      </c>
      <c r="FJ52" s="55">
        <f>SUMIFS('Awards Summary'!$H:$H,'Awards Summary'!$B:$B,$C52,'Awards Summary'!$J:$J,"OMIG")</f>
        <v>0</v>
      </c>
      <c r="FK52" s="55">
        <f>SUMIFS('Disbursements Summary'!$E:$E,'Disbursements Summary'!$C:$C,$C52,'Disbursements Summary'!$A:$A,"OMIG")</f>
        <v>0</v>
      </c>
      <c r="FL52" s="55">
        <f>SUMIFS('Awards Summary'!$H:$H,'Awards Summary'!$B:$B,$C52,'Awards Summary'!$J:$J,"OSC")</f>
        <v>0</v>
      </c>
      <c r="FM52" s="55">
        <f>SUMIFS('Disbursements Summary'!$E:$E,'Disbursements Summary'!$C:$C,$C52,'Disbursements Summary'!$A:$A,"OSC")</f>
        <v>0</v>
      </c>
      <c r="FN52" s="55">
        <f>SUMIFS('Awards Summary'!$H:$H,'Awards Summary'!$B:$B,$C52,'Awards Summary'!$J:$J,"OWIG")</f>
        <v>0</v>
      </c>
      <c r="FO52" s="55">
        <f>SUMIFS('Disbursements Summary'!$E:$E,'Disbursements Summary'!$C:$C,$C52,'Disbursements Summary'!$A:$A,"OWIG")</f>
        <v>0</v>
      </c>
      <c r="FP52" s="55">
        <f>SUMIFS('Awards Summary'!$H:$H,'Awards Summary'!$B:$B,$C52,'Awards Summary'!$J:$J,"OGDEN")</f>
        <v>0</v>
      </c>
      <c r="FQ52" s="55">
        <f>SUMIFS('Disbursements Summary'!$E:$E,'Disbursements Summary'!$C:$C,$C52,'Disbursements Summary'!$A:$A,"OGDEN")</f>
        <v>0</v>
      </c>
      <c r="FR52" s="55">
        <f>SUMIFS('Awards Summary'!$H:$H,'Awards Summary'!$B:$B,$C52,'Awards Summary'!$J:$J,"ORDA")</f>
        <v>0</v>
      </c>
      <c r="FS52" s="55">
        <f>SUMIFS('Disbursements Summary'!$E:$E,'Disbursements Summary'!$C:$C,$C52,'Disbursements Summary'!$A:$A,"ORDA")</f>
        <v>0</v>
      </c>
      <c r="FT52" s="55">
        <f>SUMIFS('Awards Summary'!$H:$H,'Awards Summary'!$B:$B,$C52,'Awards Summary'!$J:$J,"OSWEGO")</f>
        <v>0</v>
      </c>
      <c r="FU52" s="55">
        <f>SUMIFS('Disbursements Summary'!$E:$E,'Disbursements Summary'!$C:$C,$C52,'Disbursements Summary'!$A:$A,"OSWEGO")</f>
        <v>0</v>
      </c>
      <c r="FV52" s="55">
        <f>SUMIFS('Awards Summary'!$H:$H,'Awards Summary'!$B:$B,$C52,'Awards Summary'!$J:$J,"PERB")</f>
        <v>0</v>
      </c>
      <c r="FW52" s="55">
        <f>SUMIFS('Disbursements Summary'!$E:$E,'Disbursements Summary'!$C:$C,$C52,'Disbursements Summary'!$A:$A,"PERB")</f>
        <v>0</v>
      </c>
      <c r="FX52" s="55">
        <f>SUMIFS('Awards Summary'!$H:$H,'Awards Summary'!$B:$B,$C52,'Awards Summary'!$J:$J,"RGRTA")</f>
        <v>0</v>
      </c>
      <c r="FY52" s="55">
        <f>SUMIFS('Disbursements Summary'!$E:$E,'Disbursements Summary'!$C:$C,$C52,'Disbursements Summary'!$A:$A,"RGRTA")</f>
        <v>0</v>
      </c>
      <c r="FZ52" s="55">
        <f>SUMIFS('Awards Summary'!$H:$H,'Awards Summary'!$B:$B,$C52,'Awards Summary'!$J:$J,"RIOC")</f>
        <v>0</v>
      </c>
      <c r="GA52" s="55">
        <f>SUMIFS('Disbursements Summary'!$E:$E,'Disbursements Summary'!$C:$C,$C52,'Disbursements Summary'!$A:$A,"RIOC")</f>
        <v>0</v>
      </c>
      <c r="GB52" s="55">
        <f>SUMIFS('Awards Summary'!$H:$H,'Awards Summary'!$B:$B,$C52,'Awards Summary'!$J:$J,"RPCI")</f>
        <v>0</v>
      </c>
      <c r="GC52" s="55">
        <f>SUMIFS('Disbursements Summary'!$E:$E,'Disbursements Summary'!$C:$C,$C52,'Disbursements Summary'!$A:$A,"RPCI")</f>
        <v>0</v>
      </c>
      <c r="GD52" s="55">
        <f>SUMIFS('Awards Summary'!$H:$H,'Awards Summary'!$B:$B,$C52,'Awards Summary'!$J:$J,"SMDA")</f>
        <v>0</v>
      </c>
      <c r="GE52" s="55">
        <f>SUMIFS('Disbursements Summary'!$E:$E,'Disbursements Summary'!$C:$C,$C52,'Disbursements Summary'!$A:$A,"SMDA")</f>
        <v>0</v>
      </c>
      <c r="GF52" s="55">
        <f>SUMIFS('Awards Summary'!$H:$H,'Awards Summary'!$B:$B,$C52,'Awards Summary'!$J:$J,"SCOC")</f>
        <v>0</v>
      </c>
      <c r="GG52" s="55">
        <f>SUMIFS('Disbursements Summary'!$E:$E,'Disbursements Summary'!$C:$C,$C52,'Disbursements Summary'!$A:$A,"SCOC")</f>
        <v>0</v>
      </c>
      <c r="GH52" s="55">
        <f>SUMIFS('Awards Summary'!$H:$H,'Awards Summary'!$B:$B,$C52,'Awards Summary'!$J:$J,"SUCF")</f>
        <v>0</v>
      </c>
      <c r="GI52" s="55">
        <f>SUMIFS('Disbursements Summary'!$E:$E,'Disbursements Summary'!$C:$C,$C52,'Disbursements Summary'!$A:$A,"SUCF")</f>
        <v>0</v>
      </c>
      <c r="GJ52" s="55">
        <f>SUMIFS('Awards Summary'!$H:$H,'Awards Summary'!$B:$B,$C52,'Awards Summary'!$J:$J,"SUNY")</f>
        <v>0</v>
      </c>
      <c r="GK52" s="55">
        <f>SUMIFS('Disbursements Summary'!$E:$E,'Disbursements Summary'!$C:$C,$C52,'Disbursements Summary'!$A:$A,"SUNY")</f>
        <v>0</v>
      </c>
      <c r="GL52" s="55">
        <f>SUMIFS('Awards Summary'!$H:$H,'Awards Summary'!$B:$B,$C52,'Awards Summary'!$J:$J,"SRAA")</f>
        <v>0</v>
      </c>
      <c r="GM52" s="55">
        <f>SUMIFS('Disbursements Summary'!$E:$E,'Disbursements Summary'!$C:$C,$C52,'Disbursements Summary'!$A:$A,"SRAA")</f>
        <v>0</v>
      </c>
      <c r="GN52" s="55">
        <f>SUMIFS('Awards Summary'!$H:$H,'Awards Summary'!$B:$B,$C52,'Awards Summary'!$J:$J,"UNDC")</f>
        <v>0</v>
      </c>
      <c r="GO52" s="55">
        <f>SUMIFS('Disbursements Summary'!$E:$E,'Disbursements Summary'!$C:$C,$C52,'Disbursements Summary'!$A:$A,"UNDC")</f>
        <v>0</v>
      </c>
      <c r="GP52" s="55">
        <f>SUMIFS('Awards Summary'!$H:$H,'Awards Summary'!$B:$B,$C52,'Awards Summary'!$J:$J,"MVWA")</f>
        <v>0</v>
      </c>
      <c r="GQ52" s="55">
        <f>SUMIFS('Disbursements Summary'!$E:$E,'Disbursements Summary'!$C:$C,$C52,'Disbursements Summary'!$A:$A,"MVWA")</f>
        <v>0</v>
      </c>
      <c r="GR52" s="55">
        <f>SUMIFS('Awards Summary'!$H:$H,'Awards Summary'!$B:$B,$C52,'Awards Summary'!$J:$J,"WMC")</f>
        <v>0</v>
      </c>
      <c r="GS52" s="55">
        <f>SUMIFS('Disbursements Summary'!$E:$E,'Disbursements Summary'!$C:$C,$C52,'Disbursements Summary'!$A:$A,"WMC")</f>
        <v>0</v>
      </c>
      <c r="GT52" s="55">
        <f>SUMIFS('Awards Summary'!$H:$H,'Awards Summary'!$B:$B,$C52,'Awards Summary'!$J:$J,"WCB")</f>
        <v>0</v>
      </c>
      <c r="GU52" s="55">
        <f>SUMIFS('Disbursements Summary'!$E:$E,'Disbursements Summary'!$C:$C,$C52,'Disbursements Summary'!$A:$A,"WCB")</f>
        <v>0</v>
      </c>
      <c r="GV52" s="32">
        <f t="shared" si="5"/>
        <v>0</v>
      </c>
      <c r="GW52" s="32">
        <f t="shared" si="6"/>
        <v>0</v>
      </c>
      <c r="GX52" s="30" t="b">
        <f t="shared" si="7"/>
        <v>1</v>
      </c>
      <c r="GY52" s="30" t="b">
        <f t="shared" si="8"/>
        <v>1</v>
      </c>
    </row>
    <row r="53" spans="1:207" s="30" customFormat="1">
      <c r="A53" s="22" t="str">
        <f t="shared" si="0"/>
        <v/>
      </c>
      <c r="B53" s="18" t="s">
        <v>249</v>
      </c>
      <c r="C53" s="16">
        <v>151096</v>
      </c>
      <c r="D53" s="26">
        <f>COUNTIF('Awards Summary'!B:B,"151096")</f>
        <v>0</v>
      </c>
      <c r="E53" s="45">
        <f>SUMIFS('Awards Summary'!H:H,'Awards Summary'!B:B,"151096")</f>
        <v>0</v>
      </c>
      <c r="F53" s="46">
        <f>SUMIFS('Disbursements Summary'!E:E,'Disbursements Summary'!C:C, "151096")</f>
        <v>0</v>
      </c>
      <c r="H53" s="55">
        <f>SUMIFS('Awards Summary'!$H:$H,'Awards Summary'!$B:$B,$C53,'Awards Summary'!$J:$J,"APA")</f>
        <v>0</v>
      </c>
      <c r="I53" s="55">
        <f>SUMIFS('Disbursements Summary'!$E:$E,'Disbursements Summary'!$C:$C,$C53,'Disbursements Summary'!$A:$A,"APA")</f>
        <v>0</v>
      </c>
      <c r="J53" s="55">
        <f>SUMIFS('Awards Summary'!$H:$H,'Awards Summary'!$B:$B,$C53,'Awards Summary'!$J:$J,"Ag&amp;Horse")</f>
        <v>0</v>
      </c>
      <c r="K53" s="55">
        <f>SUMIFS('Disbursements Summary'!$E:$E,'Disbursements Summary'!$C:$C,$C53,'Disbursements Summary'!$A:$A,"Ag&amp;Horse")</f>
        <v>0</v>
      </c>
      <c r="L53" s="55">
        <f>SUMIFS('Awards Summary'!$H:$H,'Awards Summary'!$B:$B,$C53,'Awards Summary'!$J:$J,"ACAA")</f>
        <v>0</v>
      </c>
      <c r="M53" s="55">
        <f>SUMIFS('Disbursements Summary'!$E:$E,'Disbursements Summary'!$C:$C,$C53,'Disbursements Summary'!$A:$A,"ACAA")</f>
        <v>0</v>
      </c>
      <c r="N53" s="55">
        <f>SUMIFS('Awards Summary'!$H:$H,'Awards Summary'!$B:$B,$C53,'Awards Summary'!$J:$J,"PortAlbany")</f>
        <v>0</v>
      </c>
      <c r="O53" s="55">
        <f>SUMIFS('Disbursements Summary'!$E:$E,'Disbursements Summary'!$C:$C,$C53,'Disbursements Summary'!$A:$A,"PortAlbany")</f>
        <v>0</v>
      </c>
      <c r="P53" s="55">
        <f>SUMIFS('Awards Summary'!$H:$H,'Awards Summary'!$B:$B,$C53,'Awards Summary'!$J:$J,"SLA")</f>
        <v>0</v>
      </c>
      <c r="Q53" s="55">
        <f>SUMIFS('Disbursements Summary'!$E:$E,'Disbursements Summary'!$C:$C,$C53,'Disbursements Summary'!$A:$A,"SLA")</f>
        <v>0</v>
      </c>
      <c r="R53" s="55">
        <f>SUMIFS('Awards Summary'!$H:$H,'Awards Summary'!$B:$B,$C53,'Awards Summary'!$J:$J,"BPCA")</f>
        <v>0</v>
      </c>
      <c r="S53" s="55">
        <f>SUMIFS('Disbursements Summary'!$E:$E,'Disbursements Summary'!$C:$C,$C53,'Disbursements Summary'!$A:$A,"BPCA")</f>
        <v>0</v>
      </c>
      <c r="T53" s="55">
        <f>SUMIFS('Awards Summary'!$H:$H,'Awards Summary'!$B:$B,$C53,'Awards Summary'!$J:$J,"ELECTIONS")</f>
        <v>0</v>
      </c>
      <c r="U53" s="55">
        <f>SUMIFS('Disbursements Summary'!$E:$E,'Disbursements Summary'!$C:$C,$C53,'Disbursements Summary'!$A:$A,"ELECTIONS")</f>
        <v>0</v>
      </c>
      <c r="V53" s="55">
        <f>SUMIFS('Awards Summary'!$H:$H,'Awards Summary'!$B:$B,$C53,'Awards Summary'!$J:$J,"BFSA")</f>
        <v>0</v>
      </c>
      <c r="W53" s="55">
        <f>SUMIFS('Disbursements Summary'!$E:$E,'Disbursements Summary'!$C:$C,$C53,'Disbursements Summary'!$A:$A,"BFSA")</f>
        <v>0</v>
      </c>
      <c r="X53" s="55">
        <f>SUMIFS('Awards Summary'!$H:$H,'Awards Summary'!$B:$B,$C53,'Awards Summary'!$J:$J,"CDTA")</f>
        <v>0</v>
      </c>
      <c r="Y53" s="55">
        <f>SUMIFS('Disbursements Summary'!$E:$E,'Disbursements Summary'!$C:$C,$C53,'Disbursements Summary'!$A:$A,"CDTA")</f>
        <v>0</v>
      </c>
      <c r="Z53" s="55">
        <f>SUMIFS('Awards Summary'!$H:$H,'Awards Summary'!$B:$B,$C53,'Awards Summary'!$J:$J,"CCWSA")</f>
        <v>0</v>
      </c>
      <c r="AA53" s="55">
        <f>SUMIFS('Disbursements Summary'!$E:$E,'Disbursements Summary'!$C:$C,$C53,'Disbursements Summary'!$A:$A,"CCWSA")</f>
        <v>0</v>
      </c>
      <c r="AB53" s="55">
        <f>SUMIFS('Awards Summary'!$H:$H,'Awards Summary'!$B:$B,$C53,'Awards Summary'!$J:$J,"CNYRTA")</f>
        <v>0</v>
      </c>
      <c r="AC53" s="55">
        <f>SUMIFS('Disbursements Summary'!$E:$E,'Disbursements Summary'!$C:$C,$C53,'Disbursements Summary'!$A:$A,"CNYRTA")</f>
        <v>0</v>
      </c>
      <c r="AD53" s="55">
        <f>SUMIFS('Awards Summary'!$H:$H,'Awards Summary'!$B:$B,$C53,'Awards Summary'!$J:$J,"CUCF")</f>
        <v>0</v>
      </c>
      <c r="AE53" s="55">
        <f>SUMIFS('Disbursements Summary'!$E:$E,'Disbursements Summary'!$C:$C,$C53,'Disbursements Summary'!$A:$A,"CUCF")</f>
        <v>0</v>
      </c>
      <c r="AF53" s="55">
        <f>SUMIFS('Awards Summary'!$H:$H,'Awards Summary'!$B:$B,$C53,'Awards Summary'!$J:$J,"CUNY")</f>
        <v>0</v>
      </c>
      <c r="AG53" s="55">
        <f>SUMIFS('Disbursements Summary'!$E:$E,'Disbursements Summary'!$C:$C,$C53,'Disbursements Summary'!$A:$A,"CUNY")</f>
        <v>0</v>
      </c>
      <c r="AH53" s="55">
        <f>SUMIFS('Awards Summary'!$H:$H,'Awards Summary'!$B:$B,$C53,'Awards Summary'!$J:$J,"ARTS")</f>
        <v>0</v>
      </c>
      <c r="AI53" s="55">
        <f>SUMIFS('Disbursements Summary'!$E:$E,'Disbursements Summary'!$C:$C,$C53,'Disbursements Summary'!$A:$A,"ARTS")</f>
        <v>0</v>
      </c>
      <c r="AJ53" s="55">
        <f>SUMIFS('Awards Summary'!$H:$H,'Awards Summary'!$B:$B,$C53,'Awards Summary'!$J:$J,"AG&amp;MKTS")</f>
        <v>0</v>
      </c>
      <c r="AK53" s="55">
        <f>SUMIFS('Disbursements Summary'!$E:$E,'Disbursements Summary'!$C:$C,$C53,'Disbursements Summary'!$A:$A,"AG&amp;MKTS")</f>
        <v>0</v>
      </c>
      <c r="AL53" s="55">
        <f>SUMIFS('Awards Summary'!$H:$H,'Awards Summary'!$B:$B,$C53,'Awards Summary'!$J:$J,"CS")</f>
        <v>0</v>
      </c>
      <c r="AM53" s="55">
        <f>SUMIFS('Disbursements Summary'!$E:$E,'Disbursements Summary'!$C:$C,$C53,'Disbursements Summary'!$A:$A,"CS")</f>
        <v>0</v>
      </c>
      <c r="AN53" s="55">
        <f>SUMIFS('Awards Summary'!$H:$H,'Awards Summary'!$B:$B,$C53,'Awards Summary'!$J:$J,"DOCCS")</f>
        <v>0</v>
      </c>
      <c r="AO53" s="55">
        <f>SUMIFS('Disbursements Summary'!$E:$E,'Disbursements Summary'!$C:$C,$C53,'Disbursements Summary'!$A:$A,"DOCCS")</f>
        <v>0</v>
      </c>
      <c r="AP53" s="55">
        <f>SUMIFS('Awards Summary'!$H:$H,'Awards Summary'!$B:$B,$C53,'Awards Summary'!$J:$J,"DED")</f>
        <v>0</v>
      </c>
      <c r="AQ53" s="55">
        <f>SUMIFS('Disbursements Summary'!$E:$E,'Disbursements Summary'!$C:$C,$C53,'Disbursements Summary'!$A:$A,"DED")</f>
        <v>0</v>
      </c>
      <c r="AR53" s="55">
        <f>SUMIFS('Awards Summary'!$H:$H,'Awards Summary'!$B:$B,$C53,'Awards Summary'!$J:$J,"DEC")</f>
        <v>0</v>
      </c>
      <c r="AS53" s="55">
        <f>SUMIFS('Disbursements Summary'!$E:$E,'Disbursements Summary'!$C:$C,$C53,'Disbursements Summary'!$A:$A,"DEC")</f>
        <v>0</v>
      </c>
      <c r="AT53" s="55">
        <f>SUMIFS('Awards Summary'!$H:$H,'Awards Summary'!$B:$B,$C53,'Awards Summary'!$J:$J,"DFS")</f>
        <v>0</v>
      </c>
      <c r="AU53" s="55">
        <f>SUMIFS('Disbursements Summary'!$E:$E,'Disbursements Summary'!$C:$C,$C53,'Disbursements Summary'!$A:$A,"DFS")</f>
        <v>0</v>
      </c>
      <c r="AV53" s="55">
        <f>SUMIFS('Awards Summary'!$H:$H,'Awards Summary'!$B:$B,$C53,'Awards Summary'!$J:$J,"DOH")</f>
        <v>0</v>
      </c>
      <c r="AW53" s="55">
        <f>SUMIFS('Disbursements Summary'!$E:$E,'Disbursements Summary'!$C:$C,$C53,'Disbursements Summary'!$A:$A,"DOH")</f>
        <v>0</v>
      </c>
      <c r="AX53" s="55">
        <f>SUMIFS('Awards Summary'!$H:$H,'Awards Summary'!$B:$B,$C53,'Awards Summary'!$J:$J,"DOL")</f>
        <v>0</v>
      </c>
      <c r="AY53" s="55">
        <f>SUMIFS('Disbursements Summary'!$E:$E,'Disbursements Summary'!$C:$C,$C53,'Disbursements Summary'!$A:$A,"DOL")</f>
        <v>0</v>
      </c>
      <c r="AZ53" s="55">
        <f>SUMIFS('Awards Summary'!$H:$H,'Awards Summary'!$B:$B,$C53,'Awards Summary'!$J:$J,"DMV")</f>
        <v>0</v>
      </c>
      <c r="BA53" s="55">
        <f>SUMIFS('Disbursements Summary'!$E:$E,'Disbursements Summary'!$C:$C,$C53,'Disbursements Summary'!$A:$A,"DMV")</f>
        <v>0</v>
      </c>
      <c r="BB53" s="55">
        <f>SUMIFS('Awards Summary'!$H:$H,'Awards Summary'!$B:$B,$C53,'Awards Summary'!$J:$J,"DPS")</f>
        <v>0</v>
      </c>
      <c r="BC53" s="55">
        <f>SUMIFS('Disbursements Summary'!$E:$E,'Disbursements Summary'!$C:$C,$C53,'Disbursements Summary'!$A:$A,"DPS")</f>
        <v>0</v>
      </c>
      <c r="BD53" s="55">
        <f>SUMIFS('Awards Summary'!$H:$H,'Awards Summary'!$B:$B,$C53,'Awards Summary'!$J:$J,"DOS")</f>
        <v>0</v>
      </c>
      <c r="BE53" s="55">
        <f>SUMIFS('Disbursements Summary'!$E:$E,'Disbursements Summary'!$C:$C,$C53,'Disbursements Summary'!$A:$A,"DOS")</f>
        <v>0</v>
      </c>
      <c r="BF53" s="55">
        <f>SUMIFS('Awards Summary'!$H:$H,'Awards Summary'!$B:$B,$C53,'Awards Summary'!$J:$J,"TAX")</f>
        <v>0</v>
      </c>
      <c r="BG53" s="55">
        <f>SUMIFS('Disbursements Summary'!$E:$E,'Disbursements Summary'!$C:$C,$C53,'Disbursements Summary'!$A:$A,"TAX")</f>
        <v>0</v>
      </c>
      <c r="BH53" s="55">
        <f>SUMIFS('Awards Summary'!$H:$H,'Awards Summary'!$B:$B,$C53,'Awards Summary'!$J:$J,"DOT")</f>
        <v>0</v>
      </c>
      <c r="BI53" s="55">
        <f>SUMIFS('Disbursements Summary'!$E:$E,'Disbursements Summary'!$C:$C,$C53,'Disbursements Summary'!$A:$A,"DOT")</f>
        <v>0</v>
      </c>
      <c r="BJ53" s="55">
        <f>SUMIFS('Awards Summary'!$H:$H,'Awards Summary'!$B:$B,$C53,'Awards Summary'!$J:$J,"DANC")</f>
        <v>0</v>
      </c>
      <c r="BK53" s="55">
        <f>SUMIFS('Disbursements Summary'!$E:$E,'Disbursements Summary'!$C:$C,$C53,'Disbursements Summary'!$A:$A,"DANC")</f>
        <v>0</v>
      </c>
      <c r="BL53" s="55">
        <f>SUMIFS('Awards Summary'!$H:$H,'Awards Summary'!$B:$B,$C53,'Awards Summary'!$J:$J,"DOB")</f>
        <v>0</v>
      </c>
      <c r="BM53" s="55">
        <f>SUMIFS('Disbursements Summary'!$E:$E,'Disbursements Summary'!$C:$C,$C53,'Disbursements Summary'!$A:$A,"DOB")</f>
        <v>0</v>
      </c>
      <c r="BN53" s="55">
        <f>SUMIFS('Awards Summary'!$H:$H,'Awards Summary'!$B:$B,$C53,'Awards Summary'!$J:$J,"DCJS")</f>
        <v>0</v>
      </c>
      <c r="BO53" s="55">
        <f>SUMIFS('Disbursements Summary'!$E:$E,'Disbursements Summary'!$C:$C,$C53,'Disbursements Summary'!$A:$A,"DCJS")</f>
        <v>0</v>
      </c>
      <c r="BP53" s="55">
        <f>SUMIFS('Awards Summary'!$H:$H,'Awards Summary'!$B:$B,$C53,'Awards Summary'!$J:$J,"DHSES")</f>
        <v>0</v>
      </c>
      <c r="BQ53" s="55">
        <f>SUMIFS('Disbursements Summary'!$E:$E,'Disbursements Summary'!$C:$C,$C53,'Disbursements Summary'!$A:$A,"DHSES")</f>
        <v>0</v>
      </c>
      <c r="BR53" s="55">
        <f>SUMIFS('Awards Summary'!$H:$H,'Awards Summary'!$B:$B,$C53,'Awards Summary'!$J:$J,"DHR")</f>
        <v>0</v>
      </c>
      <c r="BS53" s="55">
        <f>SUMIFS('Disbursements Summary'!$E:$E,'Disbursements Summary'!$C:$C,$C53,'Disbursements Summary'!$A:$A,"DHR")</f>
        <v>0</v>
      </c>
      <c r="BT53" s="55">
        <f>SUMIFS('Awards Summary'!$H:$H,'Awards Summary'!$B:$B,$C53,'Awards Summary'!$J:$J,"DMNA")</f>
        <v>0</v>
      </c>
      <c r="BU53" s="55">
        <f>SUMIFS('Disbursements Summary'!$E:$E,'Disbursements Summary'!$C:$C,$C53,'Disbursements Summary'!$A:$A,"DMNA")</f>
        <v>0</v>
      </c>
      <c r="BV53" s="55">
        <f>SUMIFS('Awards Summary'!$H:$H,'Awards Summary'!$B:$B,$C53,'Awards Summary'!$J:$J,"TROOPERS")</f>
        <v>0</v>
      </c>
      <c r="BW53" s="55">
        <f>SUMIFS('Disbursements Summary'!$E:$E,'Disbursements Summary'!$C:$C,$C53,'Disbursements Summary'!$A:$A,"TROOPERS")</f>
        <v>0</v>
      </c>
      <c r="BX53" s="55">
        <f>SUMIFS('Awards Summary'!$H:$H,'Awards Summary'!$B:$B,$C53,'Awards Summary'!$J:$J,"DVA")</f>
        <v>0</v>
      </c>
      <c r="BY53" s="55">
        <f>SUMIFS('Disbursements Summary'!$E:$E,'Disbursements Summary'!$C:$C,$C53,'Disbursements Summary'!$A:$A,"DVA")</f>
        <v>0</v>
      </c>
      <c r="BZ53" s="55">
        <f>SUMIFS('Awards Summary'!$H:$H,'Awards Summary'!$B:$B,$C53,'Awards Summary'!$J:$J,"DASNY")</f>
        <v>0</v>
      </c>
      <c r="CA53" s="55">
        <f>SUMIFS('Disbursements Summary'!$E:$E,'Disbursements Summary'!$C:$C,$C53,'Disbursements Summary'!$A:$A,"DASNY")</f>
        <v>0</v>
      </c>
      <c r="CB53" s="55">
        <f>SUMIFS('Awards Summary'!$H:$H,'Awards Summary'!$B:$B,$C53,'Awards Summary'!$J:$J,"EGG")</f>
        <v>0</v>
      </c>
      <c r="CC53" s="55">
        <f>SUMIFS('Disbursements Summary'!$E:$E,'Disbursements Summary'!$C:$C,$C53,'Disbursements Summary'!$A:$A,"EGG")</f>
        <v>0</v>
      </c>
      <c r="CD53" s="55">
        <f>SUMIFS('Awards Summary'!$H:$H,'Awards Summary'!$B:$B,$C53,'Awards Summary'!$J:$J,"ESD")</f>
        <v>0</v>
      </c>
      <c r="CE53" s="55">
        <f>SUMIFS('Disbursements Summary'!$E:$E,'Disbursements Summary'!$C:$C,$C53,'Disbursements Summary'!$A:$A,"ESD")</f>
        <v>0</v>
      </c>
      <c r="CF53" s="55">
        <f>SUMIFS('Awards Summary'!$H:$H,'Awards Summary'!$B:$B,$C53,'Awards Summary'!$J:$J,"EFC")</f>
        <v>0</v>
      </c>
      <c r="CG53" s="55">
        <f>SUMIFS('Disbursements Summary'!$E:$E,'Disbursements Summary'!$C:$C,$C53,'Disbursements Summary'!$A:$A,"EFC")</f>
        <v>0</v>
      </c>
      <c r="CH53" s="55">
        <f>SUMIFS('Awards Summary'!$H:$H,'Awards Summary'!$B:$B,$C53,'Awards Summary'!$J:$J,"ECFSA")</f>
        <v>0</v>
      </c>
      <c r="CI53" s="55">
        <f>SUMIFS('Disbursements Summary'!$E:$E,'Disbursements Summary'!$C:$C,$C53,'Disbursements Summary'!$A:$A,"ECFSA")</f>
        <v>0</v>
      </c>
      <c r="CJ53" s="55">
        <f>SUMIFS('Awards Summary'!$H:$H,'Awards Summary'!$B:$B,$C53,'Awards Summary'!$J:$J,"ECMC")</f>
        <v>0</v>
      </c>
      <c r="CK53" s="55">
        <f>SUMIFS('Disbursements Summary'!$E:$E,'Disbursements Summary'!$C:$C,$C53,'Disbursements Summary'!$A:$A,"ECMC")</f>
        <v>0</v>
      </c>
      <c r="CL53" s="55">
        <f>SUMIFS('Awards Summary'!$H:$H,'Awards Summary'!$B:$B,$C53,'Awards Summary'!$J:$J,"CHAMBER")</f>
        <v>0</v>
      </c>
      <c r="CM53" s="55">
        <f>SUMIFS('Disbursements Summary'!$E:$E,'Disbursements Summary'!$C:$C,$C53,'Disbursements Summary'!$A:$A,"CHAMBER")</f>
        <v>0</v>
      </c>
      <c r="CN53" s="55">
        <f>SUMIFS('Awards Summary'!$H:$H,'Awards Summary'!$B:$B,$C53,'Awards Summary'!$J:$J,"GAMING")</f>
        <v>0</v>
      </c>
      <c r="CO53" s="55">
        <f>SUMIFS('Disbursements Summary'!$E:$E,'Disbursements Summary'!$C:$C,$C53,'Disbursements Summary'!$A:$A,"GAMING")</f>
        <v>0</v>
      </c>
      <c r="CP53" s="55">
        <f>SUMIFS('Awards Summary'!$H:$H,'Awards Summary'!$B:$B,$C53,'Awards Summary'!$J:$J,"GOER")</f>
        <v>0</v>
      </c>
      <c r="CQ53" s="55">
        <f>SUMIFS('Disbursements Summary'!$E:$E,'Disbursements Summary'!$C:$C,$C53,'Disbursements Summary'!$A:$A,"GOER")</f>
        <v>0</v>
      </c>
      <c r="CR53" s="55">
        <f>SUMIFS('Awards Summary'!$H:$H,'Awards Summary'!$B:$B,$C53,'Awards Summary'!$J:$J,"HESC")</f>
        <v>0</v>
      </c>
      <c r="CS53" s="55">
        <f>SUMIFS('Disbursements Summary'!$E:$E,'Disbursements Summary'!$C:$C,$C53,'Disbursements Summary'!$A:$A,"HESC")</f>
        <v>0</v>
      </c>
      <c r="CT53" s="55">
        <f>SUMIFS('Awards Summary'!$H:$H,'Awards Summary'!$B:$B,$C53,'Awards Summary'!$J:$J,"GOSR")</f>
        <v>0</v>
      </c>
      <c r="CU53" s="55">
        <f>SUMIFS('Disbursements Summary'!$E:$E,'Disbursements Summary'!$C:$C,$C53,'Disbursements Summary'!$A:$A,"GOSR")</f>
        <v>0</v>
      </c>
      <c r="CV53" s="55">
        <f>SUMIFS('Awards Summary'!$H:$H,'Awards Summary'!$B:$B,$C53,'Awards Summary'!$J:$J,"HRPT")</f>
        <v>0</v>
      </c>
      <c r="CW53" s="55">
        <f>SUMIFS('Disbursements Summary'!$E:$E,'Disbursements Summary'!$C:$C,$C53,'Disbursements Summary'!$A:$A,"HRPT")</f>
        <v>0</v>
      </c>
      <c r="CX53" s="55">
        <f>SUMIFS('Awards Summary'!$H:$H,'Awards Summary'!$B:$B,$C53,'Awards Summary'!$J:$J,"HRBRRD")</f>
        <v>0</v>
      </c>
      <c r="CY53" s="55">
        <f>SUMIFS('Disbursements Summary'!$E:$E,'Disbursements Summary'!$C:$C,$C53,'Disbursements Summary'!$A:$A,"HRBRRD")</f>
        <v>0</v>
      </c>
      <c r="CZ53" s="55">
        <f>SUMIFS('Awards Summary'!$H:$H,'Awards Summary'!$B:$B,$C53,'Awards Summary'!$J:$J,"ITS")</f>
        <v>0</v>
      </c>
      <c r="DA53" s="55">
        <f>SUMIFS('Disbursements Summary'!$E:$E,'Disbursements Summary'!$C:$C,$C53,'Disbursements Summary'!$A:$A,"ITS")</f>
        <v>0</v>
      </c>
      <c r="DB53" s="55">
        <f>SUMIFS('Awards Summary'!$H:$H,'Awards Summary'!$B:$B,$C53,'Awards Summary'!$J:$J,"JAVITS")</f>
        <v>0</v>
      </c>
      <c r="DC53" s="55">
        <f>SUMIFS('Disbursements Summary'!$E:$E,'Disbursements Summary'!$C:$C,$C53,'Disbursements Summary'!$A:$A,"JAVITS")</f>
        <v>0</v>
      </c>
      <c r="DD53" s="55">
        <f>SUMIFS('Awards Summary'!$H:$H,'Awards Summary'!$B:$B,$C53,'Awards Summary'!$J:$J,"JCOPE")</f>
        <v>0</v>
      </c>
      <c r="DE53" s="55">
        <f>SUMIFS('Disbursements Summary'!$E:$E,'Disbursements Summary'!$C:$C,$C53,'Disbursements Summary'!$A:$A,"JCOPE")</f>
        <v>0</v>
      </c>
      <c r="DF53" s="55">
        <f>SUMIFS('Awards Summary'!$H:$H,'Awards Summary'!$B:$B,$C53,'Awards Summary'!$J:$J,"JUSTICE")</f>
        <v>0</v>
      </c>
      <c r="DG53" s="55">
        <f>SUMIFS('Disbursements Summary'!$E:$E,'Disbursements Summary'!$C:$C,$C53,'Disbursements Summary'!$A:$A,"JUSTICE")</f>
        <v>0</v>
      </c>
      <c r="DH53" s="55">
        <f>SUMIFS('Awards Summary'!$H:$H,'Awards Summary'!$B:$B,$C53,'Awards Summary'!$J:$J,"LCWSA")</f>
        <v>0</v>
      </c>
      <c r="DI53" s="55">
        <f>SUMIFS('Disbursements Summary'!$E:$E,'Disbursements Summary'!$C:$C,$C53,'Disbursements Summary'!$A:$A,"LCWSA")</f>
        <v>0</v>
      </c>
      <c r="DJ53" s="55">
        <f>SUMIFS('Awards Summary'!$H:$H,'Awards Summary'!$B:$B,$C53,'Awards Summary'!$J:$J,"LIPA")</f>
        <v>0</v>
      </c>
      <c r="DK53" s="55">
        <f>SUMIFS('Disbursements Summary'!$E:$E,'Disbursements Summary'!$C:$C,$C53,'Disbursements Summary'!$A:$A,"LIPA")</f>
        <v>0</v>
      </c>
      <c r="DL53" s="55">
        <f>SUMIFS('Awards Summary'!$H:$H,'Awards Summary'!$B:$B,$C53,'Awards Summary'!$J:$J,"MTA")</f>
        <v>0</v>
      </c>
      <c r="DM53" s="55">
        <f>SUMIFS('Disbursements Summary'!$E:$E,'Disbursements Summary'!$C:$C,$C53,'Disbursements Summary'!$A:$A,"MTA")</f>
        <v>0</v>
      </c>
      <c r="DN53" s="55">
        <f>SUMIFS('Awards Summary'!$H:$H,'Awards Summary'!$B:$B,$C53,'Awards Summary'!$J:$J,"NIFA")</f>
        <v>0</v>
      </c>
      <c r="DO53" s="55">
        <f>SUMIFS('Disbursements Summary'!$E:$E,'Disbursements Summary'!$C:$C,$C53,'Disbursements Summary'!$A:$A,"NIFA")</f>
        <v>0</v>
      </c>
      <c r="DP53" s="55">
        <f>SUMIFS('Awards Summary'!$H:$H,'Awards Summary'!$B:$B,$C53,'Awards Summary'!$J:$J,"NHCC")</f>
        <v>0</v>
      </c>
      <c r="DQ53" s="55">
        <f>SUMIFS('Disbursements Summary'!$E:$E,'Disbursements Summary'!$C:$C,$C53,'Disbursements Summary'!$A:$A,"NHCC")</f>
        <v>0</v>
      </c>
      <c r="DR53" s="55">
        <f>SUMIFS('Awards Summary'!$H:$H,'Awards Summary'!$B:$B,$C53,'Awards Summary'!$J:$J,"NHT")</f>
        <v>0</v>
      </c>
      <c r="DS53" s="55">
        <f>SUMIFS('Disbursements Summary'!$E:$E,'Disbursements Summary'!$C:$C,$C53,'Disbursements Summary'!$A:$A,"NHT")</f>
        <v>0</v>
      </c>
      <c r="DT53" s="55">
        <f>SUMIFS('Awards Summary'!$H:$H,'Awards Summary'!$B:$B,$C53,'Awards Summary'!$J:$J,"NYPA")</f>
        <v>0</v>
      </c>
      <c r="DU53" s="55">
        <f>SUMIFS('Disbursements Summary'!$E:$E,'Disbursements Summary'!$C:$C,$C53,'Disbursements Summary'!$A:$A,"NYPA")</f>
        <v>0</v>
      </c>
      <c r="DV53" s="55">
        <f>SUMIFS('Awards Summary'!$H:$H,'Awards Summary'!$B:$B,$C53,'Awards Summary'!$J:$J,"NYSBA")</f>
        <v>0</v>
      </c>
      <c r="DW53" s="55">
        <f>SUMIFS('Disbursements Summary'!$E:$E,'Disbursements Summary'!$C:$C,$C53,'Disbursements Summary'!$A:$A,"NYSBA")</f>
        <v>0</v>
      </c>
      <c r="DX53" s="55">
        <f>SUMIFS('Awards Summary'!$H:$H,'Awards Summary'!$B:$B,$C53,'Awards Summary'!$J:$J,"NYSERDA")</f>
        <v>0</v>
      </c>
      <c r="DY53" s="55">
        <f>SUMIFS('Disbursements Summary'!$E:$E,'Disbursements Summary'!$C:$C,$C53,'Disbursements Summary'!$A:$A,"NYSERDA")</f>
        <v>0</v>
      </c>
      <c r="DZ53" s="55">
        <f>SUMIFS('Awards Summary'!$H:$H,'Awards Summary'!$B:$B,$C53,'Awards Summary'!$J:$J,"DHCR")</f>
        <v>0</v>
      </c>
      <c r="EA53" s="55">
        <f>SUMIFS('Disbursements Summary'!$E:$E,'Disbursements Summary'!$C:$C,$C53,'Disbursements Summary'!$A:$A,"DHCR")</f>
        <v>0</v>
      </c>
      <c r="EB53" s="55">
        <f>SUMIFS('Awards Summary'!$H:$H,'Awards Summary'!$B:$B,$C53,'Awards Summary'!$J:$J,"HFA")</f>
        <v>0</v>
      </c>
      <c r="EC53" s="55">
        <f>SUMIFS('Disbursements Summary'!$E:$E,'Disbursements Summary'!$C:$C,$C53,'Disbursements Summary'!$A:$A,"HFA")</f>
        <v>0</v>
      </c>
      <c r="ED53" s="55">
        <f>SUMIFS('Awards Summary'!$H:$H,'Awards Summary'!$B:$B,$C53,'Awards Summary'!$J:$J,"NYSIF")</f>
        <v>0</v>
      </c>
      <c r="EE53" s="55">
        <f>SUMIFS('Disbursements Summary'!$E:$E,'Disbursements Summary'!$C:$C,$C53,'Disbursements Summary'!$A:$A,"NYSIF")</f>
        <v>0</v>
      </c>
      <c r="EF53" s="55">
        <f>SUMIFS('Awards Summary'!$H:$H,'Awards Summary'!$B:$B,$C53,'Awards Summary'!$J:$J,"NYBREDS")</f>
        <v>0</v>
      </c>
      <c r="EG53" s="55">
        <f>SUMIFS('Disbursements Summary'!$E:$E,'Disbursements Summary'!$C:$C,$C53,'Disbursements Summary'!$A:$A,"NYBREDS")</f>
        <v>0</v>
      </c>
      <c r="EH53" s="55">
        <f>SUMIFS('Awards Summary'!$H:$H,'Awards Summary'!$B:$B,$C53,'Awards Summary'!$J:$J,"NYSTA")</f>
        <v>0</v>
      </c>
      <c r="EI53" s="55">
        <f>SUMIFS('Disbursements Summary'!$E:$E,'Disbursements Summary'!$C:$C,$C53,'Disbursements Summary'!$A:$A,"NYSTA")</f>
        <v>0</v>
      </c>
      <c r="EJ53" s="55">
        <f>SUMIFS('Awards Summary'!$H:$H,'Awards Summary'!$B:$B,$C53,'Awards Summary'!$J:$J,"NFWB")</f>
        <v>0</v>
      </c>
      <c r="EK53" s="55">
        <f>SUMIFS('Disbursements Summary'!$E:$E,'Disbursements Summary'!$C:$C,$C53,'Disbursements Summary'!$A:$A,"NFWB")</f>
        <v>0</v>
      </c>
      <c r="EL53" s="55">
        <f>SUMIFS('Awards Summary'!$H:$H,'Awards Summary'!$B:$B,$C53,'Awards Summary'!$J:$J,"NFTA")</f>
        <v>0</v>
      </c>
      <c r="EM53" s="55">
        <f>SUMIFS('Disbursements Summary'!$E:$E,'Disbursements Summary'!$C:$C,$C53,'Disbursements Summary'!$A:$A,"NFTA")</f>
        <v>0</v>
      </c>
      <c r="EN53" s="55">
        <f>SUMIFS('Awards Summary'!$H:$H,'Awards Summary'!$B:$B,$C53,'Awards Summary'!$J:$J,"OPWDD")</f>
        <v>0</v>
      </c>
      <c r="EO53" s="55">
        <f>SUMIFS('Disbursements Summary'!$E:$E,'Disbursements Summary'!$C:$C,$C53,'Disbursements Summary'!$A:$A,"OPWDD")</f>
        <v>0</v>
      </c>
      <c r="EP53" s="55">
        <f>SUMIFS('Awards Summary'!$H:$H,'Awards Summary'!$B:$B,$C53,'Awards Summary'!$J:$J,"AGING")</f>
        <v>0</v>
      </c>
      <c r="EQ53" s="55">
        <f>SUMIFS('Disbursements Summary'!$E:$E,'Disbursements Summary'!$C:$C,$C53,'Disbursements Summary'!$A:$A,"AGING")</f>
        <v>0</v>
      </c>
      <c r="ER53" s="55">
        <f>SUMIFS('Awards Summary'!$H:$H,'Awards Summary'!$B:$B,$C53,'Awards Summary'!$J:$J,"OPDV")</f>
        <v>0</v>
      </c>
      <c r="ES53" s="55">
        <f>SUMIFS('Disbursements Summary'!$E:$E,'Disbursements Summary'!$C:$C,$C53,'Disbursements Summary'!$A:$A,"OPDV")</f>
        <v>0</v>
      </c>
      <c r="ET53" s="55">
        <f>SUMIFS('Awards Summary'!$H:$H,'Awards Summary'!$B:$B,$C53,'Awards Summary'!$J:$J,"OVS")</f>
        <v>0</v>
      </c>
      <c r="EU53" s="55">
        <f>SUMIFS('Disbursements Summary'!$E:$E,'Disbursements Summary'!$C:$C,$C53,'Disbursements Summary'!$A:$A,"OVS")</f>
        <v>0</v>
      </c>
      <c r="EV53" s="55">
        <f>SUMIFS('Awards Summary'!$H:$H,'Awards Summary'!$B:$B,$C53,'Awards Summary'!$J:$J,"OASAS")</f>
        <v>0</v>
      </c>
      <c r="EW53" s="55">
        <f>SUMIFS('Disbursements Summary'!$E:$E,'Disbursements Summary'!$C:$C,$C53,'Disbursements Summary'!$A:$A,"OASAS")</f>
        <v>0</v>
      </c>
      <c r="EX53" s="55">
        <f>SUMIFS('Awards Summary'!$H:$H,'Awards Summary'!$B:$B,$C53,'Awards Summary'!$J:$J,"OCFS")</f>
        <v>0</v>
      </c>
      <c r="EY53" s="55">
        <f>SUMIFS('Disbursements Summary'!$E:$E,'Disbursements Summary'!$C:$C,$C53,'Disbursements Summary'!$A:$A,"OCFS")</f>
        <v>0</v>
      </c>
      <c r="EZ53" s="55">
        <f>SUMIFS('Awards Summary'!$H:$H,'Awards Summary'!$B:$B,$C53,'Awards Summary'!$J:$J,"OGS")</f>
        <v>0</v>
      </c>
      <c r="FA53" s="55">
        <f>SUMIFS('Disbursements Summary'!$E:$E,'Disbursements Summary'!$C:$C,$C53,'Disbursements Summary'!$A:$A,"OGS")</f>
        <v>0</v>
      </c>
      <c r="FB53" s="55">
        <f>SUMIFS('Awards Summary'!$H:$H,'Awards Summary'!$B:$B,$C53,'Awards Summary'!$J:$J,"OMH")</f>
        <v>0</v>
      </c>
      <c r="FC53" s="55">
        <f>SUMIFS('Disbursements Summary'!$E:$E,'Disbursements Summary'!$C:$C,$C53,'Disbursements Summary'!$A:$A,"OMH")</f>
        <v>0</v>
      </c>
      <c r="FD53" s="55">
        <f>SUMIFS('Awards Summary'!$H:$H,'Awards Summary'!$B:$B,$C53,'Awards Summary'!$J:$J,"PARKS")</f>
        <v>0</v>
      </c>
      <c r="FE53" s="55">
        <f>SUMIFS('Disbursements Summary'!$E:$E,'Disbursements Summary'!$C:$C,$C53,'Disbursements Summary'!$A:$A,"PARKS")</f>
        <v>0</v>
      </c>
      <c r="FF53" s="55">
        <f>SUMIFS('Awards Summary'!$H:$H,'Awards Summary'!$B:$B,$C53,'Awards Summary'!$J:$J,"OTDA")</f>
        <v>0</v>
      </c>
      <c r="FG53" s="55">
        <f>SUMIFS('Disbursements Summary'!$E:$E,'Disbursements Summary'!$C:$C,$C53,'Disbursements Summary'!$A:$A,"OTDA")</f>
        <v>0</v>
      </c>
      <c r="FH53" s="55">
        <f>SUMIFS('Awards Summary'!$H:$H,'Awards Summary'!$B:$B,$C53,'Awards Summary'!$J:$J,"OIG")</f>
        <v>0</v>
      </c>
      <c r="FI53" s="55">
        <f>SUMIFS('Disbursements Summary'!$E:$E,'Disbursements Summary'!$C:$C,$C53,'Disbursements Summary'!$A:$A,"OIG")</f>
        <v>0</v>
      </c>
      <c r="FJ53" s="55">
        <f>SUMIFS('Awards Summary'!$H:$H,'Awards Summary'!$B:$B,$C53,'Awards Summary'!$J:$J,"OMIG")</f>
        <v>0</v>
      </c>
      <c r="FK53" s="55">
        <f>SUMIFS('Disbursements Summary'!$E:$E,'Disbursements Summary'!$C:$C,$C53,'Disbursements Summary'!$A:$A,"OMIG")</f>
        <v>0</v>
      </c>
      <c r="FL53" s="55">
        <f>SUMIFS('Awards Summary'!$H:$H,'Awards Summary'!$B:$B,$C53,'Awards Summary'!$J:$J,"OSC")</f>
        <v>0</v>
      </c>
      <c r="FM53" s="55">
        <f>SUMIFS('Disbursements Summary'!$E:$E,'Disbursements Summary'!$C:$C,$C53,'Disbursements Summary'!$A:$A,"OSC")</f>
        <v>0</v>
      </c>
      <c r="FN53" s="55">
        <f>SUMIFS('Awards Summary'!$H:$H,'Awards Summary'!$B:$B,$C53,'Awards Summary'!$J:$J,"OWIG")</f>
        <v>0</v>
      </c>
      <c r="FO53" s="55">
        <f>SUMIFS('Disbursements Summary'!$E:$E,'Disbursements Summary'!$C:$C,$C53,'Disbursements Summary'!$A:$A,"OWIG")</f>
        <v>0</v>
      </c>
      <c r="FP53" s="55">
        <f>SUMIFS('Awards Summary'!$H:$H,'Awards Summary'!$B:$B,$C53,'Awards Summary'!$J:$J,"OGDEN")</f>
        <v>0</v>
      </c>
      <c r="FQ53" s="55">
        <f>SUMIFS('Disbursements Summary'!$E:$E,'Disbursements Summary'!$C:$C,$C53,'Disbursements Summary'!$A:$A,"OGDEN")</f>
        <v>0</v>
      </c>
      <c r="FR53" s="55">
        <f>SUMIFS('Awards Summary'!$H:$H,'Awards Summary'!$B:$B,$C53,'Awards Summary'!$J:$J,"ORDA")</f>
        <v>0</v>
      </c>
      <c r="FS53" s="55">
        <f>SUMIFS('Disbursements Summary'!$E:$E,'Disbursements Summary'!$C:$C,$C53,'Disbursements Summary'!$A:$A,"ORDA")</f>
        <v>0</v>
      </c>
      <c r="FT53" s="55">
        <f>SUMIFS('Awards Summary'!$H:$H,'Awards Summary'!$B:$B,$C53,'Awards Summary'!$J:$J,"OSWEGO")</f>
        <v>0</v>
      </c>
      <c r="FU53" s="55">
        <f>SUMIFS('Disbursements Summary'!$E:$E,'Disbursements Summary'!$C:$C,$C53,'Disbursements Summary'!$A:$A,"OSWEGO")</f>
        <v>0</v>
      </c>
      <c r="FV53" s="55">
        <f>SUMIFS('Awards Summary'!$H:$H,'Awards Summary'!$B:$B,$C53,'Awards Summary'!$J:$J,"PERB")</f>
        <v>0</v>
      </c>
      <c r="FW53" s="55">
        <f>SUMIFS('Disbursements Summary'!$E:$E,'Disbursements Summary'!$C:$C,$C53,'Disbursements Summary'!$A:$A,"PERB")</f>
        <v>0</v>
      </c>
      <c r="FX53" s="55">
        <f>SUMIFS('Awards Summary'!$H:$H,'Awards Summary'!$B:$B,$C53,'Awards Summary'!$J:$J,"RGRTA")</f>
        <v>0</v>
      </c>
      <c r="FY53" s="55">
        <f>SUMIFS('Disbursements Summary'!$E:$E,'Disbursements Summary'!$C:$C,$C53,'Disbursements Summary'!$A:$A,"RGRTA")</f>
        <v>0</v>
      </c>
      <c r="FZ53" s="55">
        <f>SUMIFS('Awards Summary'!$H:$H,'Awards Summary'!$B:$B,$C53,'Awards Summary'!$J:$J,"RIOC")</f>
        <v>0</v>
      </c>
      <c r="GA53" s="55">
        <f>SUMIFS('Disbursements Summary'!$E:$E,'Disbursements Summary'!$C:$C,$C53,'Disbursements Summary'!$A:$A,"RIOC")</f>
        <v>0</v>
      </c>
      <c r="GB53" s="55">
        <f>SUMIFS('Awards Summary'!$H:$H,'Awards Summary'!$B:$B,$C53,'Awards Summary'!$J:$J,"RPCI")</f>
        <v>0</v>
      </c>
      <c r="GC53" s="55">
        <f>SUMIFS('Disbursements Summary'!$E:$E,'Disbursements Summary'!$C:$C,$C53,'Disbursements Summary'!$A:$A,"RPCI")</f>
        <v>0</v>
      </c>
      <c r="GD53" s="55">
        <f>SUMIFS('Awards Summary'!$H:$H,'Awards Summary'!$B:$B,$C53,'Awards Summary'!$J:$J,"SMDA")</f>
        <v>0</v>
      </c>
      <c r="GE53" s="55">
        <f>SUMIFS('Disbursements Summary'!$E:$E,'Disbursements Summary'!$C:$C,$C53,'Disbursements Summary'!$A:$A,"SMDA")</f>
        <v>0</v>
      </c>
      <c r="GF53" s="55">
        <f>SUMIFS('Awards Summary'!$H:$H,'Awards Summary'!$B:$B,$C53,'Awards Summary'!$J:$J,"SCOC")</f>
        <v>0</v>
      </c>
      <c r="GG53" s="55">
        <f>SUMIFS('Disbursements Summary'!$E:$E,'Disbursements Summary'!$C:$C,$C53,'Disbursements Summary'!$A:$A,"SCOC")</f>
        <v>0</v>
      </c>
      <c r="GH53" s="55">
        <f>SUMIFS('Awards Summary'!$H:$H,'Awards Summary'!$B:$B,$C53,'Awards Summary'!$J:$J,"SUCF")</f>
        <v>0</v>
      </c>
      <c r="GI53" s="55">
        <f>SUMIFS('Disbursements Summary'!$E:$E,'Disbursements Summary'!$C:$C,$C53,'Disbursements Summary'!$A:$A,"SUCF")</f>
        <v>0</v>
      </c>
      <c r="GJ53" s="55">
        <f>SUMIFS('Awards Summary'!$H:$H,'Awards Summary'!$B:$B,$C53,'Awards Summary'!$J:$J,"SUNY")</f>
        <v>0</v>
      </c>
      <c r="GK53" s="55">
        <f>SUMIFS('Disbursements Summary'!$E:$E,'Disbursements Summary'!$C:$C,$C53,'Disbursements Summary'!$A:$A,"SUNY")</f>
        <v>0</v>
      </c>
      <c r="GL53" s="55">
        <f>SUMIFS('Awards Summary'!$H:$H,'Awards Summary'!$B:$B,$C53,'Awards Summary'!$J:$J,"SRAA")</f>
        <v>0</v>
      </c>
      <c r="GM53" s="55">
        <f>SUMIFS('Disbursements Summary'!$E:$E,'Disbursements Summary'!$C:$C,$C53,'Disbursements Summary'!$A:$A,"SRAA")</f>
        <v>0</v>
      </c>
      <c r="GN53" s="55">
        <f>SUMIFS('Awards Summary'!$H:$H,'Awards Summary'!$B:$B,$C53,'Awards Summary'!$J:$J,"UNDC")</f>
        <v>0</v>
      </c>
      <c r="GO53" s="55">
        <f>SUMIFS('Disbursements Summary'!$E:$E,'Disbursements Summary'!$C:$C,$C53,'Disbursements Summary'!$A:$A,"UNDC")</f>
        <v>0</v>
      </c>
      <c r="GP53" s="55">
        <f>SUMIFS('Awards Summary'!$H:$H,'Awards Summary'!$B:$B,$C53,'Awards Summary'!$J:$J,"MVWA")</f>
        <v>0</v>
      </c>
      <c r="GQ53" s="55">
        <f>SUMIFS('Disbursements Summary'!$E:$E,'Disbursements Summary'!$C:$C,$C53,'Disbursements Summary'!$A:$A,"MVWA")</f>
        <v>0</v>
      </c>
      <c r="GR53" s="55">
        <f>SUMIFS('Awards Summary'!$H:$H,'Awards Summary'!$B:$B,$C53,'Awards Summary'!$J:$J,"WMC")</f>
        <v>0</v>
      </c>
      <c r="GS53" s="55">
        <f>SUMIFS('Disbursements Summary'!$E:$E,'Disbursements Summary'!$C:$C,$C53,'Disbursements Summary'!$A:$A,"WMC")</f>
        <v>0</v>
      </c>
      <c r="GT53" s="55">
        <f>SUMIFS('Awards Summary'!$H:$H,'Awards Summary'!$B:$B,$C53,'Awards Summary'!$J:$J,"WCB")</f>
        <v>0</v>
      </c>
      <c r="GU53" s="55">
        <f>SUMIFS('Disbursements Summary'!$E:$E,'Disbursements Summary'!$C:$C,$C53,'Disbursements Summary'!$A:$A,"WCB")</f>
        <v>0</v>
      </c>
      <c r="GV53" s="32">
        <f t="shared" si="5"/>
        <v>0</v>
      </c>
      <c r="GW53" s="32">
        <f t="shared" si="6"/>
        <v>0</v>
      </c>
      <c r="GX53" s="30" t="b">
        <f t="shared" si="7"/>
        <v>1</v>
      </c>
      <c r="GY53" s="30" t="b">
        <f t="shared" si="8"/>
        <v>1</v>
      </c>
    </row>
    <row r="54" spans="1:207" s="30" customFormat="1">
      <c r="A54" s="22" t="str">
        <f t="shared" si="0"/>
        <v/>
      </c>
      <c r="B54" s="40" t="s">
        <v>67</v>
      </c>
      <c r="C54" s="16">
        <v>151098</v>
      </c>
      <c r="D54" s="26">
        <f>COUNTIF('Awards Summary'!B:B,"151098")</f>
        <v>0</v>
      </c>
      <c r="E54" s="45">
        <f>SUMIFS('Awards Summary'!H:H,'Awards Summary'!B:B,"151098")</f>
        <v>0</v>
      </c>
      <c r="F54" s="46">
        <f>SUMIFS('Disbursements Summary'!E:E,'Disbursements Summary'!C:C, "151098")</f>
        <v>0</v>
      </c>
      <c r="H54" s="55">
        <f>SUMIFS('Awards Summary'!$H:$H,'Awards Summary'!$B:$B,$C54,'Awards Summary'!$J:$J,"APA")</f>
        <v>0</v>
      </c>
      <c r="I54" s="55">
        <f>SUMIFS('Disbursements Summary'!$E:$E,'Disbursements Summary'!$C:$C,$C54,'Disbursements Summary'!$A:$A,"APA")</f>
        <v>0</v>
      </c>
      <c r="J54" s="55">
        <f>SUMIFS('Awards Summary'!$H:$H,'Awards Summary'!$B:$B,$C54,'Awards Summary'!$J:$J,"Ag&amp;Horse")</f>
        <v>0</v>
      </c>
      <c r="K54" s="55">
        <f>SUMIFS('Disbursements Summary'!$E:$E,'Disbursements Summary'!$C:$C,$C54,'Disbursements Summary'!$A:$A,"Ag&amp;Horse")</f>
        <v>0</v>
      </c>
      <c r="L54" s="55">
        <f>SUMIFS('Awards Summary'!$H:$H,'Awards Summary'!$B:$B,$C54,'Awards Summary'!$J:$J,"ACAA")</f>
        <v>0</v>
      </c>
      <c r="M54" s="55">
        <f>SUMIFS('Disbursements Summary'!$E:$E,'Disbursements Summary'!$C:$C,$C54,'Disbursements Summary'!$A:$A,"ACAA")</f>
        <v>0</v>
      </c>
      <c r="N54" s="55">
        <f>SUMIFS('Awards Summary'!$H:$H,'Awards Summary'!$B:$B,$C54,'Awards Summary'!$J:$J,"PortAlbany")</f>
        <v>0</v>
      </c>
      <c r="O54" s="55">
        <f>SUMIFS('Disbursements Summary'!$E:$E,'Disbursements Summary'!$C:$C,$C54,'Disbursements Summary'!$A:$A,"PortAlbany")</f>
        <v>0</v>
      </c>
      <c r="P54" s="55">
        <f>SUMIFS('Awards Summary'!$H:$H,'Awards Summary'!$B:$B,$C54,'Awards Summary'!$J:$J,"SLA")</f>
        <v>0</v>
      </c>
      <c r="Q54" s="55">
        <f>SUMIFS('Disbursements Summary'!$E:$E,'Disbursements Summary'!$C:$C,$C54,'Disbursements Summary'!$A:$A,"SLA")</f>
        <v>0</v>
      </c>
      <c r="R54" s="55">
        <f>SUMIFS('Awards Summary'!$H:$H,'Awards Summary'!$B:$B,$C54,'Awards Summary'!$J:$J,"BPCA")</f>
        <v>0</v>
      </c>
      <c r="S54" s="55">
        <f>SUMIFS('Disbursements Summary'!$E:$E,'Disbursements Summary'!$C:$C,$C54,'Disbursements Summary'!$A:$A,"BPCA")</f>
        <v>0</v>
      </c>
      <c r="T54" s="55">
        <f>SUMIFS('Awards Summary'!$H:$H,'Awards Summary'!$B:$B,$C54,'Awards Summary'!$J:$J,"ELECTIONS")</f>
        <v>0</v>
      </c>
      <c r="U54" s="55">
        <f>SUMIFS('Disbursements Summary'!$E:$E,'Disbursements Summary'!$C:$C,$C54,'Disbursements Summary'!$A:$A,"ELECTIONS")</f>
        <v>0</v>
      </c>
      <c r="V54" s="55">
        <f>SUMIFS('Awards Summary'!$H:$H,'Awards Summary'!$B:$B,$C54,'Awards Summary'!$J:$J,"BFSA")</f>
        <v>0</v>
      </c>
      <c r="W54" s="55">
        <f>SUMIFS('Disbursements Summary'!$E:$E,'Disbursements Summary'!$C:$C,$C54,'Disbursements Summary'!$A:$A,"BFSA")</f>
        <v>0</v>
      </c>
      <c r="X54" s="55">
        <f>SUMIFS('Awards Summary'!$H:$H,'Awards Summary'!$B:$B,$C54,'Awards Summary'!$J:$J,"CDTA")</f>
        <v>0</v>
      </c>
      <c r="Y54" s="55">
        <f>SUMIFS('Disbursements Summary'!$E:$E,'Disbursements Summary'!$C:$C,$C54,'Disbursements Summary'!$A:$A,"CDTA")</f>
        <v>0</v>
      </c>
      <c r="Z54" s="55">
        <f>SUMIFS('Awards Summary'!$H:$H,'Awards Summary'!$B:$B,$C54,'Awards Summary'!$J:$J,"CCWSA")</f>
        <v>0</v>
      </c>
      <c r="AA54" s="55">
        <f>SUMIFS('Disbursements Summary'!$E:$E,'Disbursements Summary'!$C:$C,$C54,'Disbursements Summary'!$A:$A,"CCWSA")</f>
        <v>0</v>
      </c>
      <c r="AB54" s="55">
        <f>SUMIFS('Awards Summary'!$H:$H,'Awards Summary'!$B:$B,$C54,'Awards Summary'!$J:$J,"CNYRTA")</f>
        <v>0</v>
      </c>
      <c r="AC54" s="55">
        <f>SUMIFS('Disbursements Summary'!$E:$E,'Disbursements Summary'!$C:$C,$C54,'Disbursements Summary'!$A:$A,"CNYRTA")</f>
        <v>0</v>
      </c>
      <c r="AD54" s="55">
        <f>SUMIFS('Awards Summary'!$H:$H,'Awards Summary'!$B:$B,$C54,'Awards Summary'!$J:$J,"CUCF")</f>
        <v>0</v>
      </c>
      <c r="AE54" s="55">
        <f>SUMIFS('Disbursements Summary'!$E:$E,'Disbursements Summary'!$C:$C,$C54,'Disbursements Summary'!$A:$A,"CUCF")</f>
        <v>0</v>
      </c>
      <c r="AF54" s="55">
        <f>SUMIFS('Awards Summary'!$H:$H,'Awards Summary'!$B:$B,$C54,'Awards Summary'!$J:$J,"CUNY")</f>
        <v>0</v>
      </c>
      <c r="AG54" s="55">
        <f>SUMIFS('Disbursements Summary'!$E:$E,'Disbursements Summary'!$C:$C,$C54,'Disbursements Summary'!$A:$A,"CUNY")</f>
        <v>0</v>
      </c>
      <c r="AH54" s="55">
        <f>SUMIFS('Awards Summary'!$H:$H,'Awards Summary'!$B:$B,$C54,'Awards Summary'!$J:$J,"ARTS")</f>
        <v>0</v>
      </c>
      <c r="AI54" s="55">
        <f>SUMIFS('Disbursements Summary'!$E:$E,'Disbursements Summary'!$C:$C,$C54,'Disbursements Summary'!$A:$A,"ARTS")</f>
        <v>0</v>
      </c>
      <c r="AJ54" s="55">
        <f>SUMIFS('Awards Summary'!$H:$H,'Awards Summary'!$B:$B,$C54,'Awards Summary'!$J:$J,"AG&amp;MKTS")</f>
        <v>0</v>
      </c>
      <c r="AK54" s="55">
        <f>SUMIFS('Disbursements Summary'!$E:$E,'Disbursements Summary'!$C:$C,$C54,'Disbursements Summary'!$A:$A,"AG&amp;MKTS")</f>
        <v>0</v>
      </c>
      <c r="AL54" s="55">
        <f>SUMIFS('Awards Summary'!$H:$H,'Awards Summary'!$B:$B,$C54,'Awards Summary'!$J:$J,"CS")</f>
        <v>0</v>
      </c>
      <c r="AM54" s="55">
        <f>SUMIFS('Disbursements Summary'!$E:$E,'Disbursements Summary'!$C:$C,$C54,'Disbursements Summary'!$A:$A,"CS")</f>
        <v>0</v>
      </c>
      <c r="AN54" s="55">
        <f>SUMIFS('Awards Summary'!$H:$H,'Awards Summary'!$B:$B,$C54,'Awards Summary'!$J:$J,"DOCCS")</f>
        <v>0</v>
      </c>
      <c r="AO54" s="55">
        <f>SUMIFS('Disbursements Summary'!$E:$E,'Disbursements Summary'!$C:$C,$C54,'Disbursements Summary'!$A:$A,"DOCCS")</f>
        <v>0</v>
      </c>
      <c r="AP54" s="55">
        <f>SUMIFS('Awards Summary'!$H:$H,'Awards Summary'!$B:$B,$C54,'Awards Summary'!$J:$J,"DED")</f>
        <v>0</v>
      </c>
      <c r="AQ54" s="55">
        <f>SUMIFS('Disbursements Summary'!$E:$E,'Disbursements Summary'!$C:$C,$C54,'Disbursements Summary'!$A:$A,"DED")</f>
        <v>0</v>
      </c>
      <c r="AR54" s="55">
        <f>SUMIFS('Awards Summary'!$H:$H,'Awards Summary'!$B:$B,$C54,'Awards Summary'!$J:$J,"DEC")</f>
        <v>0</v>
      </c>
      <c r="AS54" s="55">
        <f>SUMIFS('Disbursements Summary'!$E:$E,'Disbursements Summary'!$C:$C,$C54,'Disbursements Summary'!$A:$A,"DEC")</f>
        <v>0</v>
      </c>
      <c r="AT54" s="55">
        <f>SUMIFS('Awards Summary'!$H:$H,'Awards Summary'!$B:$B,$C54,'Awards Summary'!$J:$J,"DFS")</f>
        <v>0</v>
      </c>
      <c r="AU54" s="55">
        <f>SUMIFS('Disbursements Summary'!$E:$E,'Disbursements Summary'!$C:$C,$C54,'Disbursements Summary'!$A:$A,"DFS")</f>
        <v>0</v>
      </c>
      <c r="AV54" s="55">
        <f>SUMIFS('Awards Summary'!$H:$H,'Awards Summary'!$B:$B,$C54,'Awards Summary'!$J:$J,"DOH")</f>
        <v>0</v>
      </c>
      <c r="AW54" s="55">
        <f>SUMIFS('Disbursements Summary'!$E:$E,'Disbursements Summary'!$C:$C,$C54,'Disbursements Summary'!$A:$A,"DOH")</f>
        <v>0</v>
      </c>
      <c r="AX54" s="55">
        <f>SUMIFS('Awards Summary'!$H:$H,'Awards Summary'!$B:$B,$C54,'Awards Summary'!$J:$J,"DOL")</f>
        <v>0</v>
      </c>
      <c r="AY54" s="55">
        <f>SUMIFS('Disbursements Summary'!$E:$E,'Disbursements Summary'!$C:$C,$C54,'Disbursements Summary'!$A:$A,"DOL")</f>
        <v>0</v>
      </c>
      <c r="AZ54" s="55">
        <f>SUMIFS('Awards Summary'!$H:$H,'Awards Summary'!$B:$B,$C54,'Awards Summary'!$J:$J,"DMV")</f>
        <v>0</v>
      </c>
      <c r="BA54" s="55">
        <f>SUMIFS('Disbursements Summary'!$E:$E,'Disbursements Summary'!$C:$C,$C54,'Disbursements Summary'!$A:$A,"DMV")</f>
        <v>0</v>
      </c>
      <c r="BB54" s="55">
        <f>SUMIFS('Awards Summary'!$H:$H,'Awards Summary'!$B:$B,$C54,'Awards Summary'!$J:$J,"DPS")</f>
        <v>0</v>
      </c>
      <c r="BC54" s="55">
        <f>SUMIFS('Disbursements Summary'!$E:$E,'Disbursements Summary'!$C:$C,$C54,'Disbursements Summary'!$A:$A,"DPS")</f>
        <v>0</v>
      </c>
      <c r="BD54" s="55">
        <f>SUMIFS('Awards Summary'!$H:$H,'Awards Summary'!$B:$B,$C54,'Awards Summary'!$J:$J,"DOS")</f>
        <v>0</v>
      </c>
      <c r="BE54" s="55">
        <f>SUMIFS('Disbursements Summary'!$E:$E,'Disbursements Summary'!$C:$C,$C54,'Disbursements Summary'!$A:$A,"DOS")</f>
        <v>0</v>
      </c>
      <c r="BF54" s="55">
        <f>SUMIFS('Awards Summary'!$H:$H,'Awards Summary'!$B:$B,$C54,'Awards Summary'!$J:$J,"TAX")</f>
        <v>0</v>
      </c>
      <c r="BG54" s="55">
        <f>SUMIFS('Disbursements Summary'!$E:$E,'Disbursements Summary'!$C:$C,$C54,'Disbursements Summary'!$A:$A,"TAX")</f>
        <v>0</v>
      </c>
      <c r="BH54" s="55">
        <f>SUMIFS('Awards Summary'!$H:$H,'Awards Summary'!$B:$B,$C54,'Awards Summary'!$J:$J,"DOT")</f>
        <v>0</v>
      </c>
      <c r="BI54" s="55">
        <f>SUMIFS('Disbursements Summary'!$E:$E,'Disbursements Summary'!$C:$C,$C54,'Disbursements Summary'!$A:$A,"DOT")</f>
        <v>0</v>
      </c>
      <c r="BJ54" s="55">
        <f>SUMIFS('Awards Summary'!$H:$H,'Awards Summary'!$B:$B,$C54,'Awards Summary'!$J:$J,"DANC")</f>
        <v>0</v>
      </c>
      <c r="BK54" s="55">
        <f>SUMIFS('Disbursements Summary'!$E:$E,'Disbursements Summary'!$C:$C,$C54,'Disbursements Summary'!$A:$A,"DANC")</f>
        <v>0</v>
      </c>
      <c r="BL54" s="55">
        <f>SUMIFS('Awards Summary'!$H:$H,'Awards Summary'!$B:$B,$C54,'Awards Summary'!$J:$J,"DOB")</f>
        <v>0</v>
      </c>
      <c r="BM54" s="55">
        <f>SUMIFS('Disbursements Summary'!$E:$E,'Disbursements Summary'!$C:$C,$C54,'Disbursements Summary'!$A:$A,"DOB")</f>
        <v>0</v>
      </c>
      <c r="BN54" s="55">
        <f>SUMIFS('Awards Summary'!$H:$H,'Awards Summary'!$B:$B,$C54,'Awards Summary'!$J:$J,"DCJS")</f>
        <v>0</v>
      </c>
      <c r="BO54" s="55">
        <f>SUMIFS('Disbursements Summary'!$E:$E,'Disbursements Summary'!$C:$C,$C54,'Disbursements Summary'!$A:$A,"DCJS")</f>
        <v>0</v>
      </c>
      <c r="BP54" s="55">
        <f>SUMIFS('Awards Summary'!$H:$H,'Awards Summary'!$B:$B,$C54,'Awards Summary'!$J:$J,"DHSES")</f>
        <v>0</v>
      </c>
      <c r="BQ54" s="55">
        <f>SUMIFS('Disbursements Summary'!$E:$E,'Disbursements Summary'!$C:$C,$C54,'Disbursements Summary'!$A:$A,"DHSES")</f>
        <v>0</v>
      </c>
      <c r="BR54" s="55">
        <f>SUMIFS('Awards Summary'!$H:$H,'Awards Summary'!$B:$B,$C54,'Awards Summary'!$J:$J,"DHR")</f>
        <v>0</v>
      </c>
      <c r="BS54" s="55">
        <f>SUMIFS('Disbursements Summary'!$E:$E,'Disbursements Summary'!$C:$C,$C54,'Disbursements Summary'!$A:$A,"DHR")</f>
        <v>0</v>
      </c>
      <c r="BT54" s="55">
        <f>SUMIFS('Awards Summary'!$H:$H,'Awards Summary'!$B:$B,$C54,'Awards Summary'!$J:$J,"DMNA")</f>
        <v>0</v>
      </c>
      <c r="BU54" s="55">
        <f>SUMIFS('Disbursements Summary'!$E:$E,'Disbursements Summary'!$C:$C,$C54,'Disbursements Summary'!$A:$A,"DMNA")</f>
        <v>0</v>
      </c>
      <c r="BV54" s="55">
        <f>SUMIFS('Awards Summary'!$H:$H,'Awards Summary'!$B:$B,$C54,'Awards Summary'!$J:$J,"TROOPERS")</f>
        <v>0</v>
      </c>
      <c r="BW54" s="55">
        <f>SUMIFS('Disbursements Summary'!$E:$E,'Disbursements Summary'!$C:$C,$C54,'Disbursements Summary'!$A:$A,"TROOPERS")</f>
        <v>0</v>
      </c>
      <c r="BX54" s="55">
        <f>SUMIFS('Awards Summary'!$H:$H,'Awards Summary'!$B:$B,$C54,'Awards Summary'!$J:$J,"DVA")</f>
        <v>0</v>
      </c>
      <c r="BY54" s="55">
        <f>SUMIFS('Disbursements Summary'!$E:$E,'Disbursements Summary'!$C:$C,$C54,'Disbursements Summary'!$A:$A,"DVA")</f>
        <v>0</v>
      </c>
      <c r="BZ54" s="55">
        <f>SUMIFS('Awards Summary'!$H:$H,'Awards Summary'!$B:$B,$C54,'Awards Summary'!$J:$J,"DASNY")</f>
        <v>0</v>
      </c>
      <c r="CA54" s="55">
        <f>SUMIFS('Disbursements Summary'!$E:$E,'Disbursements Summary'!$C:$C,$C54,'Disbursements Summary'!$A:$A,"DASNY")</f>
        <v>0</v>
      </c>
      <c r="CB54" s="55">
        <f>SUMIFS('Awards Summary'!$H:$H,'Awards Summary'!$B:$B,$C54,'Awards Summary'!$J:$J,"EGG")</f>
        <v>0</v>
      </c>
      <c r="CC54" s="55">
        <f>SUMIFS('Disbursements Summary'!$E:$E,'Disbursements Summary'!$C:$C,$C54,'Disbursements Summary'!$A:$A,"EGG")</f>
        <v>0</v>
      </c>
      <c r="CD54" s="55">
        <f>SUMIFS('Awards Summary'!$H:$H,'Awards Summary'!$B:$B,$C54,'Awards Summary'!$J:$J,"ESD")</f>
        <v>0</v>
      </c>
      <c r="CE54" s="55">
        <f>SUMIFS('Disbursements Summary'!$E:$E,'Disbursements Summary'!$C:$C,$C54,'Disbursements Summary'!$A:$A,"ESD")</f>
        <v>0</v>
      </c>
      <c r="CF54" s="55">
        <f>SUMIFS('Awards Summary'!$H:$H,'Awards Summary'!$B:$B,$C54,'Awards Summary'!$J:$J,"EFC")</f>
        <v>0</v>
      </c>
      <c r="CG54" s="55">
        <f>SUMIFS('Disbursements Summary'!$E:$E,'Disbursements Summary'!$C:$C,$C54,'Disbursements Summary'!$A:$A,"EFC")</f>
        <v>0</v>
      </c>
      <c r="CH54" s="55">
        <f>SUMIFS('Awards Summary'!$H:$H,'Awards Summary'!$B:$B,$C54,'Awards Summary'!$J:$J,"ECFSA")</f>
        <v>0</v>
      </c>
      <c r="CI54" s="55">
        <f>SUMIFS('Disbursements Summary'!$E:$E,'Disbursements Summary'!$C:$C,$C54,'Disbursements Summary'!$A:$A,"ECFSA")</f>
        <v>0</v>
      </c>
      <c r="CJ54" s="55">
        <f>SUMIFS('Awards Summary'!$H:$H,'Awards Summary'!$B:$B,$C54,'Awards Summary'!$J:$J,"ECMC")</f>
        <v>0</v>
      </c>
      <c r="CK54" s="55">
        <f>SUMIFS('Disbursements Summary'!$E:$E,'Disbursements Summary'!$C:$C,$C54,'Disbursements Summary'!$A:$A,"ECMC")</f>
        <v>0</v>
      </c>
      <c r="CL54" s="55">
        <f>SUMIFS('Awards Summary'!$H:$H,'Awards Summary'!$B:$B,$C54,'Awards Summary'!$J:$J,"CHAMBER")</f>
        <v>0</v>
      </c>
      <c r="CM54" s="55">
        <f>SUMIFS('Disbursements Summary'!$E:$E,'Disbursements Summary'!$C:$C,$C54,'Disbursements Summary'!$A:$A,"CHAMBER")</f>
        <v>0</v>
      </c>
      <c r="CN54" s="55">
        <f>SUMIFS('Awards Summary'!$H:$H,'Awards Summary'!$B:$B,$C54,'Awards Summary'!$J:$J,"GAMING")</f>
        <v>0</v>
      </c>
      <c r="CO54" s="55">
        <f>SUMIFS('Disbursements Summary'!$E:$E,'Disbursements Summary'!$C:$C,$C54,'Disbursements Summary'!$A:$A,"GAMING")</f>
        <v>0</v>
      </c>
      <c r="CP54" s="55">
        <f>SUMIFS('Awards Summary'!$H:$H,'Awards Summary'!$B:$B,$C54,'Awards Summary'!$J:$J,"GOER")</f>
        <v>0</v>
      </c>
      <c r="CQ54" s="55">
        <f>SUMIFS('Disbursements Summary'!$E:$E,'Disbursements Summary'!$C:$C,$C54,'Disbursements Summary'!$A:$A,"GOER")</f>
        <v>0</v>
      </c>
      <c r="CR54" s="55">
        <f>SUMIFS('Awards Summary'!$H:$H,'Awards Summary'!$B:$B,$C54,'Awards Summary'!$J:$J,"HESC")</f>
        <v>0</v>
      </c>
      <c r="CS54" s="55">
        <f>SUMIFS('Disbursements Summary'!$E:$E,'Disbursements Summary'!$C:$C,$C54,'Disbursements Summary'!$A:$A,"HESC")</f>
        <v>0</v>
      </c>
      <c r="CT54" s="55">
        <f>SUMIFS('Awards Summary'!$H:$H,'Awards Summary'!$B:$B,$C54,'Awards Summary'!$J:$J,"GOSR")</f>
        <v>0</v>
      </c>
      <c r="CU54" s="55">
        <f>SUMIFS('Disbursements Summary'!$E:$E,'Disbursements Summary'!$C:$C,$C54,'Disbursements Summary'!$A:$A,"GOSR")</f>
        <v>0</v>
      </c>
      <c r="CV54" s="55">
        <f>SUMIFS('Awards Summary'!$H:$H,'Awards Summary'!$B:$B,$C54,'Awards Summary'!$J:$J,"HRPT")</f>
        <v>0</v>
      </c>
      <c r="CW54" s="55">
        <f>SUMIFS('Disbursements Summary'!$E:$E,'Disbursements Summary'!$C:$C,$C54,'Disbursements Summary'!$A:$A,"HRPT")</f>
        <v>0</v>
      </c>
      <c r="CX54" s="55">
        <f>SUMIFS('Awards Summary'!$H:$H,'Awards Summary'!$B:$B,$C54,'Awards Summary'!$J:$J,"HRBRRD")</f>
        <v>0</v>
      </c>
      <c r="CY54" s="55">
        <f>SUMIFS('Disbursements Summary'!$E:$E,'Disbursements Summary'!$C:$C,$C54,'Disbursements Summary'!$A:$A,"HRBRRD")</f>
        <v>0</v>
      </c>
      <c r="CZ54" s="55">
        <f>SUMIFS('Awards Summary'!$H:$H,'Awards Summary'!$B:$B,$C54,'Awards Summary'!$J:$J,"ITS")</f>
        <v>0</v>
      </c>
      <c r="DA54" s="55">
        <f>SUMIFS('Disbursements Summary'!$E:$E,'Disbursements Summary'!$C:$C,$C54,'Disbursements Summary'!$A:$A,"ITS")</f>
        <v>0</v>
      </c>
      <c r="DB54" s="55">
        <f>SUMIFS('Awards Summary'!$H:$H,'Awards Summary'!$B:$B,$C54,'Awards Summary'!$J:$J,"JAVITS")</f>
        <v>0</v>
      </c>
      <c r="DC54" s="55">
        <f>SUMIFS('Disbursements Summary'!$E:$E,'Disbursements Summary'!$C:$C,$C54,'Disbursements Summary'!$A:$A,"JAVITS")</f>
        <v>0</v>
      </c>
      <c r="DD54" s="55">
        <f>SUMIFS('Awards Summary'!$H:$H,'Awards Summary'!$B:$B,$C54,'Awards Summary'!$J:$J,"JCOPE")</f>
        <v>0</v>
      </c>
      <c r="DE54" s="55">
        <f>SUMIFS('Disbursements Summary'!$E:$E,'Disbursements Summary'!$C:$C,$C54,'Disbursements Summary'!$A:$A,"JCOPE")</f>
        <v>0</v>
      </c>
      <c r="DF54" s="55">
        <f>SUMIFS('Awards Summary'!$H:$H,'Awards Summary'!$B:$B,$C54,'Awards Summary'!$J:$J,"JUSTICE")</f>
        <v>0</v>
      </c>
      <c r="DG54" s="55">
        <f>SUMIFS('Disbursements Summary'!$E:$E,'Disbursements Summary'!$C:$C,$C54,'Disbursements Summary'!$A:$A,"JUSTICE")</f>
        <v>0</v>
      </c>
      <c r="DH54" s="55">
        <f>SUMIFS('Awards Summary'!$H:$H,'Awards Summary'!$B:$B,$C54,'Awards Summary'!$J:$J,"LCWSA")</f>
        <v>0</v>
      </c>
      <c r="DI54" s="55">
        <f>SUMIFS('Disbursements Summary'!$E:$E,'Disbursements Summary'!$C:$C,$C54,'Disbursements Summary'!$A:$A,"LCWSA")</f>
        <v>0</v>
      </c>
      <c r="DJ54" s="55">
        <f>SUMIFS('Awards Summary'!$H:$H,'Awards Summary'!$B:$B,$C54,'Awards Summary'!$J:$J,"LIPA")</f>
        <v>0</v>
      </c>
      <c r="DK54" s="55">
        <f>SUMIFS('Disbursements Summary'!$E:$E,'Disbursements Summary'!$C:$C,$C54,'Disbursements Summary'!$A:$A,"LIPA")</f>
        <v>0</v>
      </c>
      <c r="DL54" s="55">
        <f>SUMIFS('Awards Summary'!$H:$H,'Awards Summary'!$B:$B,$C54,'Awards Summary'!$J:$J,"MTA")</f>
        <v>0</v>
      </c>
      <c r="DM54" s="55">
        <f>SUMIFS('Disbursements Summary'!$E:$E,'Disbursements Summary'!$C:$C,$C54,'Disbursements Summary'!$A:$A,"MTA")</f>
        <v>0</v>
      </c>
      <c r="DN54" s="55">
        <f>SUMIFS('Awards Summary'!$H:$H,'Awards Summary'!$B:$B,$C54,'Awards Summary'!$J:$J,"NIFA")</f>
        <v>0</v>
      </c>
      <c r="DO54" s="55">
        <f>SUMIFS('Disbursements Summary'!$E:$E,'Disbursements Summary'!$C:$C,$C54,'Disbursements Summary'!$A:$A,"NIFA")</f>
        <v>0</v>
      </c>
      <c r="DP54" s="55">
        <f>SUMIFS('Awards Summary'!$H:$H,'Awards Summary'!$B:$B,$C54,'Awards Summary'!$J:$J,"NHCC")</f>
        <v>0</v>
      </c>
      <c r="DQ54" s="55">
        <f>SUMIFS('Disbursements Summary'!$E:$E,'Disbursements Summary'!$C:$C,$C54,'Disbursements Summary'!$A:$A,"NHCC")</f>
        <v>0</v>
      </c>
      <c r="DR54" s="55">
        <f>SUMIFS('Awards Summary'!$H:$H,'Awards Summary'!$B:$B,$C54,'Awards Summary'!$J:$J,"NHT")</f>
        <v>0</v>
      </c>
      <c r="DS54" s="55">
        <f>SUMIFS('Disbursements Summary'!$E:$E,'Disbursements Summary'!$C:$C,$C54,'Disbursements Summary'!$A:$A,"NHT")</f>
        <v>0</v>
      </c>
      <c r="DT54" s="55">
        <f>SUMIFS('Awards Summary'!$H:$H,'Awards Summary'!$B:$B,$C54,'Awards Summary'!$J:$J,"NYPA")</f>
        <v>0</v>
      </c>
      <c r="DU54" s="55">
        <f>SUMIFS('Disbursements Summary'!$E:$E,'Disbursements Summary'!$C:$C,$C54,'Disbursements Summary'!$A:$A,"NYPA")</f>
        <v>0</v>
      </c>
      <c r="DV54" s="55">
        <f>SUMIFS('Awards Summary'!$H:$H,'Awards Summary'!$B:$B,$C54,'Awards Summary'!$J:$J,"NYSBA")</f>
        <v>0</v>
      </c>
      <c r="DW54" s="55">
        <f>SUMIFS('Disbursements Summary'!$E:$E,'Disbursements Summary'!$C:$C,$C54,'Disbursements Summary'!$A:$A,"NYSBA")</f>
        <v>0</v>
      </c>
      <c r="DX54" s="55">
        <f>SUMIFS('Awards Summary'!$H:$H,'Awards Summary'!$B:$B,$C54,'Awards Summary'!$J:$J,"NYSERDA")</f>
        <v>0</v>
      </c>
      <c r="DY54" s="55">
        <f>SUMIFS('Disbursements Summary'!$E:$E,'Disbursements Summary'!$C:$C,$C54,'Disbursements Summary'!$A:$A,"NYSERDA")</f>
        <v>0</v>
      </c>
      <c r="DZ54" s="55">
        <f>SUMIFS('Awards Summary'!$H:$H,'Awards Summary'!$B:$B,$C54,'Awards Summary'!$J:$J,"DHCR")</f>
        <v>0</v>
      </c>
      <c r="EA54" s="55">
        <f>SUMIFS('Disbursements Summary'!$E:$E,'Disbursements Summary'!$C:$C,$C54,'Disbursements Summary'!$A:$A,"DHCR")</f>
        <v>0</v>
      </c>
      <c r="EB54" s="55">
        <f>SUMIFS('Awards Summary'!$H:$H,'Awards Summary'!$B:$B,$C54,'Awards Summary'!$J:$J,"HFA")</f>
        <v>0</v>
      </c>
      <c r="EC54" s="55">
        <f>SUMIFS('Disbursements Summary'!$E:$E,'Disbursements Summary'!$C:$C,$C54,'Disbursements Summary'!$A:$A,"HFA")</f>
        <v>0</v>
      </c>
      <c r="ED54" s="55">
        <f>SUMIFS('Awards Summary'!$H:$H,'Awards Summary'!$B:$B,$C54,'Awards Summary'!$J:$J,"NYSIF")</f>
        <v>0</v>
      </c>
      <c r="EE54" s="55">
        <f>SUMIFS('Disbursements Summary'!$E:$E,'Disbursements Summary'!$C:$C,$C54,'Disbursements Summary'!$A:$A,"NYSIF")</f>
        <v>0</v>
      </c>
      <c r="EF54" s="55">
        <f>SUMIFS('Awards Summary'!$H:$H,'Awards Summary'!$B:$B,$C54,'Awards Summary'!$J:$J,"NYBREDS")</f>
        <v>0</v>
      </c>
      <c r="EG54" s="55">
        <f>SUMIFS('Disbursements Summary'!$E:$E,'Disbursements Summary'!$C:$C,$C54,'Disbursements Summary'!$A:$A,"NYBREDS")</f>
        <v>0</v>
      </c>
      <c r="EH54" s="55">
        <f>SUMIFS('Awards Summary'!$H:$H,'Awards Summary'!$B:$B,$C54,'Awards Summary'!$J:$J,"NYSTA")</f>
        <v>0</v>
      </c>
      <c r="EI54" s="55">
        <f>SUMIFS('Disbursements Summary'!$E:$E,'Disbursements Summary'!$C:$C,$C54,'Disbursements Summary'!$A:$A,"NYSTA")</f>
        <v>0</v>
      </c>
      <c r="EJ54" s="55">
        <f>SUMIFS('Awards Summary'!$H:$H,'Awards Summary'!$B:$B,$C54,'Awards Summary'!$J:$J,"NFWB")</f>
        <v>0</v>
      </c>
      <c r="EK54" s="55">
        <f>SUMIFS('Disbursements Summary'!$E:$E,'Disbursements Summary'!$C:$C,$C54,'Disbursements Summary'!$A:$A,"NFWB")</f>
        <v>0</v>
      </c>
      <c r="EL54" s="55">
        <f>SUMIFS('Awards Summary'!$H:$H,'Awards Summary'!$B:$B,$C54,'Awards Summary'!$J:$J,"NFTA")</f>
        <v>0</v>
      </c>
      <c r="EM54" s="55">
        <f>SUMIFS('Disbursements Summary'!$E:$E,'Disbursements Summary'!$C:$C,$C54,'Disbursements Summary'!$A:$A,"NFTA")</f>
        <v>0</v>
      </c>
      <c r="EN54" s="55">
        <f>SUMIFS('Awards Summary'!$H:$H,'Awards Summary'!$B:$B,$C54,'Awards Summary'!$J:$J,"OPWDD")</f>
        <v>0</v>
      </c>
      <c r="EO54" s="55">
        <f>SUMIFS('Disbursements Summary'!$E:$E,'Disbursements Summary'!$C:$C,$C54,'Disbursements Summary'!$A:$A,"OPWDD")</f>
        <v>0</v>
      </c>
      <c r="EP54" s="55">
        <f>SUMIFS('Awards Summary'!$H:$H,'Awards Summary'!$B:$B,$C54,'Awards Summary'!$J:$J,"AGING")</f>
        <v>0</v>
      </c>
      <c r="EQ54" s="55">
        <f>SUMIFS('Disbursements Summary'!$E:$E,'Disbursements Summary'!$C:$C,$C54,'Disbursements Summary'!$A:$A,"AGING")</f>
        <v>0</v>
      </c>
      <c r="ER54" s="55">
        <f>SUMIFS('Awards Summary'!$H:$H,'Awards Summary'!$B:$B,$C54,'Awards Summary'!$J:$J,"OPDV")</f>
        <v>0</v>
      </c>
      <c r="ES54" s="55">
        <f>SUMIFS('Disbursements Summary'!$E:$E,'Disbursements Summary'!$C:$C,$C54,'Disbursements Summary'!$A:$A,"OPDV")</f>
        <v>0</v>
      </c>
      <c r="ET54" s="55">
        <f>SUMIFS('Awards Summary'!$H:$H,'Awards Summary'!$B:$B,$C54,'Awards Summary'!$J:$J,"OVS")</f>
        <v>0</v>
      </c>
      <c r="EU54" s="55">
        <f>SUMIFS('Disbursements Summary'!$E:$E,'Disbursements Summary'!$C:$C,$C54,'Disbursements Summary'!$A:$A,"OVS")</f>
        <v>0</v>
      </c>
      <c r="EV54" s="55">
        <f>SUMIFS('Awards Summary'!$H:$H,'Awards Summary'!$B:$B,$C54,'Awards Summary'!$J:$J,"OASAS")</f>
        <v>0</v>
      </c>
      <c r="EW54" s="55">
        <f>SUMIFS('Disbursements Summary'!$E:$E,'Disbursements Summary'!$C:$C,$C54,'Disbursements Summary'!$A:$A,"OASAS")</f>
        <v>0</v>
      </c>
      <c r="EX54" s="55">
        <f>SUMIFS('Awards Summary'!$H:$H,'Awards Summary'!$B:$B,$C54,'Awards Summary'!$J:$J,"OCFS")</f>
        <v>0</v>
      </c>
      <c r="EY54" s="55">
        <f>SUMIFS('Disbursements Summary'!$E:$E,'Disbursements Summary'!$C:$C,$C54,'Disbursements Summary'!$A:$A,"OCFS")</f>
        <v>0</v>
      </c>
      <c r="EZ54" s="55">
        <f>SUMIFS('Awards Summary'!$H:$H,'Awards Summary'!$B:$B,$C54,'Awards Summary'!$J:$J,"OGS")</f>
        <v>0</v>
      </c>
      <c r="FA54" s="55">
        <f>SUMIFS('Disbursements Summary'!$E:$E,'Disbursements Summary'!$C:$C,$C54,'Disbursements Summary'!$A:$A,"OGS")</f>
        <v>0</v>
      </c>
      <c r="FB54" s="55">
        <f>SUMIFS('Awards Summary'!$H:$H,'Awards Summary'!$B:$B,$C54,'Awards Summary'!$J:$J,"OMH")</f>
        <v>0</v>
      </c>
      <c r="FC54" s="55">
        <f>SUMIFS('Disbursements Summary'!$E:$E,'Disbursements Summary'!$C:$C,$C54,'Disbursements Summary'!$A:$A,"OMH")</f>
        <v>0</v>
      </c>
      <c r="FD54" s="55">
        <f>SUMIFS('Awards Summary'!$H:$H,'Awards Summary'!$B:$B,$C54,'Awards Summary'!$J:$J,"PARKS")</f>
        <v>0</v>
      </c>
      <c r="FE54" s="55">
        <f>SUMIFS('Disbursements Summary'!$E:$E,'Disbursements Summary'!$C:$C,$C54,'Disbursements Summary'!$A:$A,"PARKS")</f>
        <v>0</v>
      </c>
      <c r="FF54" s="55">
        <f>SUMIFS('Awards Summary'!$H:$H,'Awards Summary'!$B:$B,$C54,'Awards Summary'!$J:$J,"OTDA")</f>
        <v>0</v>
      </c>
      <c r="FG54" s="55">
        <f>SUMIFS('Disbursements Summary'!$E:$E,'Disbursements Summary'!$C:$C,$C54,'Disbursements Summary'!$A:$A,"OTDA")</f>
        <v>0</v>
      </c>
      <c r="FH54" s="55">
        <f>SUMIFS('Awards Summary'!$H:$H,'Awards Summary'!$B:$B,$C54,'Awards Summary'!$J:$J,"OIG")</f>
        <v>0</v>
      </c>
      <c r="FI54" s="55">
        <f>SUMIFS('Disbursements Summary'!$E:$E,'Disbursements Summary'!$C:$C,$C54,'Disbursements Summary'!$A:$A,"OIG")</f>
        <v>0</v>
      </c>
      <c r="FJ54" s="55">
        <f>SUMIFS('Awards Summary'!$H:$H,'Awards Summary'!$B:$B,$C54,'Awards Summary'!$J:$J,"OMIG")</f>
        <v>0</v>
      </c>
      <c r="FK54" s="55">
        <f>SUMIFS('Disbursements Summary'!$E:$E,'Disbursements Summary'!$C:$C,$C54,'Disbursements Summary'!$A:$A,"OMIG")</f>
        <v>0</v>
      </c>
      <c r="FL54" s="55">
        <f>SUMIFS('Awards Summary'!$H:$H,'Awards Summary'!$B:$B,$C54,'Awards Summary'!$J:$J,"OSC")</f>
        <v>0</v>
      </c>
      <c r="FM54" s="55">
        <f>SUMIFS('Disbursements Summary'!$E:$E,'Disbursements Summary'!$C:$C,$C54,'Disbursements Summary'!$A:$A,"OSC")</f>
        <v>0</v>
      </c>
      <c r="FN54" s="55">
        <f>SUMIFS('Awards Summary'!$H:$H,'Awards Summary'!$B:$B,$C54,'Awards Summary'!$J:$J,"OWIG")</f>
        <v>0</v>
      </c>
      <c r="FO54" s="55">
        <f>SUMIFS('Disbursements Summary'!$E:$E,'Disbursements Summary'!$C:$C,$C54,'Disbursements Summary'!$A:$A,"OWIG")</f>
        <v>0</v>
      </c>
      <c r="FP54" s="55">
        <f>SUMIFS('Awards Summary'!$H:$H,'Awards Summary'!$B:$B,$C54,'Awards Summary'!$J:$J,"OGDEN")</f>
        <v>0</v>
      </c>
      <c r="FQ54" s="55">
        <f>SUMIFS('Disbursements Summary'!$E:$E,'Disbursements Summary'!$C:$C,$C54,'Disbursements Summary'!$A:$A,"OGDEN")</f>
        <v>0</v>
      </c>
      <c r="FR54" s="55">
        <f>SUMIFS('Awards Summary'!$H:$H,'Awards Summary'!$B:$B,$C54,'Awards Summary'!$J:$J,"ORDA")</f>
        <v>0</v>
      </c>
      <c r="FS54" s="55">
        <f>SUMIFS('Disbursements Summary'!$E:$E,'Disbursements Summary'!$C:$C,$C54,'Disbursements Summary'!$A:$A,"ORDA")</f>
        <v>0</v>
      </c>
      <c r="FT54" s="55">
        <f>SUMIFS('Awards Summary'!$H:$H,'Awards Summary'!$B:$B,$C54,'Awards Summary'!$J:$J,"OSWEGO")</f>
        <v>0</v>
      </c>
      <c r="FU54" s="55">
        <f>SUMIFS('Disbursements Summary'!$E:$E,'Disbursements Summary'!$C:$C,$C54,'Disbursements Summary'!$A:$A,"OSWEGO")</f>
        <v>0</v>
      </c>
      <c r="FV54" s="55">
        <f>SUMIFS('Awards Summary'!$H:$H,'Awards Summary'!$B:$B,$C54,'Awards Summary'!$J:$J,"PERB")</f>
        <v>0</v>
      </c>
      <c r="FW54" s="55">
        <f>SUMIFS('Disbursements Summary'!$E:$E,'Disbursements Summary'!$C:$C,$C54,'Disbursements Summary'!$A:$A,"PERB")</f>
        <v>0</v>
      </c>
      <c r="FX54" s="55">
        <f>SUMIFS('Awards Summary'!$H:$H,'Awards Summary'!$B:$B,$C54,'Awards Summary'!$J:$J,"RGRTA")</f>
        <v>0</v>
      </c>
      <c r="FY54" s="55">
        <f>SUMIFS('Disbursements Summary'!$E:$E,'Disbursements Summary'!$C:$C,$C54,'Disbursements Summary'!$A:$A,"RGRTA")</f>
        <v>0</v>
      </c>
      <c r="FZ54" s="55">
        <f>SUMIFS('Awards Summary'!$H:$H,'Awards Summary'!$B:$B,$C54,'Awards Summary'!$J:$J,"RIOC")</f>
        <v>0</v>
      </c>
      <c r="GA54" s="55">
        <f>SUMIFS('Disbursements Summary'!$E:$E,'Disbursements Summary'!$C:$C,$C54,'Disbursements Summary'!$A:$A,"RIOC")</f>
        <v>0</v>
      </c>
      <c r="GB54" s="55">
        <f>SUMIFS('Awards Summary'!$H:$H,'Awards Summary'!$B:$B,$C54,'Awards Summary'!$J:$J,"RPCI")</f>
        <v>0</v>
      </c>
      <c r="GC54" s="55">
        <f>SUMIFS('Disbursements Summary'!$E:$E,'Disbursements Summary'!$C:$C,$C54,'Disbursements Summary'!$A:$A,"RPCI")</f>
        <v>0</v>
      </c>
      <c r="GD54" s="55">
        <f>SUMIFS('Awards Summary'!$H:$H,'Awards Summary'!$B:$B,$C54,'Awards Summary'!$J:$J,"SMDA")</f>
        <v>0</v>
      </c>
      <c r="GE54" s="55">
        <f>SUMIFS('Disbursements Summary'!$E:$E,'Disbursements Summary'!$C:$C,$C54,'Disbursements Summary'!$A:$A,"SMDA")</f>
        <v>0</v>
      </c>
      <c r="GF54" s="55">
        <f>SUMIFS('Awards Summary'!$H:$H,'Awards Summary'!$B:$B,$C54,'Awards Summary'!$J:$J,"SCOC")</f>
        <v>0</v>
      </c>
      <c r="GG54" s="55">
        <f>SUMIFS('Disbursements Summary'!$E:$E,'Disbursements Summary'!$C:$C,$C54,'Disbursements Summary'!$A:$A,"SCOC")</f>
        <v>0</v>
      </c>
      <c r="GH54" s="55">
        <f>SUMIFS('Awards Summary'!$H:$H,'Awards Summary'!$B:$B,$C54,'Awards Summary'!$J:$J,"SUCF")</f>
        <v>0</v>
      </c>
      <c r="GI54" s="55">
        <f>SUMIFS('Disbursements Summary'!$E:$E,'Disbursements Summary'!$C:$C,$C54,'Disbursements Summary'!$A:$A,"SUCF")</f>
        <v>0</v>
      </c>
      <c r="GJ54" s="55">
        <f>SUMIFS('Awards Summary'!$H:$H,'Awards Summary'!$B:$B,$C54,'Awards Summary'!$J:$J,"SUNY")</f>
        <v>0</v>
      </c>
      <c r="GK54" s="55">
        <f>SUMIFS('Disbursements Summary'!$E:$E,'Disbursements Summary'!$C:$C,$C54,'Disbursements Summary'!$A:$A,"SUNY")</f>
        <v>0</v>
      </c>
      <c r="GL54" s="55">
        <f>SUMIFS('Awards Summary'!$H:$H,'Awards Summary'!$B:$B,$C54,'Awards Summary'!$J:$J,"SRAA")</f>
        <v>0</v>
      </c>
      <c r="GM54" s="55">
        <f>SUMIFS('Disbursements Summary'!$E:$E,'Disbursements Summary'!$C:$C,$C54,'Disbursements Summary'!$A:$A,"SRAA")</f>
        <v>0</v>
      </c>
      <c r="GN54" s="55">
        <f>SUMIFS('Awards Summary'!$H:$H,'Awards Summary'!$B:$B,$C54,'Awards Summary'!$J:$J,"UNDC")</f>
        <v>0</v>
      </c>
      <c r="GO54" s="55">
        <f>SUMIFS('Disbursements Summary'!$E:$E,'Disbursements Summary'!$C:$C,$C54,'Disbursements Summary'!$A:$A,"UNDC")</f>
        <v>0</v>
      </c>
      <c r="GP54" s="55">
        <f>SUMIFS('Awards Summary'!$H:$H,'Awards Summary'!$B:$B,$C54,'Awards Summary'!$J:$J,"MVWA")</f>
        <v>0</v>
      </c>
      <c r="GQ54" s="55">
        <f>SUMIFS('Disbursements Summary'!$E:$E,'Disbursements Summary'!$C:$C,$C54,'Disbursements Summary'!$A:$A,"MVWA")</f>
        <v>0</v>
      </c>
      <c r="GR54" s="55">
        <f>SUMIFS('Awards Summary'!$H:$H,'Awards Summary'!$B:$B,$C54,'Awards Summary'!$J:$J,"WMC")</f>
        <v>0</v>
      </c>
      <c r="GS54" s="55">
        <f>SUMIFS('Disbursements Summary'!$E:$E,'Disbursements Summary'!$C:$C,$C54,'Disbursements Summary'!$A:$A,"WMC")</f>
        <v>0</v>
      </c>
      <c r="GT54" s="55">
        <f>SUMIFS('Awards Summary'!$H:$H,'Awards Summary'!$B:$B,$C54,'Awards Summary'!$J:$J,"WCB")</f>
        <v>0</v>
      </c>
      <c r="GU54" s="55">
        <f>SUMIFS('Disbursements Summary'!$E:$E,'Disbursements Summary'!$C:$C,$C54,'Disbursements Summary'!$A:$A,"WCB")</f>
        <v>0</v>
      </c>
      <c r="GV54" s="32">
        <f t="shared" si="5"/>
        <v>0</v>
      </c>
      <c r="GW54" s="32">
        <f t="shared" si="6"/>
        <v>0</v>
      </c>
      <c r="GX54" s="30" t="b">
        <f t="shared" si="7"/>
        <v>1</v>
      </c>
      <c r="GY54" s="30" t="b">
        <f t="shared" si="8"/>
        <v>1</v>
      </c>
    </row>
    <row r="55" spans="1:207" s="30" customFormat="1">
      <c r="A55" s="22" t="str">
        <f t="shared" si="0"/>
        <v/>
      </c>
      <c r="B55" s="40" t="s">
        <v>87</v>
      </c>
      <c r="C55" s="16">
        <v>151099</v>
      </c>
      <c r="D55" s="26">
        <f>COUNTIF('Awards Summary'!B:B,"151099")</f>
        <v>0</v>
      </c>
      <c r="E55" s="45">
        <f>SUMIFS('Awards Summary'!H:H,'Awards Summary'!B:B,"151099")</f>
        <v>0</v>
      </c>
      <c r="F55" s="46">
        <f>SUMIFS('Disbursements Summary'!E:E,'Disbursements Summary'!C:C, "151099")</f>
        <v>0</v>
      </c>
      <c r="H55" s="55">
        <f>SUMIFS('Awards Summary'!$H:$H,'Awards Summary'!$B:$B,$C55,'Awards Summary'!$J:$J,"APA")</f>
        <v>0</v>
      </c>
      <c r="I55" s="55">
        <f>SUMIFS('Disbursements Summary'!$E:$E,'Disbursements Summary'!$C:$C,$C55,'Disbursements Summary'!$A:$A,"APA")</f>
        <v>0</v>
      </c>
      <c r="J55" s="55">
        <f>SUMIFS('Awards Summary'!$H:$H,'Awards Summary'!$B:$B,$C55,'Awards Summary'!$J:$J,"Ag&amp;Horse")</f>
        <v>0</v>
      </c>
      <c r="K55" s="55">
        <f>SUMIFS('Disbursements Summary'!$E:$E,'Disbursements Summary'!$C:$C,$C55,'Disbursements Summary'!$A:$A,"Ag&amp;Horse")</f>
        <v>0</v>
      </c>
      <c r="L55" s="55">
        <f>SUMIFS('Awards Summary'!$H:$H,'Awards Summary'!$B:$B,$C55,'Awards Summary'!$J:$J,"ACAA")</f>
        <v>0</v>
      </c>
      <c r="M55" s="55">
        <f>SUMIFS('Disbursements Summary'!$E:$E,'Disbursements Summary'!$C:$C,$C55,'Disbursements Summary'!$A:$A,"ACAA")</f>
        <v>0</v>
      </c>
      <c r="N55" s="55">
        <f>SUMIFS('Awards Summary'!$H:$H,'Awards Summary'!$B:$B,$C55,'Awards Summary'!$J:$J,"PortAlbany")</f>
        <v>0</v>
      </c>
      <c r="O55" s="55">
        <f>SUMIFS('Disbursements Summary'!$E:$E,'Disbursements Summary'!$C:$C,$C55,'Disbursements Summary'!$A:$A,"PortAlbany")</f>
        <v>0</v>
      </c>
      <c r="P55" s="55">
        <f>SUMIFS('Awards Summary'!$H:$H,'Awards Summary'!$B:$B,$C55,'Awards Summary'!$J:$J,"SLA")</f>
        <v>0</v>
      </c>
      <c r="Q55" s="55">
        <f>SUMIFS('Disbursements Summary'!$E:$E,'Disbursements Summary'!$C:$C,$C55,'Disbursements Summary'!$A:$A,"SLA")</f>
        <v>0</v>
      </c>
      <c r="R55" s="55">
        <f>SUMIFS('Awards Summary'!$H:$H,'Awards Summary'!$B:$B,$C55,'Awards Summary'!$J:$J,"BPCA")</f>
        <v>0</v>
      </c>
      <c r="S55" s="55">
        <f>SUMIFS('Disbursements Summary'!$E:$E,'Disbursements Summary'!$C:$C,$C55,'Disbursements Summary'!$A:$A,"BPCA")</f>
        <v>0</v>
      </c>
      <c r="T55" s="55">
        <f>SUMIFS('Awards Summary'!$H:$H,'Awards Summary'!$B:$B,$C55,'Awards Summary'!$J:$J,"ELECTIONS")</f>
        <v>0</v>
      </c>
      <c r="U55" s="55">
        <f>SUMIFS('Disbursements Summary'!$E:$E,'Disbursements Summary'!$C:$C,$C55,'Disbursements Summary'!$A:$A,"ELECTIONS")</f>
        <v>0</v>
      </c>
      <c r="V55" s="55">
        <f>SUMIFS('Awards Summary'!$H:$H,'Awards Summary'!$B:$B,$C55,'Awards Summary'!$J:$J,"BFSA")</f>
        <v>0</v>
      </c>
      <c r="W55" s="55">
        <f>SUMIFS('Disbursements Summary'!$E:$E,'Disbursements Summary'!$C:$C,$C55,'Disbursements Summary'!$A:$A,"BFSA")</f>
        <v>0</v>
      </c>
      <c r="X55" s="55">
        <f>SUMIFS('Awards Summary'!$H:$H,'Awards Summary'!$B:$B,$C55,'Awards Summary'!$J:$J,"CDTA")</f>
        <v>0</v>
      </c>
      <c r="Y55" s="55">
        <f>SUMIFS('Disbursements Summary'!$E:$E,'Disbursements Summary'!$C:$C,$C55,'Disbursements Summary'!$A:$A,"CDTA")</f>
        <v>0</v>
      </c>
      <c r="Z55" s="55">
        <f>SUMIFS('Awards Summary'!$H:$H,'Awards Summary'!$B:$B,$C55,'Awards Summary'!$J:$J,"CCWSA")</f>
        <v>0</v>
      </c>
      <c r="AA55" s="55">
        <f>SUMIFS('Disbursements Summary'!$E:$E,'Disbursements Summary'!$C:$C,$C55,'Disbursements Summary'!$A:$A,"CCWSA")</f>
        <v>0</v>
      </c>
      <c r="AB55" s="55">
        <f>SUMIFS('Awards Summary'!$H:$H,'Awards Summary'!$B:$B,$C55,'Awards Summary'!$J:$J,"CNYRTA")</f>
        <v>0</v>
      </c>
      <c r="AC55" s="55">
        <f>SUMIFS('Disbursements Summary'!$E:$E,'Disbursements Summary'!$C:$C,$C55,'Disbursements Summary'!$A:$A,"CNYRTA")</f>
        <v>0</v>
      </c>
      <c r="AD55" s="55">
        <f>SUMIFS('Awards Summary'!$H:$H,'Awards Summary'!$B:$B,$C55,'Awards Summary'!$J:$J,"CUCF")</f>
        <v>0</v>
      </c>
      <c r="AE55" s="55">
        <f>SUMIFS('Disbursements Summary'!$E:$E,'Disbursements Summary'!$C:$C,$C55,'Disbursements Summary'!$A:$A,"CUCF")</f>
        <v>0</v>
      </c>
      <c r="AF55" s="55">
        <f>SUMIFS('Awards Summary'!$H:$H,'Awards Summary'!$B:$B,$C55,'Awards Summary'!$J:$J,"CUNY")</f>
        <v>0</v>
      </c>
      <c r="AG55" s="55">
        <f>SUMIFS('Disbursements Summary'!$E:$E,'Disbursements Summary'!$C:$C,$C55,'Disbursements Summary'!$A:$A,"CUNY")</f>
        <v>0</v>
      </c>
      <c r="AH55" s="55">
        <f>SUMIFS('Awards Summary'!$H:$H,'Awards Summary'!$B:$B,$C55,'Awards Summary'!$J:$J,"ARTS")</f>
        <v>0</v>
      </c>
      <c r="AI55" s="55">
        <f>SUMIFS('Disbursements Summary'!$E:$E,'Disbursements Summary'!$C:$C,$C55,'Disbursements Summary'!$A:$A,"ARTS")</f>
        <v>0</v>
      </c>
      <c r="AJ55" s="55">
        <f>SUMIFS('Awards Summary'!$H:$H,'Awards Summary'!$B:$B,$C55,'Awards Summary'!$J:$J,"AG&amp;MKTS")</f>
        <v>0</v>
      </c>
      <c r="AK55" s="55">
        <f>SUMIFS('Disbursements Summary'!$E:$E,'Disbursements Summary'!$C:$C,$C55,'Disbursements Summary'!$A:$A,"AG&amp;MKTS")</f>
        <v>0</v>
      </c>
      <c r="AL55" s="55">
        <f>SUMIFS('Awards Summary'!$H:$H,'Awards Summary'!$B:$B,$C55,'Awards Summary'!$J:$J,"CS")</f>
        <v>0</v>
      </c>
      <c r="AM55" s="55">
        <f>SUMIFS('Disbursements Summary'!$E:$E,'Disbursements Summary'!$C:$C,$C55,'Disbursements Summary'!$A:$A,"CS")</f>
        <v>0</v>
      </c>
      <c r="AN55" s="55">
        <f>SUMIFS('Awards Summary'!$H:$H,'Awards Summary'!$B:$B,$C55,'Awards Summary'!$J:$J,"DOCCS")</f>
        <v>0</v>
      </c>
      <c r="AO55" s="55">
        <f>SUMIFS('Disbursements Summary'!$E:$E,'Disbursements Summary'!$C:$C,$C55,'Disbursements Summary'!$A:$A,"DOCCS")</f>
        <v>0</v>
      </c>
      <c r="AP55" s="55">
        <f>SUMIFS('Awards Summary'!$H:$H,'Awards Summary'!$B:$B,$C55,'Awards Summary'!$J:$J,"DED")</f>
        <v>0</v>
      </c>
      <c r="AQ55" s="55">
        <f>SUMIFS('Disbursements Summary'!$E:$E,'Disbursements Summary'!$C:$C,$C55,'Disbursements Summary'!$A:$A,"DED")</f>
        <v>0</v>
      </c>
      <c r="AR55" s="55">
        <f>SUMIFS('Awards Summary'!$H:$H,'Awards Summary'!$B:$B,$C55,'Awards Summary'!$J:$J,"DEC")</f>
        <v>0</v>
      </c>
      <c r="AS55" s="55">
        <f>SUMIFS('Disbursements Summary'!$E:$E,'Disbursements Summary'!$C:$C,$C55,'Disbursements Summary'!$A:$A,"DEC")</f>
        <v>0</v>
      </c>
      <c r="AT55" s="55">
        <f>SUMIFS('Awards Summary'!$H:$H,'Awards Summary'!$B:$B,$C55,'Awards Summary'!$J:$J,"DFS")</f>
        <v>0</v>
      </c>
      <c r="AU55" s="55">
        <f>SUMIFS('Disbursements Summary'!$E:$E,'Disbursements Summary'!$C:$C,$C55,'Disbursements Summary'!$A:$A,"DFS")</f>
        <v>0</v>
      </c>
      <c r="AV55" s="55">
        <f>SUMIFS('Awards Summary'!$H:$H,'Awards Summary'!$B:$B,$C55,'Awards Summary'!$J:$J,"DOH")</f>
        <v>0</v>
      </c>
      <c r="AW55" s="55">
        <f>SUMIFS('Disbursements Summary'!$E:$E,'Disbursements Summary'!$C:$C,$C55,'Disbursements Summary'!$A:$A,"DOH")</f>
        <v>0</v>
      </c>
      <c r="AX55" s="55">
        <f>SUMIFS('Awards Summary'!$H:$H,'Awards Summary'!$B:$B,$C55,'Awards Summary'!$J:$J,"DOL")</f>
        <v>0</v>
      </c>
      <c r="AY55" s="55">
        <f>SUMIFS('Disbursements Summary'!$E:$E,'Disbursements Summary'!$C:$C,$C55,'Disbursements Summary'!$A:$A,"DOL")</f>
        <v>0</v>
      </c>
      <c r="AZ55" s="55">
        <f>SUMIFS('Awards Summary'!$H:$H,'Awards Summary'!$B:$B,$C55,'Awards Summary'!$J:$J,"DMV")</f>
        <v>0</v>
      </c>
      <c r="BA55" s="55">
        <f>SUMIFS('Disbursements Summary'!$E:$E,'Disbursements Summary'!$C:$C,$C55,'Disbursements Summary'!$A:$A,"DMV")</f>
        <v>0</v>
      </c>
      <c r="BB55" s="55">
        <f>SUMIFS('Awards Summary'!$H:$H,'Awards Summary'!$B:$B,$C55,'Awards Summary'!$J:$J,"DPS")</f>
        <v>0</v>
      </c>
      <c r="BC55" s="55">
        <f>SUMIFS('Disbursements Summary'!$E:$E,'Disbursements Summary'!$C:$C,$C55,'Disbursements Summary'!$A:$A,"DPS")</f>
        <v>0</v>
      </c>
      <c r="BD55" s="55">
        <f>SUMIFS('Awards Summary'!$H:$H,'Awards Summary'!$B:$B,$C55,'Awards Summary'!$J:$J,"DOS")</f>
        <v>0</v>
      </c>
      <c r="BE55" s="55">
        <f>SUMIFS('Disbursements Summary'!$E:$E,'Disbursements Summary'!$C:$C,$C55,'Disbursements Summary'!$A:$A,"DOS")</f>
        <v>0</v>
      </c>
      <c r="BF55" s="55">
        <f>SUMIFS('Awards Summary'!$H:$H,'Awards Summary'!$B:$B,$C55,'Awards Summary'!$J:$J,"TAX")</f>
        <v>0</v>
      </c>
      <c r="BG55" s="55">
        <f>SUMIFS('Disbursements Summary'!$E:$E,'Disbursements Summary'!$C:$C,$C55,'Disbursements Summary'!$A:$A,"TAX")</f>
        <v>0</v>
      </c>
      <c r="BH55" s="55">
        <f>SUMIFS('Awards Summary'!$H:$H,'Awards Summary'!$B:$B,$C55,'Awards Summary'!$J:$J,"DOT")</f>
        <v>0</v>
      </c>
      <c r="BI55" s="55">
        <f>SUMIFS('Disbursements Summary'!$E:$E,'Disbursements Summary'!$C:$C,$C55,'Disbursements Summary'!$A:$A,"DOT")</f>
        <v>0</v>
      </c>
      <c r="BJ55" s="55">
        <f>SUMIFS('Awards Summary'!$H:$H,'Awards Summary'!$B:$B,$C55,'Awards Summary'!$J:$J,"DANC")</f>
        <v>0</v>
      </c>
      <c r="BK55" s="55">
        <f>SUMIFS('Disbursements Summary'!$E:$E,'Disbursements Summary'!$C:$C,$C55,'Disbursements Summary'!$A:$A,"DANC")</f>
        <v>0</v>
      </c>
      <c r="BL55" s="55">
        <f>SUMIFS('Awards Summary'!$H:$H,'Awards Summary'!$B:$B,$C55,'Awards Summary'!$J:$J,"DOB")</f>
        <v>0</v>
      </c>
      <c r="BM55" s="55">
        <f>SUMIFS('Disbursements Summary'!$E:$E,'Disbursements Summary'!$C:$C,$C55,'Disbursements Summary'!$A:$A,"DOB")</f>
        <v>0</v>
      </c>
      <c r="BN55" s="55">
        <f>SUMIFS('Awards Summary'!$H:$H,'Awards Summary'!$B:$B,$C55,'Awards Summary'!$J:$J,"DCJS")</f>
        <v>0</v>
      </c>
      <c r="BO55" s="55">
        <f>SUMIFS('Disbursements Summary'!$E:$E,'Disbursements Summary'!$C:$C,$C55,'Disbursements Summary'!$A:$A,"DCJS")</f>
        <v>0</v>
      </c>
      <c r="BP55" s="55">
        <f>SUMIFS('Awards Summary'!$H:$H,'Awards Summary'!$B:$B,$C55,'Awards Summary'!$J:$J,"DHSES")</f>
        <v>0</v>
      </c>
      <c r="BQ55" s="55">
        <f>SUMIFS('Disbursements Summary'!$E:$E,'Disbursements Summary'!$C:$C,$C55,'Disbursements Summary'!$A:$A,"DHSES")</f>
        <v>0</v>
      </c>
      <c r="BR55" s="55">
        <f>SUMIFS('Awards Summary'!$H:$H,'Awards Summary'!$B:$B,$C55,'Awards Summary'!$J:$J,"DHR")</f>
        <v>0</v>
      </c>
      <c r="BS55" s="55">
        <f>SUMIFS('Disbursements Summary'!$E:$E,'Disbursements Summary'!$C:$C,$C55,'Disbursements Summary'!$A:$A,"DHR")</f>
        <v>0</v>
      </c>
      <c r="BT55" s="55">
        <f>SUMIFS('Awards Summary'!$H:$H,'Awards Summary'!$B:$B,$C55,'Awards Summary'!$J:$J,"DMNA")</f>
        <v>0</v>
      </c>
      <c r="BU55" s="55">
        <f>SUMIFS('Disbursements Summary'!$E:$E,'Disbursements Summary'!$C:$C,$C55,'Disbursements Summary'!$A:$A,"DMNA")</f>
        <v>0</v>
      </c>
      <c r="BV55" s="55">
        <f>SUMIFS('Awards Summary'!$H:$H,'Awards Summary'!$B:$B,$C55,'Awards Summary'!$J:$J,"TROOPERS")</f>
        <v>0</v>
      </c>
      <c r="BW55" s="55">
        <f>SUMIFS('Disbursements Summary'!$E:$E,'Disbursements Summary'!$C:$C,$C55,'Disbursements Summary'!$A:$A,"TROOPERS")</f>
        <v>0</v>
      </c>
      <c r="BX55" s="55">
        <f>SUMIFS('Awards Summary'!$H:$H,'Awards Summary'!$B:$B,$C55,'Awards Summary'!$J:$J,"DVA")</f>
        <v>0</v>
      </c>
      <c r="BY55" s="55">
        <f>SUMIFS('Disbursements Summary'!$E:$E,'Disbursements Summary'!$C:$C,$C55,'Disbursements Summary'!$A:$A,"DVA")</f>
        <v>0</v>
      </c>
      <c r="BZ55" s="55">
        <f>SUMIFS('Awards Summary'!$H:$H,'Awards Summary'!$B:$B,$C55,'Awards Summary'!$J:$J,"DASNY")</f>
        <v>0</v>
      </c>
      <c r="CA55" s="55">
        <f>SUMIFS('Disbursements Summary'!$E:$E,'Disbursements Summary'!$C:$C,$C55,'Disbursements Summary'!$A:$A,"DASNY")</f>
        <v>0</v>
      </c>
      <c r="CB55" s="55">
        <f>SUMIFS('Awards Summary'!$H:$H,'Awards Summary'!$B:$B,$C55,'Awards Summary'!$J:$J,"EGG")</f>
        <v>0</v>
      </c>
      <c r="CC55" s="55">
        <f>SUMIFS('Disbursements Summary'!$E:$E,'Disbursements Summary'!$C:$C,$C55,'Disbursements Summary'!$A:$A,"EGG")</f>
        <v>0</v>
      </c>
      <c r="CD55" s="55">
        <f>SUMIFS('Awards Summary'!$H:$H,'Awards Summary'!$B:$B,$C55,'Awards Summary'!$J:$J,"ESD")</f>
        <v>0</v>
      </c>
      <c r="CE55" s="55">
        <f>SUMIFS('Disbursements Summary'!$E:$E,'Disbursements Summary'!$C:$C,$C55,'Disbursements Summary'!$A:$A,"ESD")</f>
        <v>0</v>
      </c>
      <c r="CF55" s="55">
        <f>SUMIFS('Awards Summary'!$H:$H,'Awards Summary'!$B:$B,$C55,'Awards Summary'!$J:$J,"EFC")</f>
        <v>0</v>
      </c>
      <c r="CG55" s="55">
        <f>SUMIFS('Disbursements Summary'!$E:$E,'Disbursements Summary'!$C:$C,$C55,'Disbursements Summary'!$A:$A,"EFC")</f>
        <v>0</v>
      </c>
      <c r="CH55" s="55">
        <f>SUMIFS('Awards Summary'!$H:$H,'Awards Summary'!$B:$B,$C55,'Awards Summary'!$J:$J,"ECFSA")</f>
        <v>0</v>
      </c>
      <c r="CI55" s="55">
        <f>SUMIFS('Disbursements Summary'!$E:$E,'Disbursements Summary'!$C:$C,$C55,'Disbursements Summary'!$A:$A,"ECFSA")</f>
        <v>0</v>
      </c>
      <c r="CJ55" s="55">
        <f>SUMIFS('Awards Summary'!$H:$H,'Awards Summary'!$B:$B,$C55,'Awards Summary'!$J:$J,"ECMC")</f>
        <v>0</v>
      </c>
      <c r="CK55" s="55">
        <f>SUMIFS('Disbursements Summary'!$E:$E,'Disbursements Summary'!$C:$C,$C55,'Disbursements Summary'!$A:$A,"ECMC")</f>
        <v>0</v>
      </c>
      <c r="CL55" s="55">
        <f>SUMIFS('Awards Summary'!$H:$H,'Awards Summary'!$B:$B,$C55,'Awards Summary'!$J:$J,"CHAMBER")</f>
        <v>0</v>
      </c>
      <c r="CM55" s="55">
        <f>SUMIFS('Disbursements Summary'!$E:$E,'Disbursements Summary'!$C:$C,$C55,'Disbursements Summary'!$A:$A,"CHAMBER")</f>
        <v>0</v>
      </c>
      <c r="CN55" s="55">
        <f>SUMIFS('Awards Summary'!$H:$H,'Awards Summary'!$B:$B,$C55,'Awards Summary'!$J:$J,"GAMING")</f>
        <v>0</v>
      </c>
      <c r="CO55" s="55">
        <f>SUMIFS('Disbursements Summary'!$E:$E,'Disbursements Summary'!$C:$C,$C55,'Disbursements Summary'!$A:$A,"GAMING")</f>
        <v>0</v>
      </c>
      <c r="CP55" s="55">
        <f>SUMIFS('Awards Summary'!$H:$H,'Awards Summary'!$B:$B,$C55,'Awards Summary'!$J:$J,"GOER")</f>
        <v>0</v>
      </c>
      <c r="CQ55" s="55">
        <f>SUMIFS('Disbursements Summary'!$E:$E,'Disbursements Summary'!$C:$C,$C55,'Disbursements Summary'!$A:$A,"GOER")</f>
        <v>0</v>
      </c>
      <c r="CR55" s="55">
        <f>SUMIFS('Awards Summary'!$H:$H,'Awards Summary'!$B:$B,$C55,'Awards Summary'!$J:$J,"HESC")</f>
        <v>0</v>
      </c>
      <c r="CS55" s="55">
        <f>SUMIFS('Disbursements Summary'!$E:$E,'Disbursements Summary'!$C:$C,$C55,'Disbursements Summary'!$A:$A,"HESC")</f>
        <v>0</v>
      </c>
      <c r="CT55" s="55">
        <f>SUMIFS('Awards Summary'!$H:$H,'Awards Summary'!$B:$B,$C55,'Awards Summary'!$J:$J,"GOSR")</f>
        <v>0</v>
      </c>
      <c r="CU55" s="55">
        <f>SUMIFS('Disbursements Summary'!$E:$E,'Disbursements Summary'!$C:$C,$C55,'Disbursements Summary'!$A:$A,"GOSR")</f>
        <v>0</v>
      </c>
      <c r="CV55" s="55">
        <f>SUMIFS('Awards Summary'!$H:$H,'Awards Summary'!$B:$B,$C55,'Awards Summary'!$J:$J,"HRPT")</f>
        <v>0</v>
      </c>
      <c r="CW55" s="55">
        <f>SUMIFS('Disbursements Summary'!$E:$E,'Disbursements Summary'!$C:$C,$C55,'Disbursements Summary'!$A:$A,"HRPT")</f>
        <v>0</v>
      </c>
      <c r="CX55" s="55">
        <f>SUMIFS('Awards Summary'!$H:$H,'Awards Summary'!$B:$B,$C55,'Awards Summary'!$J:$J,"HRBRRD")</f>
        <v>0</v>
      </c>
      <c r="CY55" s="55">
        <f>SUMIFS('Disbursements Summary'!$E:$E,'Disbursements Summary'!$C:$C,$C55,'Disbursements Summary'!$A:$A,"HRBRRD")</f>
        <v>0</v>
      </c>
      <c r="CZ55" s="55">
        <f>SUMIFS('Awards Summary'!$H:$H,'Awards Summary'!$B:$B,$C55,'Awards Summary'!$J:$J,"ITS")</f>
        <v>0</v>
      </c>
      <c r="DA55" s="55">
        <f>SUMIFS('Disbursements Summary'!$E:$E,'Disbursements Summary'!$C:$C,$C55,'Disbursements Summary'!$A:$A,"ITS")</f>
        <v>0</v>
      </c>
      <c r="DB55" s="55">
        <f>SUMIFS('Awards Summary'!$H:$H,'Awards Summary'!$B:$B,$C55,'Awards Summary'!$J:$J,"JAVITS")</f>
        <v>0</v>
      </c>
      <c r="DC55" s="55">
        <f>SUMIFS('Disbursements Summary'!$E:$E,'Disbursements Summary'!$C:$C,$C55,'Disbursements Summary'!$A:$A,"JAVITS")</f>
        <v>0</v>
      </c>
      <c r="DD55" s="55">
        <f>SUMIFS('Awards Summary'!$H:$H,'Awards Summary'!$B:$B,$C55,'Awards Summary'!$J:$J,"JCOPE")</f>
        <v>0</v>
      </c>
      <c r="DE55" s="55">
        <f>SUMIFS('Disbursements Summary'!$E:$E,'Disbursements Summary'!$C:$C,$C55,'Disbursements Summary'!$A:$A,"JCOPE")</f>
        <v>0</v>
      </c>
      <c r="DF55" s="55">
        <f>SUMIFS('Awards Summary'!$H:$H,'Awards Summary'!$B:$B,$C55,'Awards Summary'!$J:$J,"JUSTICE")</f>
        <v>0</v>
      </c>
      <c r="DG55" s="55">
        <f>SUMIFS('Disbursements Summary'!$E:$E,'Disbursements Summary'!$C:$C,$C55,'Disbursements Summary'!$A:$A,"JUSTICE")</f>
        <v>0</v>
      </c>
      <c r="DH55" s="55">
        <f>SUMIFS('Awards Summary'!$H:$H,'Awards Summary'!$B:$B,$C55,'Awards Summary'!$J:$J,"LCWSA")</f>
        <v>0</v>
      </c>
      <c r="DI55" s="55">
        <f>SUMIFS('Disbursements Summary'!$E:$E,'Disbursements Summary'!$C:$C,$C55,'Disbursements Summary'!$A:$A,"LCWSA")</f>
        <v>0</v>
      </c>
      <c r="DJ55" s="55">
        <f>SUMIFS('Awards Summary'!$H:$H,'Awards Summary'!$B:$B,$C55,'Awards Summary'!$J:$J,"LIPA")</f>
        <v>0</v>
      </c>
      <c r="DK55" s="55">
        <f>SUMIFS('Disbursements Summary'!$E:$E,'Disbursements Summary'!$C:$C,$C55,'Disbursements Summary'!$A:$A,"LIPA")</f>
        <v>0</v>
      </c>
      <c r="DL55" s="55">
        <f>SUMIFS('Awards Summary'!$H:$H,'Awards Summary'!$B:$B,$C55,'Awards Summary'!$J:$J,"MTA")</f>
        <v>0</v>
      </c>
      <c r="DM55" s="55">
        <f>SUMIFS('Disbursements Summary'!$E:$E,'Disbursements Summary'!$C:$C,$C55,'Disbursements Summary'!$A:$A,"MTA")</f>
        <v>0</v>
      </c>
      <c r="DN55" s="55">
        <f>SUMIFS('Awards Summary'!$H:$H,'Awards Summary'!$B:$B,$C55,'Awards Summary'!$J:$J,"NIFA")</f>
        <v>0</v>
      </c>
      <c r="DO55" s="55">
        <f>SUMIFS('Disbursements Summary'!$E:$E,'Disbursements Summary'!$C:$C,$C55,'Disbursements Summary'!$A:$A,"NIFA")</f>
        <v>0</v>
      </c>
      <c r="DP55" s="55">
        <f>SUMIFS('Awards Summary'!$H:$H,'Awards Summary'!$B:$B,$C55,'Awards Summary'!$J:$J,"NHCC")</f>
        <v>0</v>
      </c>
      <c r="DQ55" s="55">
        <f>SUMIFS('Disbursements Summary'!$E:$E,'Disbursements Summary'!$C:$C,$C55,'Disbursements Summary'!$A:$A,"NHCC")</f>
        <v>0</v>
      </c>
      <c r="DR55" s="55">
        <f>SUMIFS('Awards Summary'!$H:$H,'Awards Summary'!$B:$B,$C55,'Awards Summary'!$J:$J,"NHT")</f>
        <v>0</v>
      </c>
      <c r="DS55" s="55">
        <f>SUMIFS('Disbursements Summary'!$E:$E,'Disbursements Summary'!$C:$C,$C55,'Disbursements Summary'!$A:$A,"NHT")</f>
        <v>0</v>
      </c>
      <c r="DT55" s="55">
        <f>SUMIFS('Awards Summary'!$H:$H,'Awards Summary'!$B:$B,$C55,'Awards Summary'!$J:$J,"NYPA")</f>
        <v>0</v>
      </c>
      <c r="DU55" s="55">
        <f>SUMIFS('Disbursements Summary'!$E:$E,'Disbursements Summary'!$C:$C,$C55,'Disbursements Summary'!$A:$A,"NYPA")</f>
        <v>0</v>
      </c>
      <c r="DV55" s="55">
        <f>SUMIFS('Awards Summary'!$H:$H,'Awards Summary'!$B:$B,$C55,'Awards Summary'!$J:$J,"NYSBA")</f>
        <v>0</v>
      </c>
      <c r="DW55" s="55">
        <f>SUMIFS('Disbursements Summary'!$E:$E,'Disbursements Summary'!$C:$C,$C55,'Disbursements Summary'!$A:$A,"NYSBA")</f>
        <v>0</v>
      </c>
      <c r="DX55" s="55">
        <f>SUMIFS('Awards Summary'!$H:$H,'Awards Summary'!$B:$B,$C55,'Awards Summary'!$J:$J,"NYSERDA")</f>
        <v>0</v>
      </c>
      <c r="DY55" s="55">
        <f>SUMIFS('Disbursements Summary'!$E:$E,'Disbursements Summary'!$C:$C,$C55,'Disbursements Summary'!$A:$A,"NYSERDA")</f>
        <v>0</v>
      </c>
      <c r="DZ55" s="55">
        <f>SUMIFS('Awards Summary'!$H:$H,'Awards Summary'!$B:$B,$C55,'Awards Summary'!$J:$J,"DHCR")</f>
        <v>0</v>
      </c>
      <c r="EA55" s="55">
        <f>SUMIFS('Disbursements Summary'!$E:$E,'Disbursements Summary'!$C:$C,$C55,'Disbursements Summary'!$A:$A,"DHCR")</f>
        <v>0</v>
      </c>
      <c r="EB55" s="55">
        <f>SUMIFS('Awards Summary'!$H:$H,'Awards Summary'!$B:$B,$C55,'Awards Summary'!$J:$J,"HFA")</f>
        <v>0</v>
      </c>
      <c r="EC55" s="55">
        <f>SUMIFS('Disbursements Summary'!$E:$E,'Disbursements Summary'!$C:$C,$C55,'Disbursements Summary'!$A:$A,"HFA")</f>
        <v>0</v>
      </c>
      <c r="ED55" s="55">
        <f>SUMIFS('Awards Summary'!$H:$H,'Awards Summary'!$B:$B,$C55,'Awards Summary'!$J:$J,"NYSIF")</f>
        <v>0</v>
      </c>
      <c r="EE55" s="55">
        <f>SUMIFS('Disbursements Summary'!$E:$E,'Disbursements Summary'!$C:$C,$C55,'Disbursements Summary'!$A:$A,"NYSIF")</f>
        <v>0</v>
      </c>
      <c r="EF55" s="55">
        <f>SUMIFS('Awards Summary'!$H:$H,'Awards Summary'!$B:$B,$C55,'Awards Summary'!$J:$J,"NYBREDS")</f>
        <v>0</v>
      </c>
      <c r="EG55" s="55">
        <f>SUMIFS('Disbursements Summary'!$E:$E,'Disbursements Summary'!$C:$C,$C55,'Disbursements Summary'!$A:$A,"NYBREDS")</f>
        <v>0</v>
      </c>
      <c r="EH55" s="55">
        <f>SUMIFS('Awards Summary'!$H:$H,'Awards Summary'!$B:$B,$C55,'Awards Summary'!$J:$J,"NYSTA")</f>
        <v>0</v>
      </c>
      <c r="EI55" s="55">
        <f>SUMIFS('Disbursements Summary'!$E:$E,'Disbursements Summary'!$C:$C,$C55,'Disbursements Summary'!$A:$A,"NYSTA")</f>
        <v>0</v>
      </c>
      <c r="EJ55" s="55">
        <f>SUMIFS('Awards Summary'!$H:$H,'Awards Summary'!$B:$B,$C55,'Awards Summary'!$J:$J,"NFWB")</f>
        <v>0</v>
      </c>
      <c r="EK55" s="55">
        <f>SUMIFS('Disbursements Summary'!$E:$E,'Disbursements Summary'!$C:$C,$C55,'Disbursements Summary'!$A:$A,"NFWB")</f>
        <v>0</v>
      </c>
      <c r="EL55" s="55">
        <f>SUMIFS('Awards Summary'!$H:$H,'Awards Summary'!$B:$B,$C55,'Awards Summary'!$J:$J,"NFTA")</f>
        <v>0</v>
      </c>
      <c r="EM55" s="55">
        <f>SUMIFS('Disbursements Summary'!$E:$E,'Disbursements Summary'!$C:$C,$C55,'Disbursements Summary'!$A:$A,"NFTA")</f>
        <v>0</v>
      </c>
      <c r="EN55" s="55">
        <f>SUMIFS('Awards Summary'!$H:$H,'Awards Summary'!$B:$B,$C55,'Awards Summary'!$J:$J,"OPWDD")</f>
        <v>0</v>
      </c>
      <c r="EO55" s="55">
        <f>SUMIFS('Disbursements Summary'!$E:$E,'Disbursements Summary'!$C:$C,$C55,'Disbursements Summary'!$A:$A,"OPWDD")</f>
        <v>0</v>
      </c>
      <c r="EP55" s="55">
        <f>SUMIFS('Awards Summary'!$H:$H,'Awards Summary'!$B:$B,$C55,'Awards Summary'!$J:$J,"AGING")</f>
        <v>0</v>
      </c>
      <c r="EQ55" s="55">
        <f>SUMIFS('Disbursements Summary'!$E:$E,'Disbursements Summary'!$C:$C,$C55,'Disbursements Summary'!$A:$A,"AGING")</f>
        <v>0</v>
      </c>
      <c r="ER55" s="55">
        <f>SUMIFS('Awards Summary'!$H:$H,'Awards Summary'!$B:$B,$C55,'Awards Summary'!$J:$J,"OPDV")</f>
        <v>0</v>
      </c>
      <c r="ES55" s="55">
        <f>SUMIFS('Disbursements Summary'!$E:$E,'Disbursements Summary'!$C:$C,$C55,'Disbursements Summary'!$A:$A,"OPDV")</f>
        <v>0</v>
      </c>
      <c r="ET55" s="55">
        <f>SUMIFS('Awards Summary'!$H:$H,'Awards Summary'!$B:$B,$C55,'Awards Summary'!$J:$J,"OVS")</f>
        <v>0</v>
      </c>
      <c r="EU55" s="55">
        <f>SUMIFS('Disbursements Summary'!$E:$E,'Disbursements Summary'!$C:$C,$C55,'Disbursements Summary'!$A:$A,"OVS")</f>
        <v>0</v>
      </c>
      <c r="EV55" s="55">
        <f>SUMIFS('Awards Summary'!$H:$H,'Awards Summary'!$B:$B,$C55,'Awards Summary'!$J:$J,"OASAS")</f>
        <v>0</v>
      </c>
      <c r="EW55" s="55">
        <f>SUMIFS('Disbursements Summary'!$E:$E,'Disbursements Summary'!$C:$C,$C55,'Disbursements Summary'!$A:$A,"OASAS")</f>
        <v>0</v>
      </c>
      <c r="EX55" s="55">
        <f>SUMIFS('Awards Summary'!$H:$H,'Awards Summary'!$B:$B,$C55,'Awards Summary'!$J:$J,"OCFS")</f>
        <v>0</v>
      </c>
      <c r="EY55" s="55">
        <f>SUMIFS('Disbursements Summary'!$E:$E,'Disbursements Summary'!$C:$C,$C55,'Disbursements Summary'!$A:$A,"OCFS")</f>
        <v>0</v>
      </c>
      <c r="EZ55" s="55">
        <f>SUMIFS('Awards Summary'!$H:$H,'Awards Summary'!$B:$B,$C55,'Awards Summary'!$J:$J,"OGS")</f>
        <v>0</v>
      </c>
      <c r="FA55" s="55">
        <f>SUMIFS('Disbursements Summary'!$E:$E,'Disbursements Summary'!$C:$C,$C55,'Disbursements Summary'!$A:$A,"OGS")</f>
        <v>0</v>
      </c>
      <c r="FB55" s="55">
        <f>SUMIFS('Awards Summary'!$H:$H,'Awards Summary'!$B:$B,$C55,'Awards Summary'!$J:$J,"OMH")</f>
        <v>0</v>
      </c>
      <c r="FC55" s="55">
        <f>SUMIFS('Disbursements Summary'!$E:$E,'Disbursements Summary'!$C:$C,$C55,'Disbursements Summary'!$A:$A,"OMH")</f>
        <v>0</v>
      </c>
      <c r="FD55" s="55">
        <f>SUMIFS('Awards Summary'!$H:$H,'Awards Summary'!$B:$B,$C55,'Awards Summary'!$J:$J,"PARKS")</f>
        <v>0</v>
      </c>
      <c r="FE55" s="55">
        <f>SUMIFS('Disbursements Summary'!$E:$E,'Disbursements Summary'!$C:$C,$C55,'Disbursements Summary'!$A:$A,"PARKS")</f>
        <v>0</v>
      </c>
      <c r="FF55" s="55">
        <f>SUMIFS('Awards Summary'!$H:$H,'Awards Summary'!$B:$B,$C55,'Awards Summary'!$J:$J,"OTDA")</f>
        <v>0</v>
      </c>
      <c r="FG55" s="55">
        <f>SUMIFS('Disbursements Summary'!$E:$E,'Disbursements Summary'!$C:$C,$C55,'Disbursements Summary'!$A:$A,"OTDA")</f>
        <v>0</v>
      </c>
      <c r="FH55" s="55">
        <f>SUMIFS('Awards Summary'!$H:$H,'Awards Summary'!$B:$B,$C55,'Awards Summary'!$J:$J,"OIG")</f>
        <v>0</v>
      </c>
      <c r="FI55" s="55">
        <f>SUMIFS('Disbursements Summary'!$E:$E,'Disbursements Summary'!$C:$C,$C55,'Disbursements Summary'!$A:$A,"OIG")</f>
        <v>0</v>
      </c>
      <c r="FJ55" s="55">
        <f>SUMIFS('Awards Summary'!$H:$H,'Awards Summary'!$B:$B,$C55,'Awards Summary'!$J:$J,"OMIG")</f>
        <v>0</v>
      </c>
      <c r="FK55" s="55">
        <f>SUMIFS('Disbursements Summary'!$E:$E,'Disbursements Summary'!$C:$C,$C55,'Disbursements Summary'!$A:$A,"OMIG")</f>
        <v>0</v>
      </c>
      <c r="FL55" s="55">
        <f>SUMIFS('Awards Summary'!$H:$H,'Awards Summary'!$B:$B,$C55,'Awards Summary'!$J:$J,"OSC")</f>
        <v>0</v>
      </c>
      <c r="FM55" s="55">
        <f>SUMIFS('Disbursements Summary'!$E:$E,'Disbursements Summary'!$C:$C,$C55,'Disbursements Summary'!$A:$A,"OSC")</f>
        <v>0</v>
      </c>
      <c r="FN55" s="55">
        <f>SUMIFS('Awards Summary'!$H:$H,'Awards Summary'!$B:$B,$C55,'Awards Summary'!$J:$J,"OWIG")</f>
        <v>0</v>
      </c>
      <c r="FO55" s="55">
        <f>SUMIFS('Disbursements Summary'!$E:$E,'Disbursements Summary'!$C:$C,$C55,'Disbursements Summary'!$A:$A,"OWIG")</f>
        <v>0</v>
      </c>
      <c r="FP55" s="55">
        <f>SUMIFS('Awards Summary'!$H:$H,'Awards Summary'!$B:$B,$C55,'Awards Summary'!$J:$J,"OGDEN")</f>
        <v>0</v>
      </c>
      <c r="FQ55" s="55">
        <f>SUMIFS('Disbursements Summary'!$E:$E,'Disbursements Summary'!$C:$C,$C55,'Disbursements Summary'!$A:$A,"OGDEN")</f>
        <v>0</v>
      </c>
      <c r="FR55" s="55">
        <f>SUMIFS('Awards Summary'!$H:$H,'Awards Summary'!$B:$B,$C55,'Awards Summary'!$J:$J,"ORDA")</f>
        <v>0</v>
      </c>
      <c r="FS55" s="55">
        <f>SUMIFS('Disbursements Summary'!$E:$E,'Disbursements Summary'!$C:$C,$C55,'Disbursements Summary'!$A:$A,"ORDA")</f>
        <v>0</v>
      </c>
      <c r="FT55" s="55">
        <f>SUMIFS('Awards Summary'!$H:$H,'Awards Summary'!$B:$B,$C55,'Awards Summary'!$J:$J,"OSWEGO")</f>
        <v>0</v>
      </c>
      <c r="FU55" s="55">
        <f>SUMIFS('Disbursements Summary'!$E:$E,'Disbursements Summary'!$C:$C,$C55,'Disbursements Summary'!$A:$A,"OSWEGO")</f>
        <v>0</v>
      </c>
      <c r="FV55" s="55">
        <f>SUMIFS('Awards Summary'!$H:$H,'Awards Summary'!$B:$B,$C55,'Awards Summary'!$J:$J,"PERB")</f>
        <v>0</v>
      </c>
      <c r="FW55" s="55">
        <f>SUMIFS('Disbursements Summary'!$E:$E,'Disbursements Summary'!$C:$C,$C55,'Disbursements Summary'!$A:$A,"PERB")</f>
        <v>0</v>
      </c>
      <c r="FX55" s="55">
        <f>SUMIFS('Awards Summary'!$H:$H,'Awards Summary'!$B:$B,$C55,'Awards Summary'!$J:$J,"RGRTA")</f>
        <v>0</v>
      </c>
      <c r="FY55" s="55">
        <f>SUMIFS('Disbursements Summary'!$E:$E,'Disbursements Summary'!$C:$C,$C55,'Disbursements Summary'!$A:$A,"RGRTA")</f>
        <v>0</v>
      </c>
      <c r="FZ55" s="55">
        <f>SUMIFS('Awards Summary'!$H:$H,'Awards Summary'!$B:$B,$C55,'Awards Summary'!$J:$J,"RIOC")</f>
        <v>0</v>
      </c>
      <c r="GA55" s="55">
        <f>SUMIFS('Disbursements Summary'!$E:$E,'Disbursements Summary'!$C:$C,$C55,'Disbursements Summary'!$A:$A,"RIOC")</f>
        <v>0</v>
      </c>
      <c r="GB55" s="55">
        <f>SUMIFS('Awards Summary'!$H:$H,'Awards Summary'!$B:$B,$C55,'Awards Summary'!$J:$J,"RPCI")</f>
        <v>0</v>
      </c>
      <c r="GC55" s="55">
        <f>SUMIFS('Disbursements Summary'!$E:$E,'Disbursements Summary'!$C:$C,$C55,'Disbursements Summary'!$A:$A,"RPCI")</f>
        <v>0</v>
      </c>
      <c r="GD55" s="55">
        <f>SUMIFS('Awards Summary'!$H:$H,'Awards Summary'!$B:$B,$C55,'Awards Summary'!$J:$J,"SMDA")</f>
        <v>0</v>
      </c>
      <c r="GE55" s="55">
        <f>SUMIFS('Disbursements Summary'!$E:$E,'Disbursements Summary'!$C:$C,$C55,'Disbursements Summary'!$A:$A,"SMDA")</f>
        <v>0</v>
      </c>
      <c r="GF55" s="55">
        <f>SUMIFS('Awards Summary'!$H:$H,'Awards Summary'!$B:$B,$C55,'Awards Summary'!$J:$J,"SCOC")</f>
        <v>0</v>
      </c>
      <c r="GG55" s="55">
        <f>SUMIFS('Disbursements Summary'!$E:$E,'Disbursements Summary'!$C:$C,$C55,'Disbursements Summary'!$A:$A,"SCOC")</f>
        <v>0</v>
      </c>
      <c r="GH55" s="55">
        <f>SUMIFS('Awards Summary'!$H:$H,'Awards Summary'!$B:$B,$C55,'Awards Summary'!$J:$J,"SUCF")</f>
        <v>0</v>
      </c>
      <c r="GI55" s="55">
        <f>SUMIFS('Disbursements Summary'!$E:$E,'Disbursements Summary'!$C:$C,$C55,'Disbursements Summary'!$A:$A,"SUCF")</f>
        <v>0</v>
      </c>
      <c r="GJ55" s="55">
        <f>SUMIFS('Awards Summary'!$H:$H,'Awards Summary'!$B:$B,$C55,'Awards Summary'!$J:$J,"SUNY")</f>
        <v>0</v>
      </c>
      <c r="GK55" s="55">
        <f>SUMIFS('Disbursements Summary'!$E:$E,'Disbursements Summary'!$C:$C,$C55,'Disbursements Summary'!$A:$A,"SUNY")</f>
        <v>0</v>
      </c>
      <c r="GL55" s="55">
        <f>SUMIFS('Awards Summary'!$H:$H,'Awards Summary'!$B:$B,$C55,'Awards Summary'!$J:$J,"SRAA")</f>
        <v>0</v>
      </c>
      <c r="GM55" s="55">
        <f>SUMIFS('Disbursements Summary'!$E:$E,'Disbursements Summary'!$C:$C,$C55,'Disbursements Summary'!$A:$A,"SRAA")</f>
        <v>0</v>
      </c>
      <c r="GN55" s="55">
        <f>SUMIFS('Awards Summary'!$H:$H,'Awards Summary'!$B:$B,$C55,'Awards Summary'!$J:$J,"UNDC")</f>
        <v>0</v>
      </c>
      <c r="GO55" s="55">
        <f>SUMIFS('Disbursements Summary'!$E:$E,'Disbursements Summary'!$C:$C,$C55,'Disbursements Summary'!$A:$A,"UNDC")</f>
        <v>0</v>
      </c>
      <c r="GP55" s="55">
        <f>SUMIFS('Awards Summary'!$H:$H,'Awards Summary'!$B:$B,$C55,'Awards Summary'!$J:$J,"MVWA")</f>
        <v>0</v>
      </c>
      <c r="GQ55" s="55">
        <f>SUMIFS('Disbursements Summary'!$E:$E,'Disbursements Summary'!$C:$C,$C55,'Disbursements Summary'!$A:$A,"MVWA")</f>
        <v>0</v>
      </c>
      <c r="GR55" s="55">
        <f>SUMIFS('Awards Summary'!$H:$H,'Awards Summary'!$B:$B,$C55,'Awards Summary'!$J:$J,"WMC")</f>
        <v>0</v>
      </c>
      <c r="GS55" s="55">
        <f>SUMIFS('Disbursements Summary'!$E:$E,'Disbursements Summary'!$C:$C,$C55,'Disbursements Summary'!$A:$A,"WMC")</f>
        <v>0</v>
      </c>
      <c r="GT55" s="55">
        <f>SUMIFS('Awards Summary'!$H:$H,'Awards Summary'!$B:$B,$C55,'Awards Summary'!$J:$J,"WCB")</f>
        <v>0</v>
      </c>
      <c r="GU55" s="55">
        <f>SUMIFS('Disbursements Summary'!$E:$E,'Disbursements Summary'!$C:$C,$C55,'Disbursements Summary'!$A:$A,"WCB")</f>
        <v>0</v>
      </c>
      <c r="GV55" s="32">
        <f t="shared" si="5"/>
        <v>0</v>
      </c>
      <c r="GW55" s="32">
        <f t="shared" si="6"/>
        <v>0</v>
      </c>
      <c r="GX55" s="30" t="b">
        <f t="shared" si="7"/>
        <v>1</v>
      </c>
      <c r="GY55" s="30" t="b">
        <f t="shared" si="8"/>
        <v>1</v>
      </c>
    </row>
    <row r="56" spans="1:207" s="30" customFormat="1">
      <c r="A56" s="22" t="str">
        <f t="shared" si="0"/>
        <v/>
      </c>
      <c r="B56" s="40" t="s">
        <v>206</v>
      </c>
      <c r="C56" s="16">
        <v>151101</v>
      </c>
      <c r="D56" s="26">
        <f>COUNTIF('Awards Summary'!B:B,"151101")</f>
        <v>0</v>
      </c>
      <c r="E56" s="45">
        <f>SUMIFS('Awards Summary'!H:H,'Awards Summary'!B:B,"151101")</f>
        <v>0</v>
      </c>
      <c r="F56" s="46">
        <f>SUMIFS('Disbursements Summary'!E:E,'Disbursements Summary'!C:C, "151101")</f>
        <v>0</v>
      </c>
      <c r="H56" s="55">
        <f>SUMIFS('Awards Summary'!$H:$H,'Awards Summary'!$B:$B,$C56,'Awards Summary'!$J:$J,"APA")</f>
        <v>0</v>
      </c>
      <c r="I56" s="55">
        <f>SUMIFS('Disbursements Summary'!$E:$E,'Disbursements Summary'!$C:$C,$C56,'Disbursements Summary'!$A:$A,"APA")</f>
        <v>0</v>
      </c>
      <c r="J56" s="55">
        <f>SUMIFS('Awards Summary'!$H:$H,'Awards Summary'!$B:$B,$C56,'Awards Summary'!$J:$J,"Ag&amp;Horse")</f>
        <v>0</v>
      </c>
      <c r="K56" s="55">
        <f>SUMIFS('Disbursements Summary'!$E:$E,'Disbursements Summary'!$C:$C,$C56,'Disbursements Summary'!$A:$A,"Ag&amp;Horse")</f>
        <v>0</v>
      </c>
      <c r="L56" s="55">
        <f>SUMIFS('Awards Summary'!$H:$H,'Awards Summary'!$B:$B,$C56,'Awards Summary'!$J:$J,"ACAA")</f>
        <v>0</v>
      </c>
      <c r="M56" s="55">
        <f>SUMIFS('Disbursements Summary'!$E:$E,'Disbursements Summary'!$C:$C,$C56,'Disbursements Summary'!$A:$A,"ACAA")</f>
        <v>0</v>
      </c>
      <c r="N56" s="55">
        <f>SUMIFS('Awards Summary'!$H:$H,'Awards Summary'!$B:$B,$C56,'Awards Summary'!$J:$J,"PortAlbany")</f>
        <v>0</v>
      </c>
      <c r="O56" s="55">
        <f>SUMIFS('Disbursements Summary'!$E:$E,'Disbursements Summary'!$C:$C,$C56,'Disbursements Summary'!$A:$A,"PortAlbany")</f>
        <v>0</v>
      </c>
      <c r="P56" s="55">
        <f>SUMIFS('Awards Summary'!$H:$H,'Awards Summary'!$B:$B,$C56,'Awards Summary'!$J:$J,"SLA")</f>
        <v>0</v>
      </c>
      <c r="Q56" s="55">
        <f>SUMIFS('Disbursements Summary'!$E:$E,'Disbursements Summary'!$C:$C,$C56,'Disbursements Summary'!$A:$A,"SLA")</f>
        <v>0</v>
      </c>
      <c r="R56" s="55">
        <f>SUMIFS('Awards Summary'!$H:$H,'Awards Summary'!$B:$B,$C56,'Awards Summary'!$J:$J,"BPCA")</f>
        <v>0</v>
      </c>
      <c r="S56" s="55">
        <f>SUMIFS('Disbursements Summary'!$E:$E,'Disbursements Summary'!$C:$C,$C56,'Disbursements Summary'!$A:$A,"BPCA")</f>
        <v>0</v>
      </c>
      <c r="T56" s="55">
        <f>SUMIFS('Awards Summary'!$H:$H,'Awards Summary'!$B:$B,$C56,'Awards Summary'!$J:$J,"ELECTIONS")</f>
        <v>0</v>
      </c>
      <c r="U56" s="55">
        <f>SUMIFS('Disbursements Summary'!$E:$E,'Disbursements Summary'!$C:$C,$C56,'Disbursements Summary'!$A:$A,"ELECTIONS")</f>
        <v>0</v>
      </c>
      <c r="V56" s="55">
        <f>SUMIFS('Awards Summary'!$H:$H,'Awards Summary'!$B:$B,$C56,'Awards Summary'!$J:$J,"BFSA")</f>
        <v>0</v>
      </c>
      <c r="W56" s="55">
        <f>SUMIFS('Disbursements Summary'!$E:$E,'Disbursements Summary'!$C:$C,$C56,'Disbursements Summary'!$A:$A,"BFSA")</f>
        <v>0</v>
      </c>
      <c r="X56" s="55">
        <f>SUMIFS('Awards Summary'!$H:$H,'Awards Summary'!$B:$B,$C56,'Awards Summary'!$J:$J,"CDTA")</f>
        <v>0</v>
      </c>
      <c r="Y56" s="55">
        <f>SUMIFS('Disbursements Summary'!$E:$E,'Disbursements Summary'!$C:$C,$C56,'Disbursements Summary'!$A:$A,"CDTA")</f>
        <v>0</v>
      </c>
      <c r="Z56" s="55">
        <f>SUMIFS('Awards Summary'!$H:$H,'Awards Summary'!$B:$B,$C56,'Awards Summary'!$J:$J,"CCWSA")</f>
        <v>0</v>
      </c>
      <c r="AA56" s="55">
        <f>SUMIFS('Disbursements Summary'!$E:$E,'Disbursements Summary'!$C:$C,$C56,'Disbursements Summary'!$A:$A,"CCWSA")</f>
        <v>0</v>
      </c>
      <c r="AB56" s="55">
        <f>SUMIFS('Awards Summary'!$H:$H,'Awards Summary'!$B:$B,$C56,'Awards Summary'!$J:$J,"CNYRTA")</f>
        <v>0</v>
      </c>
      <c r="AC56" s="55">
        <f>SUMIFS('Disbursements Summary'!$E:$E,'Disbursements Summary'!$C:$C,$C56,'Disbursements Summary'!$A:$A,"CNYRTA")</f>
        <v>0</v>
      </c>
      <c r="AD56" s="55">
        <f>SUMIFS('Awards Summary'!$H:$H,'Awards Summary'!$B:$B,$C56,'Awards Summary'!$J:$J,"CUCF")</f>
        <v>0</v>
      </c>
      <c r="AE56" s="55">
        <f>SUMIFS('Disbursements Summary'!$E:$E,'Disbursements Summary'!$C:$C,$C56,'Disbursements Summary'!$A:$A,"CUCF")</f>
        <v>0</v>
      </c>
      <c r="AF56" s="55">
        <f>SUMIFS('Awards Summary'!$H:$H,'Awards Summary'!$B:$B,$C56,'Awards Summary'!$J:$J,"CUNY")</f>
        <v>0</v>
      </c>
      <c r="AG56" s="55">
        <f>SUMIFS('Disbursements Summary'!$E:$E,'Disbursements Summary'!$C:$C,$C56,'Disbursements Summary'!$A:$A,"CUNY")</f>
        <v>0</v>
      </c>
      <c r="AH56" s="55">
        <f>SUMIFS('Awards Summary'!$H:$H,'Awards Summary'!$B:$B,$C56,'Awards Summary'!$J:$J,"ARTS")</f>
        <v>0</v>
      </c>
      <c r="AI56" s="55">
        <f>SUMIFS('Disbursements Summary'!$E:$E,'Disbursements Summary'!$C:$C,$C56,'Disbursements Summary'!$A:$A,"ARTS")</f>
        <v>0</v>
      </c>
      <c r="AJ56" s="55">
        <f>SUMIFS('Awards Summary'!$H:$H,'Awards Summary'!$B:$B,$C56,'Awards Summary'!$J:$J,"AG&amp;MKTS")</f>
        <v>0</v>
      </c>
      <c r="AK56" s="55">
        <f>SUMIFS('Disbursements Summary'!$E:$E,'Disbursements Summary'!$C:$C,$C56,'Disbursements Summary'!$A:$A,"AG&amp;MKTS")</f>
        <v>0</v>
      </c>
      <c r="AL56" s="55">
        <f>SUMIFS('Awards Summary'!$H:$H,'Awards Summary'!$B:$B,$C56,'Awards Summary'!$J:$J,"CS")</f>
        <v>0</v>
      </c>
      <c r="AM56" s="55">
        <f>SUMIFS('Disbursements Summary'!$E:$E,'Disbursements Summary'!$C:$C,$C56,'Disbursements Summary'!$A:$A,"CS")</f>
        <v>0</v>
      </c>
      <c r="AN56" s="55">
        <f>SUMIFS('Awards Summary'!$H:$H,'Awards Summary'!$B:$B,$C56,'Awards Summary'!$J:$J,"DOCCS")</f>
        <v>0</v>
      </c>
      <c r="AO56" s="55">
        <f>SUMIFS('Disbursements Summary'!$E:$E,'Disbursements Summary'!$C:$C,$C56,'Disbursements Summary'!$A:$A,"DOCCS")</f>
        <v>0</v>
      </c>
      <c r="AP56" s="55">
        <f>SUMIFS('Awards Summary'!$H:$H,'Awards Summary'!$B:$B,$C56,'Awards Summary'!$J:$J,"DED")</f>
        <v>0</v>
      </c>
      <c r="AQ56" s="55">
        <f>SUMIFS('Disbursements Summary'!$E:$E,'Disbursements Summary'!$C:$C,$C56,'Disbursements Summary'!$A:$A,"DED")</f>
        <v>0</v>
      </c>
      <c r="AR56" s="55">
        <f>SUMIFS('Awards Summary'!$H:$H,'Awards Summary'!$B:$B,$C56,'Awards Summary'!$J:$J,"DEC")</f>
        <v>0</v>
      </c>
      <c r="AS56" s="55">
        <f>SUMIFS('Disbursements Summary'!$E:$E,'Disbursements Summary'!$C:$C,$C56,'Disbursements Summary'!$A:$A,"DEC")</f>
        <v>0</v>
      </c>
      <c r="AT56" s="55">
        <f>SUMIFS('Awards Summary'!$H:$H,'Awards Summary'!$B:$B,$C56,'Awards Summary'!$J:$J,"DFS")</f>
        <v>0</v>
      </c>
      <c r="AU56" s="55">
        <f>SUMIFS('Disbursements Summary'!$E:$E,'Disbursements Summary'!$C:$C,$C56,'Disbursements Summary'!$A:$A,"DFS")</f>
        <v>0</v>
      </c>
      <c r="AV56" s="55">
        <f>SUMIFS('Awards Summary'!$H:$H,'Awards Summary'!$B:$B,$C56,'Awards Summary'!$J:$J,"DOH")</f>
        <v>0</v>
      </c>
      <c r="AW56" s="55">
        <f>SUMIFS('Disbursements Summary'!$E:$E,'Disbursements Summary'!$C:$C,$C56,'Disbursements Summary'!$A:$A,"DOH")</f>
        <v>0</v>
      </c>
      <c r="AX56" s="55">
        <f>SUMIFS('Awards Summary'!$H:$H,'Awards Summary'!$B:$B,$C56,'Awards Summary'!$J:$J,"DOL")</f>
        <v>0</v>
      </c>
      <c r="AY56" s="55">
        <f>SUMIFS('Disbursements Summary'!$E:$E,'Disbursements Summary'!$C:$C,$C56,'Disbursements Summary'!$A:$A,"DOL")</f>
        <v>0</v>
      </c>
      <c r="AZ56" s="55">
        <f>SUMIFS('Awards Summary'!$H:$H,'Awards Summary'!$B:$B,$C56,'Awards Summary'!$J:$J,"DMV")</f>
        <v>0</v>
      </c>
      <c r="BA56" s="55">
        <f>SUMIFS('Disbursements Summary'!$E:$E,'Disbursements Summary'!$C:$C,$C56,'Disbursements Summary'!$A:$A,"DMV")</f>
        <v>0</v>
      </c>
      <c r="BB56" s="55">
        <f>SUMIFS('Awards Summary'!$H:$H,'Awards Summary'!$B:$B,$C56,'Awards Summary'!$J:$J,"DPS")</f>
        <v>0</v>
      </c>
      <c r="BC56" s="55">
        <f>SUMIFS('Disbursements Summary'!$E:$E,'Disbursements Summary'!$C:$C,$C56,'Disbursements Summary'!$A:$A,"DPS")</f>
        <v>0</v>
      </c>
      <c r="BD56" s="55">
        <f>SUMIFS('Awards Summary'!$H:$H,'Awards Summary'!$B:$B,$C56,'Awards Summary'!$J:$J,"DOS")</f>
        <v>0</v>
      </c>
      <c r="BE56" s="55">
        <f>SUMIFS('Disbursements Summary'!$E:$E,'Disbursements Summary'!$C:$C,$C56,'Disbursements Summary'!$A:$A,"DOS")</f>
        <v>0</v>
      </c>
      <c r="BF56" s="55">
        <f>SUMIFS('Awards Summary'!$H:$H,'Awards Summary'!$B:$B,$C56,'Awards Summary'!$J:$J,"TAX")</f>
        <v>0</v>
      </c>
      <c r="BG56" s="55">
        <f>SUMIFS('Disbursements Summary'!$E:$E,'Disbursements Summary'!$C:$C,$C56,'Disbursements Summary'!$A:$A,"TAX")</f>
        <v>0</v>
      </c>
      <c r="BH56" s="55">
        <f>SUMIFS('Awards Summary'!$H:$H,'Awards Summary'!$B:$B,$C56,'Awards Summary'!$J:$J,"DOT")</f>
        <v>0</v>
      </c>
      <c r="BI56" s="55">
        <f>SUMIFS('Disbursements Summary'!$E:$E,'Disbursements Summary'!$C:$C,$C56,'Disbursements Summary'!$A:$A,"DOT")</f>
        <v>0</v>
      </c>
      <c r="BJ56" s="55">
        <f>SUMIFS('Awards Summary'!$H:$H,'Awards Summary'!$B:$B,$C56,'Awards Summary'!$J:$J,"DANC")</f>
        <v>0</v>
      </c>
      <c r="BK56" s="55">
        <f>SUMIFS('Disbursements Summary'!$E:$E,'Disbursements Summary'!$C:$C,$C56,'Disbursements Summary'!$A:$A,"DANC")</f>
        <v>0</v>
      </c>
      <c r="BL56" s="55">
        <f>SUMIFS('Awards Summary'!$H:$H,'Awards Summary'!$B:$B,$C56,'Awards Summary'!$J:$J,"DOB")</f>
        <v>0</v>
      </c>
      <c r="BM56" s="55">
        <f>SUMIFS('Disbursements Summary'!$E:$E,'Disbursements Summary'!$C:$C,$C56,'Disbursements Summary'!$A:$A,"DOB")</f>
        <v>0</v>
      </c>
      <c r="BN56" s="55">
        <f>SUMIFS('Awards Summary'!$H:$H,'Awards Summary'!$B:$B,$C56,'Awards Summary'!$J:$J,"DCJS")</f>
        <v>0</v>
      </c>
      <c r="BO56" s="55">
        <f>SUMIFS('Disbursements Summary'!$E:$E,'Disbursements Summary'!$C:$C,$C56,'Disbursements Summary'!$A:$A,"DCJS")</f>
        <v>0</v>
      </c>
      <c r="BP56" s="55">
        <f>SUMIFS('Awards Summary'!$H:$H,'Awards Summary'!$B:$B,$C56,'Awards Summary'!$J:$J,"DHSES")</f>
        <v>0</v>
      </c>
      <c r="BQ56" s="55">
        <f>SUMIFS('Disbursements Summary'!$E:$E,'Disbursements Summary'!$C:$C,$C56,'Disbursements Summary'!$A:$A,"DHSES")</f>
        <v>0</v>
      </c>
      <c r="BR56" s="55">
        <f>SUMIFS('Awards Summary'!$H:$H,'Awards Summary'!$B:$B,$C56,'Awards Summary'!$J:$J,"DHR")</f>
        <v>0</v>
      </c>
      <c r="BS56" s="55">
        <f>SUMIFS('Disbursements Summary'!$E:$E,'Disbursements Summary'!$C:$C,$C56,'Disbursements Summary'!$A:$A,"DHR")</f>
        <v>0</v>
      </c>
      <c r="BT56" s="55">
        <f>SUMIFS('Awards Summary'!$H:$H,'Awards Summary'!$B:$B,$C56,'Awards Summary'!$J:$J,"DMNA")</f>
        <v>0</v>
      </c>
      <c r="BU56" s="55">
        <f>SUMIFS('Disbursements Summary'!$E:$E,'Disbursements Summary'!$C:$C,$C56,'Disbursements Summary'!$A:$A,"DMNA")</f>
        <v>0</v>
      </c>
      <c r="BV56" s="55">
        <f>SUMIFS('Awards Summary'!$H:$H,'Awards Summary'!$B:$B,$C56,'Awards Summary'!$J:$J,"TROOPERS")</f>
        <v>0</v>
      </c>
      <c r="BW56" s="55">
        <f>SUMIFS('Disbursements Summary'!$E:$E,'Disbursements Summary'!$C:$C,$C56,'Disbursements Summary'!$A:$A,"TROOPERS")</f>
        <v>0</v>
      </c>
      <c r="BX56" s="55">
        <f>SUMIFS('Awards Summary'!$H:$H,'Awards Summary'!$B:$B,$C56,'Awards Summary'!$J:$J,"DVA")</f>
        <v>0</v>
      </c>
      <c r="BY56" s="55">
        <f>SUMIFS('Disbursements Summary'!$E:$E,'Disbursements Summary'!$C:$C,$C56,'Disbursements Summary'!$A:$A,"DVA")</f>
        <v>0</v>
      </c>
      <c r="BZ56" s="55">
        <f>SUMIFS('Awards Summary'!$H:$H,'Awards Summary'!$B:$B,$C56,'Awards Summary'!$J:$J,"DASNY")</f>
        <v>0</v>
      </c>
      <c r="CA56" s="55">
        <f>SUMIFS('Disbursements Summary'!$E:$E,'Disbursements Summary'!$C:$C,$C56,'Disbursements Summary'!$A:$A,"DASNY")</f>
        <v>0</v>
      </c>
      <c r="CB56" s="55">
        <f>SUMIFS('Awards Summary'!$H:$H,'Awards Summary'!$B:$B,$C56,'Awards Summary'!$J:$J,"EGG")</f>
        <v>0</v>
      </c>
      <c r="CC56" s="55">
        <f>SUMIFS('Disbursements Summary'!$E:$E,'Disbursements Summary'!$C:$C,$C56,'Disbursements Summary'!$A:$A,"EGG")</f>
        <v>0</v>
      </c>
      <c r="CD56" s="55">
        <f>SUMIFS('Awards Summary'!$H:$H,'Awards Summary'!$B:$B,$C56,'Awards Summary'!$J:$J,"ESD")</f>
        <v>0</v>
      </c>
      <c r="CE56" s="55">
        <f>SUMIFS('Disbursements Summary'!$E:$E,'Disbursements Summary'!$C:$C,$C56,'Disbursements Summary'!$A:$A,"ESD")</f>
        <v>0</v>
      </c>
      <c r="CF56" s="55">
        <f>SUMIFS('Awards Summary'!$H:$H,'Awards Summary'!$B:$B,$C56,'Awards Summary'!$J:$J,"EFC")</f>
        <v>0</v>
      </c>
      <c r="CG56" s="55">
        <f>SUMIFS('Disbursements Summary'!$E:$E,'Disbursements Summary'!$C:$C,$C56,'Disbursements Summary'!$A:$A,"EFC")</f>
        <v>0</v>
      </c>
      <c r="CH56" s="55">
        <f>SUMIFS('Awards Summary'!$H:$H,'Awards Summary'!$B:$B,$C56,'Awards Summary'!$J:$J,"ECFSA")</f>
        <v>0</v>
      </c>
      <c r="CI56" s="55">
        <f>SUMIFS('Disbursements Summary'!$E:$E,'Disbursements Summary'!$C:$C,$C56,'Disbursements Summary'!$A:$A,"ECFSA")</f>
        <v>0</v>
      </c>
      <c r="CJ56" s="55">
        <f>SUMIFS('Awards Summary'!$H:$H,'Awards Summary'!$B:$B,$C56,'Awards Summary'!$J:$J,"ECMC")</f>
        <v>0</v>
      </c>
      <c r="CK56" s="55">
        <f>SUMIFS('Disbursements Summary'!$E:$E,'Disbursements Summary'!$C:$C,$C56,'Disbursements Summary'!$A:$A,"ECMC")</f>
        <v>0</v>
      </c>
      <c r="CL56" s="55">
        <f>SUMIFS('Awards Summary'!$H:$H,'Awards Summary'!$B:$B,$C56,'Awards Summary'!$J:$J,"CHAMBER")</f>
        <v>0</v>
      </c>
      <c r="CM56" s="55">
        <f>SUMIFS('Disbursements Summary'!$E:$E,'Disbursements Summary'!$C:$C,$C56,'Disbursements Summary'!$A:$A,"CHAMBER")</f>
        <v>0</v>
      </c>
      <c r="CN56" s="55">
        <f>SUMIFS('Awards Summary'!$H:$H,'Awards Summary'!$B:$B,$C56,'Awards Summary'!$J:$J,"GAMING")</f>
        <v>0</v>
      </c>
      <c r="CO56" s="55">
        <f>SUMIFS('Disbursements Summary'!$E:$E,'Disbursements Summary'!$C:$C,$C56,'Disbursements Summary'!$A:$A,"GAMING")</f>
        <v>0</v>
      </c>
      <c r="CP56" s="55">
        <f>SUMIFS('Awards Summary'!$H:$H,'Awards Summary'!$B:$B,$C56,'Awards Summary'!$J:$J,"GOER")</f>
        <v>0</v>
      </c>
      <c r="CQ56" s="55">
        <f>SUMIFS('Disbursements Summary'!$E:$E,'Disbursements Summary'!$C:$C,$C56,'Disbursements Summary'!$A:$A,"GOER")</f>
        <v>0</v>
      </c>
      <c r="CR56" s="55">
        <f>SUMIFS('Awards Summary'!$H:$H,'Awards Summary'!$B:$B,$C56,'Awards Summary'!$J:$J,"HESC")</f>
        <v>0</v>
      </c>
      <c r="CS56" s="55">
        <f>SUMIFS('Disbursements Summary'!$E:$E,'Disbursements Summary'!$C:$C,$C56,'Disbursements Summary'!$A:$A,"HESC")</f>
        <v>0</v>
      </c>
      <c r="CT56" s="55">
        <f>SUMIFS('Awards Summary'!$H:$H,'Awards Summary'!$B:$B,$C56,'Awards Summary'!$J:$J,"GOSR")</f>
        <v>0</v>
      </c>
      <c r="CU56" s="55">
        <f>SUMIFS('Disbursements Summary'!$E:$E,'Disbursements Summary'!$C:$C,$C56,'Disbursements Summary'!$A:$A,"GOSR")</f>
        <v>0</v>
      </c>
      <c r="CV56" s="55">
        <f>SUMIFS('Awards Summary'!$H:$H,'Awards Summary'!$B:$B,$C56,'Awards Summary'!$J:$J,"HRPT")</f>
        <v>0</v>
      </c>
      <c r="CW56" s="55">
        <f>SUMIFS('Disbursements Summary'!$E:$E,'Disbursements Summary'!$C:$C,$C56,'Disbursements Summary'!$A:$A,"HRPT")</f>
        <v>0</v>
      </c>
      <c r="CX56" s="55">
        <f>SUMIFS('Awards Summary'!$H:$H,'Awards Summary'!$B:$B,$C56,'Awards Summary'!$J:$J,"HRBRRD")</f>
        <v>0</v>
      </c>
      <c r="CY56" s="55">
        <f>SUMIFS('Disbursements Summary'!$E:$E,'Disbursements Summary'!$C:$C,$C56,'Disbursements Summary'!$A:$A,"HRBRRD")</f>
        <v>0</v>
      </c>
      <c r="CZ56" s="55">
        <f>SUMIFS('Awards Summary'!$H:$H,'Awards Summary'!$B:$B,$C56,'Awards Summary'!$J:$J,"ITS")</f>
        <v>0</v>
      </c>
      <c r="DA56" s="55">
        <f>SUMIFS('Disbursements Summary'!$E:$E,'Disbursements Summary'!$C:$C,$C56,'Disbursements Summary'!$A:$A,"ITS")</f>
        <v>0</v>
      </c>
      <c r="DB56" s="55">
        <f>SUMIFS('Awards Summary'!$H:$H,'Awards Summary'!$B:$B,$C56,'Awards Summary'!$J:$J,"JAVITS")</f>
        <v>0</v>
      </c>
      <c r="DC56" s="55">
        <f>SUMIFS('Disbursements Summary'!$E:$E,'Disbursements Summary'!$C:$C,$C56,'Disbursements Summary'!$A:$A,"JAVITS")</f>
        <v>0</v>
      </c>
      <c r="DD56" s="55">
        <f>SUMIFS('Awards Summary'!$H:$H,'Awards Summary'!$B:$B,$C56,'Awards Summary'!$J:$J,"JCOPE")</f>
        <v>0</v>
      </c>
      <c r="DE56" s="55">
        <f>SUMIFS('Disbursements Summary'!$E:$E,'Disbursements Summary'!$C:$C,$C56,'Disbursements Summary'!$A:$A,"JCOPE")</f>
        <v>0</v>
      </c>
      <c r="DF56" s="55">
        <f>SUMIFS('Awards Summary'!$H:$H,'Awards Summary'!$B:$B,$C56,'Awards Summary'!$J:$J,"JUSTICE")</f>
        <v>0</v>
      </c>
      <c r="DG56" s="55">
        <f>SUMIFS('Disbursements Summary'!$E:$E,'Disbursements Summary'!$C:$C,$C56,'Disbursements Summary'!$A:$A,"JUSTICE")</f>
        <v>0</v>
      </c>
      <c r="DH56" s="55">
        <f>SUMIFS('Awards Summary'!$H:$H,'Awards Summary'!$B:$B,$C56,'Awards Summary'!$J:$J,"LCWSA")</f>
        <v>0</v>
      </c>
      <c r="DI56" s="55">
        <f>SUMIFS('Disbursements Summary'!$E:$E,'Disbursements Summary'!$C:$C,$C56,'Disbursements Summary'!$A:$A,"LCWSA")</f>
        <v>0</v>
      </c>
      <c r="DJ56" s="55">
        <f>SUMIFS('Awards Summary'!$H:$H,'Awards Summary'!$B:$B,$C56,'Awards Summary'!$J:$J,"LIPA")</f>
        <v>0</v>
      </c>
      <c r="DK56" s="55">
        <f>SUMIFS('Disbursements Summary'!$E:$E,'Disbursements Summary'!$C:$C,$C56,'Disbursements Summary'!$A:$A,"LIPA")</f>
        <v>0</v>
      </c>
      <c r="DL56" s="55">
        <f>SUMIFS('Awards Summary'!$H:$H,'Awards Summary'!$B:$B,$C56,'Awards Summary'!$J:$J,"MTA")</f>
        <v>0</v>
      </c>
      <c r="DM56" s="55">
        <f>SUMIFS('Disbursements Summary'!$E:$E,'Disbursements Summary'!$C:$C,$C56,'Disbursements Summary'!$A:$A,"MTA")</f>
        <v>0</v>
      </c>
      <c r="DN56" s="55">
        <f>SUMIFS('Awards Summary'!$H:$H,'Awards Summary'!$B:$B,$C56,'Awards Summary'!$J:$J,"NIFA")</f>
        <v>0</v>
      </c>
      <c r="DO56" s="55">
        <f>SUMIFS('Disbursements Summary'!$E:$E,'Disbursements Summary'!$C:$C,$C56,'Disbursements Summary'!$A:$A,"NIFA")</f>
        <v>0</v>
      </c>
      <c r="DP56" s="55">
        <f>SUMIFS('Awards Summary'!$H:$H,'Awards Summary'!$B:$B,$C56,'Awards Summary'!$J:$J,"NHCC")</f>
        <v>0</v>
      </c>
      <c r="DQ56" s="55">
        <f>SUMIFS('Disbursements Summary'!$E:$E,'Disbursements Summary'!$C:$C,$C56,'Disbursements Summary'!$A:$A,"NHCC")</f>
        <v>0</v>
      </c>
      <c r="DR56" s="55">
        <f>SUMIFS('Awards Summary'!$H:$H,'Awards Summary'!$B:$B,$C56,'Awards Summary'!$J:$J,"NHT")</f>
        <v>0</v>
      </c>
      <c r="DS56" s="55">
        <f>SUMIFS('Disbursements Summary'!$E:$E,'Disbursements Summary'!$C:$C,$C56,'Disbursements Summary'!$A:$A,"NHT")</f>
        <v>0</v>
      </c>
      <c r="DT56" s="55">
        <f>SUMIFS('Awards Summary'!$H:$H,'Awards Summary'!$B:$B,$C56,'Awards Summary'!$J:$J,"NYPA")</f>
        <v>0</v>
      </c>
      <c r="DU56" s="55">
        <f>SUMIFS('Disbursements Summary'!$E:$E,'Disbursements Summary'!$C:$C,$C56,'Disbursements Summary'!$A:$A,"NYPA")</f>
        <v>0</v>
      </c>
      <c r="DV56" s="55">
        <f>SUMIFS('Awards Summary'!$H:$H,'Awards Summary'!$B:$B,$C56,'Awards Summary'!$J:$J,"NYSBA")</f>
        <v>0</v>
      </c>
      <c r="DW56" s="55">
        <f>SUMIFS('Disbursements Summary'!$E:$E,'Disbursements Summary'!$C:$C,$C56,'Disbursements Summary'!$A:$A,"NYSBA")</f>
        <v>0</v>
      </c>
      <c r="DX56" s="55">
        <f>SUMIFS('Awards Summary'!$H:$H,'Awards Summary'!$B:$B,$C56,'Awards Summary'!$J:$J,"NYSERDA")</f>
        <v>0</v>
      </c>
      <c r="DY56" s="55">
        <f>SUMIFS('Disbursements Summary'!$E:$E,'Disbursements Summary'!$C:$C,$C56,'Disbursements Summary'!$A:$A,"NYSERDA")</f>
        <v>0</v>
      </c>
      <c r="DZ56" s="55">
        <f>SUMIFS('Awards Summary'!$H:$H,'Awards Summary'!$B:$B,$C56,'Awards Summary'!$J:$J,"DHCR")</f>
        <v>0</v>
      </c>
      <c r="EA56" s="55">
        <f>SUMIFS('Disbursements Summary'!$E:$E,'Disbursements Summary'!$C:$C,$C56,'Disbursements Summary'!$A:$A,"DHCR")</f>
        <v>0</v>
      </c>
      <c r="EB56" s="55">
        <f>SUMIFS('Awards Summary'!$H:$H,'Awards Summary'!$B:$B,$C56,'Awards Summary'!$J:$J,"HFA")</f>
        <v>0</v>
      </c>
      <c r="EC56" s="55">
        <f>SUMIFS('Disbursements Summary'!$E:$E,'Disbursements Summary'!$C:$C,$C56,'Disbursements Summary'!$A:$A,"HFA")</f>
        <v>0</v>
      </c>
      <c r="ED56" s="55">
        <f>SUMIFS('Awards Summary'!$H:$H,'Awards Summary'!$B:$B,$C56,'Awards Summary'!$J:$J,"NYSIF")</f>
        <v>0</v>
      </c>
      <c r="EE56" s="55">
        <f>SUMIFS('Disbursements Summary'!$E:$E,'Disbursements Summary'!$C:$C,$C56,'Disbursements Summary'!$A:$A,"NYSIF")</f>
        <v>0</v>
      </c>
      <c r="EF56" s="55">
        <f>SUMIFS('Awards Summary'!$H:$H,'Awards Summary'!$B:$B,$C56,'Awards Summary'!$J:$J,"NYBREDS")</f>
        <v>0</v>
      </c>
      <c r="EG56" s="55">
        <f>SUMIFS('Disbursements Summary'!$E:$E,'Disbursements Summary'!$C:$C,$C56,'Disbursements Summary'!$A:$A,"NYBREDS")</f>
        <v>0</v>
      </c>
      <c r="EH56" s="55">
        <f>SUMIFS('Awards Summary'!$H:$H,'Awards Summary'!$B:$B,$C56,'Awards Summary'!$J:$J,"NYSTA")</f>
        <v>0</v>
      </c>
      <c r="EI56" s="55">
        <f>SUMIFS('Disbursements Summary'!$E:$E,'Disbursements Summary'!$C:$C,$C56,'Disbursements Summary'!$A:$A,"NYSTA")</f>
        <v>0</v>
      </c>
      <c r="EJ56" s="55">
        <f>SUMIFS('Awards Summary'!$H:$H,'Awards Summary'!$B:$B,$C56,'Awards Summary'!$J:$J,"NFWB")</f>
        <v>0</v>
      </c>
      <c r="EK56" s="55">
        <f>SUMIFS('Disbursements Summary'!$E:$E,'Disbursements Summary'!$C:$C,$C56,'Disbursements Summary'!$A:$A,"NFWB")</f>
        <v>0</v>
      </c>
      <c r="EL56" s="55">
        <f>SUMIFS('Awards Summary'!$H:$H,'Awards Summary'!$B:$B,$C56,'Awards Summary'!$J:$J,"NFTA")</f>
        <v>0</v>
      </c>
      <c r="EM56" s="55">
        <f>SUMIFS('Disbursements Summary'!$E:$E,'Disbursements Summary'!$C:$C,$C56,'Disbursements Summary'!$A:$A,"NFTA")</f>
        <v>0</v>
      </c>
      <c r="EN56" s="55">
        <f>SUMIFS('Awards Summary'!$H:$H,'Awards Summary'!$B:$B,$C56,'Awards Summary'!$J:$J,"OPWDD")</f>
        <v>0</v>
      </c>
      <c r="EO56" s="55">
        <f>SUMIFS('Disbursements Summary'!$E:$E,'Disbursements Summary'!$C:$C,$C56,'Disbursements Summary'!$A:$A,"OPWDD")</f>
        <v>0</v>
      </c>
      <c r="EP56" s="55">
        <f>SUMIFS('Awards Summary'!$H:$H,'Awards Summary'!$B:$B,$C56,'Awards Summary'!$J:$J,"AGING")</f>
        <v>0</v>
      </c>
      <c r="EQ56" s="55">
        <f>SUMIFS('Disbursements Summary'!$E:$E,'Disbursements Summary'!$C:$C,$C56,'Disbursements Summary'!$A:$A,"AGING")</f>
        <v>0</v>
      </c>
      <c r="ER56" s="55">
        <f>SUMIFS('Awards Summary'!$H:$H,'Awards Summary'!$B:$B,$C56,'Awards Summary'!$J:$J,"OPDV")</f>
        <v>0</v>
      </c>
      <c r="ES56" s="55">
        <f>SUMIFS('Disbursements Summary'!$E:$E,'Disbursements Summary'!$C:$C,$C56,'Disbursements Summary'!$A:$A,"OPDV")</f>
        <v>0</v>
      </c>
      <c r="ET56" s="55">
        <f>SUMIFS('Awards Summary'!$H:$H,'Awards Summary'!$B:$B,$C56,'Awards Summary'!$J:$J,"OVS")</f>
        <v>0</v>
      </c>
      <c r="EU56" s="55">
        <f>SUMIFS('Disbursements Summary'!$E:$E,'Disbursements Summary'!$C:$C,$C56,'Disbursements Summary'!$A:$A,"OVS")</f>
        <v>0</v>
      </c>
      <c r="EV56" s="55">
        <f>SUMIFS('Awards Summary'!$H:$H,'Awards Summary'!$B:$B,$C56,'Awards Summary'!$J:$J,"OASAS")</f>
        <v>0</v>
      </c>
      <c r="EW56" s="55">
        <f>SUMIFS('Disbursements Summary'!$E:$E,'Disbursements Summary'!$C:$C,$C56,'Disbursements Summary'!$A:$A,"OASAS")</f>
        <v>0</v>
      </c>
      <c r="EX56" s="55">
        <f>SUMIFS('Awards Summary'!$H:$H,'Awards Summary'!$B:$B,$C56,'Awards Summary'!$J:$J,"OCFS")</f>
        <v>0</v>
      </c>
      <c r="EY56" s="55">
        <f>SUMIFS('Disbursements Summary'!$E:$E,'Disbursements Summary'!$C:$C,$C56,'Disbursements Summary'!$A:$A,"OCFS")</f>
        <v>0</v>
      </c>
      <c r="EZ56" s="55">
        <f>SUMIFS('Awards Summary'!$H:$H,'Awards Summary'!$B:$B,$C56,'Awards Summary'!$J:$J,"OGS")</f>
        <v>0</v>
      </c>
      <c r="FA56" s="55">
        <f>SUMIFS('Disbursements Summary'!$E:$E,'Disbursements Summary'!$C:$C,$C56,'Disbursements Summary'!$A:$A,"OGS")</f>
        <v>0</v>
      </c>
      <c r="FB56" s="55">
        <f>SUMIFS('Awards Summary'!$H:$H,'Awards Summary'!$B:$B,$C56,'Awards Summary'!$J:$J,"OMH")</f>
        <v>0</v>
      </c>
      <c r="FC56" s="55">
        <f>SUMIFS('Disbursements Summary'!$E:$E,'Disbursements Summary'!$C:$C,$C56,'Disbursements Summary'!$A:$A,"OMH")</f>
        <v>0</v>
      </c>
      <c r="FD56" s="55">
        <f>SUMIFS('Awards Summary'!$H:$H,'Awards Summary'!$B:$B,$C56,'Awards Summary'!$J:$J,"PARKS")</f>
        <v>0</v>
      </c>
      <c r="FE56" s="55">
        <f>SUMIFS('Disbursements Summary'!$E:$E,'Disbursements Summary'!$C:$C,$C56,'Disbursements Summary'!$A:$A,"PARKS")</f>
        <v>0</v>
      </c>
      <c r="FF56" s="55">
        <f>SUMIFS('Awards Summary'!$H:$H,'Awards Summary'!$B:$B,$C56,'Awards Summary'!$J:$J,"OTDA")</f>
        <v>0</v>
      </c>
      <c r="FG56" s="55">
        <f>SUMIFS('Disbursements Summary'!$E:$E,'Disbursements Summary'!$C:$C,$C56,'Disbursements Summary'!$A:$A,"OTDA")</f>
        <v>0</v>
      </c>
      <c r="FH56" s="55">
        <f>SUMIFS('Awards Summary'!$H:$H,'Awards Summary'!$B:$B,$C56,'Awards Summary'!$J:$J,"OIG")</f>
        <v>0</v>
      </c>
      <c r="FI56" s="55">
        <f>SUMIFS('Disbursements Summary'!$E:$E,'Disbursements Summary'!$C:$C,$C56,'Disbursements Summary'!$A:$A,"OIG")</f>
        <v>0</v>
      </c>
      <c r="FJ56" s="55">
        <f>SUMIFS('Awards Summary'!$H:$H,'Awards Summary'!$B:$B,$C56,'Awards Summary'!$J:$J,"OMIG")</f>
        <v>0</v>
      </c>
      <c r="FK56" s="55">
        <f>SUMIFS('Disbursements Summary'!$E:$E,'Disbursements Summary'!$C:$C,$C56,'Disbursements Summary'!$A:$A,"OMIG")</f>
        <v>0</v>
      </c>
      <c r="FL56" s="55">
        <f>SUMIFS('Awards Summary'!$H:$H,'Awards Summary'!$B:$B,$C56,'Awards Summary'!$J:$J,"OSC")</f>
        <v>0</v>
      </c>
      <c r="FM56" s="55">
        <f>SUMIFS('Disbursements Summary'!$E:$E,'Disbursements Summary'!$C:$C,$C56,'Disbursements Summary'!$A:$A,"OSC")</f>
        <v>0</v>
      </c>
      <c r="FN56" s="55">
        <f>SUMIFS('Awards Summary'!$H:$H,'Awards Summary'!$B:$B,$C56,'Awards Summary'!$J:$J,"OWIG")</f>
        <v>0</v>
      </c>
      <c r="FO56" s="55">
        <f>SUMIFS('Disbursements Summary'!$E:$E,'Disbursements Summary'!$C:$C,$C56,'Disbursements Summary'!$A:$A,"OWIG")</f>
        <v>0</v>
      </c>
      <c r="FP56" s="55">
        <f>SUMIFS('Awards Summary'!$H:$H,'Awards Summary'!$B:$B,$C56,'Awards Summary'!$J:$J,"OGDEN")</f>
        <v>0</v>
      </c>
      <c r="FQ56" s="55">
        <f>SUMIFS('Disbursements Summary'!$E:$E,'Disbursements Summary'!$C:$C,$C56,'Disbursements Summary'!$A:$A,"OGDEN")</f>
        <v>0</v>
      </c>
      <c r="FR56" s="55">
        <f>SUMIFS('Awards Summary'!$H:$H,'Awards Summary'!$B:$B,$C56,'Awards Summary'!$J:$J,"ORDA")</f>
        <v>0</v>
      </c>
      <c r="FS56" s="55">
        <f>SUMIFS('Disbursements Summary'!$E:$E,'Disbursements Summary'!$C:$C,$C56,'Disbursements Summary'!$A:$A,"ORDA")</f>
        <v>0</v>
      </c>
      <c r="FT56" s="55">
        <f>SUMIFS('Awards Summary'!$H:$H,'Awards Summary'!$B:$B,$C56,'Awards Summary'!$J:$J,"OSWEGO")</f>
        <v>0</v>
      </c>
      <c r="FU56" s="55">
        <f>SUMIFS('Disbursements Summary'!$E:$E,'Disbursements Summary'!$C:$C,$C56,'Disbursements Summary'!$A:$A,"OSWEGO")</f>
        <v>0</v>
      </c>
      <c r="FV56" s="55">
        <f>SUMIFS('Awards Summary'!$H:$H,'Awards Summary'!$B:$B,$C56,'Awards Summary'!$J:$J,"PERB")</f>
        <v>0</v>
      </c>
      <c r="FW56" s="55">
        <f>SUMIFS('Disbursements Summary'!$E:$E,'Disbursements Summary'!$C:$C,$C56,'Disbursements Summary'!$A:$A,"PERB")</f>
        <v>0</v>
      </c>
      <c r="FX56" s="55">
        <f>SUMIFS('Awards Summary'!$H:$H,'Awards Summary'!$B:$B,$C56,'Awards Summary'!$J:$J,"RGRTA")</f>
        <v>0</v>
      </c>
      <c r="FY56" s="55">
        <f>SUMIFS('Disbursements Summary'!$E:$E,'Disbursements Summary'!$C:$C,$C56,'Disbursements Summary'!$A:$A,"RGRTA")</f>
        <v>0</v>
      </c>
      <c r="FZ56" s="55">
        <f>SUMIFS('Awards Summary'!$H:$H,'Awards Summary'!$B:$B,$C56,'Awards Summary'!$J:$J,"RIOC")</f>
        <v>0</v>
      </c>
      <c r="GA56" s="55">
        <f>SUMIFS('Disbursements Summary'!$E:$E,'Disbursements Summary'!$C:$C,$C56,'Disbursements Summary'!$A:$A,"RIOC")</f>
        <v>0</v>
      </c>
      <c r="GB56" s="55">
        <f>SUMIFS('Awards Summary'!$H:$H,'Awards Summary'!$B:$B,$C56,'Awards Summary'!$J:$J,"RPCI")</f>
        <v>0</v>
      </c>
      <c r="GC56" s="55">
        <f>SUMIFS('Disbursements Summary'!$E:$E,'Disbursements Summary'!$C:$C,$C56,'Disbursements Summary'!$A:$A,"RPCI")</f>
        <v>0</v>
      </c>
      <c r="GD56" s="55">
        <f>SUMIFS('Awards Summary'!$H:$H,'Awards Summary'!$B:$B,$C56,'Awards Summary'!$J:$J,"SMDA")</f>
        <v>0</v>
      </c>
      <c r="GE56" s="55">
        <f>SUMIFS('Disbursements Summary'!$E:$E,'Disbursements Summary'!$C:$C,$C56,'Disbursements Summary'!$A:$A,"SMDA")</f>
        <v>0</v>
      </c>
      <c r="GF56" s="55">
        <f>SUMIFS('Awards Summary'!$H:$H,'Awards Summary'!$B:$B,$C56,'Awards Summary'!$J:$J,"SCOC")</f>
        <v>0</v>
      </c>
      <c r="GG56" s="55">
        <f>SUMIFS('Disbursements Summary'!$E:$E,'Disbursements Summary'!$C:$C,$C56,'Disbursements Summary'!$A:$A,"SCOC")</f>
        <v>0</v>
      </c>
      <c r="GH56" s="55">
        <f>SUMIFS('Awards Summary'!$H:$H,'Awards Summary'!$B:$B,$C56,'Awards Summary'!$J:$J,"SUCF")</f>
        <v>0</v>
      </c>
      <c r="GI56" s="55">
        <f>SUMIFS('Disbursements Summary'!$E:$E,'Disbursements Summary'!$C:$C,$C56,'Disbursements Summary'!$A:$A,"SUCF")</f>
        <v>0</v>
      </c>
      <c r="GJ56" s="55">
        <f>SUMIFS('Awards Summary'!$H:$H,'Awards Summary'!$B:$B,$C56,'Awards Summary'!$J:$J,"SUNY")</f>
        <v>0</v>
      </c>
      <c r="GK56" s="55">
        <f>SUMIFS('Disbursements Summary'!$E:$E,'Disbursements Summary'!$C:$C,$C56,'Disbursements Summary'!$A:$A,"SUNY")</f>
        <v>0</v>
      </c>
      <c r="GL56" s="55">
        <f>SUMIFS('Awards Summary'!$H:$H,'Awards Summary'!$B:$B,$C56,'Awards Summary'!$J:$J,"SRAA")</f>
        <v>0</v>
      </c>
      <c r="GM56" s="55">
        <f>SUMIFS('Disbursements Summary'!$E:$E,'Disbursements Summary'!$C:$C,$C56,'Disbursements Summary'!$A:$A,"SRAA")</f>
        <v>0</v>
      </c>
      <c r="GN56" s="55">
        <f>SUMIFS('Awards Summary'!$H:$H,'Awards Summary'!$B:$B,$C56,'Awards Summary'!$J:$J,"UNDC")</f>
        <v>0</v>
      </c>
      <c r="GO56" s="55">
        <f>SUMIFS('Disbursements Summary'!$E:$E,'Disbursements Summary'!$C:$C,$C56,'Disbursements Summary'!$A:$A,"UNDC")</f>
        <v>0</v>
      </c>
      <c r="GP56" s="55">
        <f>SUMIFS('Awards Summary'!$H:$H,'Awards Summary'!$B:$B,$C56,'Awards Summary'!$J:$J,"MVWA")</f>
        <v>0</v>
      </c>
      <c r="GQ56" s="55">
        <f>SUMIFS('Disbursements Summary'!$E:$E,'Disbursements Summary'!$C:$C,$C56,'Disbursements Summary'!$A:$A,"MVWA")</f>
        <v>0</v>
      </c>
      <c r="GR56" s="55">
        <f>SUMIFS('Awards Summary'!$H:$H,'Awards Summary'!$B:$B,$C56,'Awards Summary'!$J:$J,"WMC")</f>
        <v>0</v>
      </c>
      <c r="GS56" s="55">
        <f>SUMIFS('Disbursements Summary'!$E:$E,'Disbursements Summary'!$C:$C,$C56,'Disbursements Summary'!$A:$A,"WMC")</f>
        <v>0</v>
      </c>
      <c r="GT56" s="55">
        <f>SUMIFS('Awards Summary'!$H:$H,'Awards Summary'!$B:$B,$C56,'Awards Summary'!$J:$J,"WCB")</f>
        <v>0</v>
      </c>
      <c r="GU56" s="55">
        <f>SUMIFS('Disbursements Summary'!$E:$E,'Disbursements Summary'!$C:$C,$C56,'Disbursements Summary'!$A:$A,"WCB")</f>
        <v>0</v>
      </c>
      <c r="GV56" s="32">
        <f t="shared" si="5"/>
        <v>0</v>
      </c>
      <c r="GW56" s="32">
        <f t="shared" si="6"/>
        <v>0</v>
      </c>
      <c r="GX56" s="30" t="b">
        <f t="shared" si="7"/>
        <v>1</v>
      </c>
      <c r="GY56" s="30" t="b">
        <f t="shared" si="8"/>
        <v>1</v>
      </c>
    </row>
    <row r="57" spans="1:207" s="30" customFormat="1">
      <c r="A57" s="22" t="str">
        <f t="shared" si="0"/>
        <v/>
      </c>
      <c r="B57" s="40" t="s">
        <v>205</v>
      </c>
      <c r="C57" s="16">
        <v>151102</v>
      </c>
      <c r="D57" s="26">
        <f>COUNTIF('Awards Summary'!B:B,"151102")</f>
        <v>0</v>
      </c>
      <c r="E57" s="45">
        <f>SUMIFS('Awards Summary'!H:H,'Awards Summary'!B:B,"151102")</f>
        <v>0</v>
      </c>
      <c r="F57" s="46">
        <f>SUMIFS('Disbursements Summary'!E:E,'Disbursements Summary'!C:C, "151102")</f>
        <v>0</v>
      </c>
      <c r="H57" s="55">
        <f>SUMIFS('Awards Summary'!$H:$H,'Awards Summary'!$B:$B,$C57,'Awards Summary'!$J:$J,"APA")</f>
        <v>0</v>
      </c>
      <c r="I57" s="55">
        <f>SUMIFS('Disbursements Summary'!$E:$E,'Disbursements Summary'!$C:$C,$C57,'Disbursements Summary'!$A:$A,"APA")</f>
        <v>0</v>
      </c>
      <c r="J57" s="55">
        <f>SUMIFS('Awards Summary'!$H:$H,'Awards Summary'!$B:$B,$C57,'Awards Summary'!$J:$J,"Ag&amp;Horse")</f>
        <v>0</v>
      </c>
      <c r="K57" s="55">
        <f>SUMIFS('Disbursements Summary'!$E:$E,'Disbursements Summary'!$C:$C,$C57,'Disbursements Summary'!$A:$A,"Ag&amp;Horse")</f>
        <v>0</v>
      </c>
      <c r="L57" s="55">
        <f>SUMIFS('Awards Summary'!$H:$H,'Awards Summary'!$B:$B,$C57,'Awards Summary'!$J:$J,"ACAA")</f>
        <v>0</v>
      </c>
      <c r="M57" s="55">
        <f>SUMIFS('Disbursements Summary'!$E:$E,'Disbursements Summary'!$C:$C,$C57,'Disbursements Summary'!$A:$A,"ACAA")</f>
        <v>0</v>
      </c>
      <c r="N57" s="55">
        <f>SUMIFS('Awards Summary'!$H:$H,'Awards Summary'!$B:$B,$C57,'Awards Summary'!$J:$J,"PortAlbany")</f>
        <v>0</v>
      </c>
      <c r="O57" s="55">
        <f>SUMIFS('Disbursements Summary'!$E:$E,'Disbursements Summary'!$C:$C,$C57,'Disbursements Summary'!$A:$A,"PortAlbany")</f>
        <v>0</v>
      </c>
      <c r="P57" s="55">
        <f>SUMIFS('Awards Summary'!$H:$H,'Awards Summary'!$B:$B,$C57,'Awards Summary'!$J:$J,"SLA")</f>
        <v>0</v>
      </c>
      <c r="Q57" s="55">
        <f>SUMIFS('Disbursements Summary'!$E:$E,'Disbursements Summary'!$C:$C,$C57,'Disbursements Summary'!$A:$A,"SLA")</f>
        <v>0</v>
      </c>
      <c r="R57" s="55">
        <f>SUMIFS('Awards Summary'!$H:$H,'Awards Summary'!$B:$B,$C57,'Awards Summary'!$J:$J,"BPCA")</f>
        <v>0</v>
      </c>
      <c r="S57" s="55">
        <f>SUMIFS('Disbursements Summary'!$E:$E,'Disbursements Summary'!$C:$C,$C57,'Disbursements Summary'!$A:$A,"BPCA")</f>
        <v>0</v>
      </c>
      <c r="T57" s="55">
        <f>SUMIFS('Awards Summary'!$H:$H,'Awards Summary'!$B:$B,$C57,'Awards Summary'!$J:$J,"ELECTIONS")</f>
        <v>0</v>
      </c>
      <c r="U57" s="55">
        <f>SUMIFS('Disbursements Summary'!$E:$E,'Disbursements Summary'!$C:$C,$C57,'Disbursements Summary'!$A:$A,"ELECTIONS")</f>
        <v>0</v>
      </c>
      <c r="V57" s="55">
        <f>SUMIFS('Awards Summary'!$H:$H,'Awards Summary'!$B:$B,$C57,'Awards Summary'!$J:$J,"BFSA")</f>
        <v>0</v>
      </c>
      <c r="W57" s="55">
        <f>SUMIFS('Disbursements Summary'!$E:$E,'Disbursements Summary'!$C:$C,$C57,'Disbursements Summary'!$A:$A,"BFSA")</f>
        <v>0</v>
      </c>
      <c r="X57" s="55">
        <f>SUMIFS('Awards Summary'!$H:$H,'Awards Summary'!$B:$B,$C57,'Awards Summary'!$J:$J,"CDTA")</f>
        <v>0</v>
      </c>
      <c r="Y57" s="55">
        <f>SUMIFS('Disbursements Summary'!$E:$E,'Disbursements Summary'!$C:$C,$C57,'Disbursements Summary'!$A:$A,"CDTA")</f>
        <v>0</v>
      </c>
      <c r="Z57" s="55">
        <f>SUMIFS('Awards Summary'!$H:$H,'Awards Summary'!$B:$B,$C57,'Awards Summary'!$J:$J,"CCWSA")</f>
        <v>0</v>
      </c>
      <c r="AA57" s="55">
        <f>SUMIFS('Disbursements Summary'!$E:$E,'Disbursements Summary'!$C:$C,$C57,'Disbursements Summary'!$A:$A,"CCWSA")</f>
        <v>0</v>
      </c>
      <c r="AB57" s="55">
        <f>SUMIFS('Awards Summary'!$H:$H,'Awards Summary'!$B:$B,$C57,'Awards Summary'!$J:$J,"CNYRTA")</f>
        <v>0</v>
      </c>
      <c r="AC57" s="55">
        <f>SUMIFS('Disbursements Summary'!$E:$E,'Disbursements Summary'!$C:$C,$C57,'Disbursements Summary'!$A:$A,"CNYRTA")</f>
        <v>0</v>
      </c>
      <c r="AD57" s="55">
        <f>SUMIFS('Awards Summary'!$H:$H,'Awards Summary'!$B:$B,$C57,'Awards Summary'!$J:$J,"CUCF")</f>
        <v>0</v>
      </c>
      <c r="AE57" s="55">
        <f>SUMIFS('Disbursements Summary'!$E:$E,'Disbursements Summary'!$C:$C,$C57,'Disbursements Summary'!$A:$A,"CUCF")</f>
        <v>0</v>
      </c>
      <c r="AF57" s="55">
        <f>SUMIFS('Awards Summary'!$H:$H,'Awards Summary'!$B:$B,$C57,'Awards Summary'!$J:$J,"CUNY")</f>
        <v>0</v>
      </c>
      <c r="AG57" s="55">
        <f>SUMIFS('Disbursements Summary'!$E:$E,'Disbursements Summary'!$C:$C,$C57,'Disbursements Summary'!$A:$A,"CUNY")</f>
        <v>0</v>
      </c>
      <c r="AH57" s="55">
        <f>SUMIFS('Awards Summary'!$H:$H,'Awards Summary'!$B:$B,$C57,'Awards Summary'!$J:$J,"ARTS")</f>
        <v>0</v>
      </c>
      <c r="AI57" s="55">
        <f>SUMIFS('Disbursements Summary'!$E:$E,'Disbursements Summary'!$C:$C,$C57,'Disbursements Summary'!$A:$A,"ARTS")</f>
        <v>0</v>
      </c>
      <c r="AJ57" s="55">
        <f>SUMIFS('Awards Summary'!$H:$H,'Awards Summary'!$B:$B,$C57,'Awards Summary'!$J:$J,"AG&amp;MKTS")</f>
        <v>0</v>
      </c>
      <c r="AK57" s="55">
        <f>SUMIFS('Disbursements Summary'!$E:$E,'Disbursements Summary'!$C:$C,$C57,'Disbursements Summary'!$A:$A,"AG&amp;MKTS")</f>
        <v>0</v>
      </c>
      <c r="AL57" s="55">
        <f>SUMIFS('Awards Summary'!$H:$H,'Awards Summary'!$B:$B,$C57,'Awards Summary'!$J:$J,"CS")</f>
        <v>0</v>
      </c>
      <c r="AM57" s="55">
        <f>SUMIFS('Disbursements Summary'!$E:$E,'Disbursements Summary'!$C:$C,$C57,'Disbursements Summary'!$A:$A,"CS")</f>
        <v>0</v>
      </c>
      <c r="AN57" s="55">
        <f>SUMIFS('Awards Summary'!$H:$H,'Awards Summary'!$B:$B,$C57,'Awards Summary'!$J:$J,"DOCCS")</f>
        <v>0</v>
      </c>
      <c r="AO57" s="55">
        <f>SUMIFS('Disbursements Summary'!$E:$E,'Disbursements Summary'!$C:$C,$C57,'Disbursements Summary'!$A:$A,"DOCCS")</f>
        <v>0</v>
      </c>
      <c r="AP57" s="55">
        <f>SUMIFS('Awards Summary'!$H:$H,'Awards Summary'!$B:$B,$C57,'Awards Summary'!$J:$J,"DED")</f>
        <v>0</v>
      </c>
      <c r="AQ57" s="55">
        <f>SUMIFS('Disbursements Summary'!$E:$E,'Disbursements Summary'!$C:$C,$C57,'Disbursements Summary'!$A:$A,"DED")</f>
        <v>0</v>
      </c>
      <c r="AR57" s="55">
        <f>SUMIFS('Awards Summary'!$H:$H,'Awards Summary'!$B:$B,$C57,'Awards Summary'!$J:$J,"DEC")</f>
        <v>0</v>
      </c>
      <c r="AS57" s="55">
        <f>SUMIFS('Disbursements Summary'!$E:$E,'Disbursements Summary'!$C:$C,$C57,'Disbursements Summary'!$A:$A,"DEC")</f>
        <v>0</v>
      </c>
      <c r="AT57" s="55">
        <f>SUMIFS('Awards Summary'!$H:$H,'Awards Summary'!$B:$B,$C57,'Awards Summary'!$J:$J,"DFS")</f>
        <v>0</v>
      </c>
      <c r="AU57" s="55">
        <f>SUMIFS('Disbursements Summary'!$E:$E,'Disbursements Summary'!$C:$C,$C57,'Disbursements Summary'!$A:$A,"DFS")</f>
        <v>0</v>
      </c>
      <c r="AV57" s="55">
        <f>SUMIFS('Awards Summary'!$H:$H,'Awards Summary'!$B:$B,$C57,'Awards Summary'!$J:$J,"DOH")</f>
        <v>0</v>
      </c>
      <c r="AW57" s="55">
        <f>SUMIFS('Disbursements Summary'!$E:$E,'Disbursements Summary'!$C:$C,$C57,'Disbursements Summary'!$A:$A,"DOH")</f>
        <v>0</v>
      </c>
      <c r="AX57" s="55">
        <f>SUMIFS('Awards Summary'!$H:$H,'Awards Summary'!$B:$B,$C57,'Awards Summary'!$J:$J,"DOL")</f>
        <v>0</v>
      </c>
      <c r="AY57" s="55">
        <f>SUMIFS('Disbursements Summary'!$E:$E,'Disbursements Summary'!$C:$C,$C57,'Disbursements Summary'!$A:$A,"DOL")</f>
        <v>0</v>
      </c>
      <c r="AZ57" s="55">
        <f>SUMIFS('Awards Summary'!$H:$H,'Awards Summary'!$B:$B,$C57,'Awards Summary'!$J:$J,"DMV")</f>
        <v>0</v>
      </c>
      <c r="BA57" s="55">
        <f>SUMIFS('Disbursements Summary'!$E:$E,'Disbursements Summary'!$C:$C,$C57,'Disbursements Summary'!$A:$A,"DMV")</f>
        <v>0</v>
      </c>
      <c r="BB57" s="55">
        <f>SUMIFS('Awards Summary'!$H:$H,'Awards Summary'!$B:$B,$C57,'Awards Summary'!$J:$J,"DPS")</f>
        <v>0</v>
      </c>
      <c r="BC57" s="55">
        <f>SUMIFS('Disbursements Summary'!$E:$E,'Disbursements Summary'!$C:$C,$C57,'Disbursements Summary'!$A:$A,"DPS")</f>
        <v>0</v>
      </c>
      <c r="BD57" s="55">
        <f>SUMIFS('Awards Summary'!$H:$H,'Awards Summary'!$B:$B,$C57,'Awards Summary'!$J:$J,"DOS")</f>
        <v>0</v>
      </c>
      <c r="BE57" s="55">
        <f>SUMIFS('Disbursements Summary'!$E:$E,'Disbursements Summary'!$C:$C,$C57,'Disbursements Summary'!$A:$A,"DOS")</f>
        <v>0</v>
      </c>
      <c r="BF57" s="55">
        <f>SUMIFS('Awards Summary'!$H:$H,'Awards Summary'!$B:$B,$C57,'Awards Summary'!$J:$J,"TAX")</f>
        <v>0</v>
      </c>
      <c r="BG57" s="55">
        <f>SUMIFS('Disbursements Summary'!$E:$E,'Disbursements Summary'!$C:$C,$C57,'Disbursements Summary'!$A:$A,"TAX")</f>
        <v>0</v>
      </c>
      <c r="BH57" s="55">
        <f>SUMIFS('Awards Summary'!$H:$H,'Awards Summary'!$B:$B,$C57,'Awards Summary'!$J:$J,"DOT")</f>
        <v>0</v>
      </c>
      <c r="BI57" s="55">
        <f>SUMIFS('Disbursements Summary'!$E:$E,'Disbursements Summary'!$C:$C,$C57,'Disbursements Summary'!$A:$A,"DOT")</f>
        <v>0</v>
      </c>
      <c r="BJ57" s="55">
        <f>SUMIFS('Awards Summary'!$H:$H,'Awards Summary'!$B:$B,$C57,'Awards Summary'!$J:$J,"DANC")</f>
        <v>0</v>
      </c>
      <c r="BK57" s="55">
        <f>SUMIFS('Disbursements Summary'!$E:$E,'Disbursements Summary'!$C:$C,$C57,'Disbursements Summary'!$A:$A,"DANC")</f>
        <v>0</v>
      </c>
      <c r="BL57" s="55">
        <f>SUMIFS('Awards Summary'!$H:$H,'Awards Summary'!$B:$B,$C57,'Awards Summary'!$J:$J,"DOB")</f>
        <v>0</v>
      </c>
      <c r="BM57" s="55">
        <f>SUMIFS('Disbursements Summary'!$E:$E,'Disbursements Summary'!$C:$C,$C57,'Disbursements Summary'!$A:$A,"DOB")</f>
        <v>0</v>
      </c>
      <c r="BN57" s="55">
        <f>SUMIFS('Awards Summary'!$H:$H,'Awards Summary'!$B:$B,$C57,'Awards Summary'!$J:$J,"DCJS")</f>
        <v>0</v>
      </c>
      <c r="BO57" s="55">
        <f>SUMIFS('Disbursements Summary'!$E:$E,'Disbursements Summary'!$C:$C,$C57,'Disbursements Summary'!$A:$A,"DCJS")</f>
        <v>0</v>
      </c>
      <c r="BP57" s="55">
        <f>SUMIFS('Awards Summary'!$H:$H,'Awards Summary'!$B:$B,$C57,'Awards Summary'!$J:$J,"DHSES")</f>
        <v>0</v>
      </c>
      <c r="BQ57" s="55">
        <f>SUMIFS('Disbursements Summary'!$E:$E,'Disbursements Summary'!$C:$C,$C57,'Disbursements Summary'!$A:$A,"DHSES")</f>
        <v>0</v>
      </c>
      <c r="BR57" s="55">
        <f>SUMIFS('Awards Summary'!$H:$H,'Awards Summary'!$B:$B,$C57,'Awards Summary'!$J:$J,"DHR")</f>
        <v>0</v>
      </c>
      <c r="BS57" s="55">
        <f>SUMIFS('Disbursements Summary'!$E:$E,'Disbursements Summary'!$C:$C,$C57,'Disbursements Summary'!$A:$A,"DHR")</f>
        <v>0</v>
      </c>
      <c r="BT57" s="55">
        <f>SUMIFS('Awards Summary'!$H:$H,'Awards Summary'!$B:$B,$C57,'Awards Summary'!$J:$J,"DMNA")</f>
        <v>0</v>
      </c>
      <c r="BU57" s="55">
        <f>SUMIFS('Disbursements Summary'!$E:$E,'Disbursements Summary'!$C:$C,$C57,'Disbursements Summary'!$A:$A,"DMNA")</f>
        <v>0</v>
      </c>
      <c r="BV57" s="55">
        <f>SUMIFS('Awards Summary'!$H:$H,'Awards Summary'!$B:$B,$C57,'Awards Summary'!$J:$J,"TROOPERS")</f>
        <v>0</v>
      </c>
      <c r="BW57" s="55">
        <f>SUMIFS('Disbursements Summary'!$E:$E,'Disbursements Summary'!$C:$C,$C57,'Disbursements Summary'!$A:$A,"TROOPERS")</f>
        <v>0</v>
      </c>
      <c r="BX57" s="55">
        <f>SUMIFS('Awards Summary'!$H:$H,'Awards Summary'!$B:$B,$C57,'Awards Summary'!$J:$J,"DVA")</f>
        <v>0</v>
      </c>
      <c r="BY57" s="55">
        <f>SUMIFS('Disbursements Summary'!$E:$E,'Disbursements Summary'!$C:$C,$C57,'Disbursements Summary'!$A:$A,"DVA")</f>
        <v>0</v>
      </c>
      <c r="BZ57" s="55">
        <f>SUMIFS('Awards Summary'!$H:$H,'Awards Summary'!$B:$B,$C57,'Awards Summary'!$J:$J,"DASNY")</f>
        <v>0</v>
      </c>
      <c r="CA57" s="55">
        <f>SUMIFS('Disbursements Summary'!$E:$E,'Disbursements Summary'!$C:$C,$C57,'Disbursements Summary'!$A:$A,"DASNY")</f>
        <v>0</v>
      </c>
      <c r="CB57" s="55">
        <f>SUMIFS('Awards Summary'!$H:$H,'Awards Summary'!$B:$B,$C57,'Awards Summary'!$J:$J,"EGG")</f>
        <v>0</v>
      </c>
      <c r="CC57" s="55">
        <f>SUMIFS('Disbursements Summary'!$E:$E,'Disbursements Summary'!$C:$C,$C57,'Disbursements Summary'!$A:$A,"EGG")</f>
        <v>0</v>
      </c>
      <c r="CD57" s="55">
        <f>SUMIFS('Awards Summary'!$H:$H,'Awards Summary'!$B:$B,$C57,'Awards Summary'!$J:$J,"ESD")</f>
        <v>0</v>
      </c>
      <c r="CE57" s="55">
        <f>SUMIFS('Disbursements Summary'!$E:$E,'Disbursements Summary'!$C:$C,$C57,'Disbursements Summary'!$A:$A,"ESD")</f>
        <v>0</v>
      </c>
      <c r="CF57" s="55">
        <f>SUMIFS('Awards Summary'!$H:$H,'Awards Summary'!$B:$B,$C57,'Awards Summary'!$J:$J,"EFC")</f>
        <v>0</v>
      </c>
      <c r="CG57" s="55">
        <f>SUMIFS('Disbursements Summary'!$E:$E,'Disbursements Summary'!$C:$C,$C57,'Disbursements Summary'!$A:$A,"EFC")</f>
        <v>0</v>
      </c>
      <c r="CH57" s="55">
        <f>SUMIFS('Awards Summary'!$H:$H,'Awards Summary'!$B:$B,$C57,'Awards Summary'!$J:$J,"ECFSA")</f>
        <v>0</v>
      </c>
      <c r="CI57" s="55">
        <f>SUMIFS('Disbursements Summary'!$E:$E,'Disbursements Summary'!$C:$C,$C57,'Disbursements Summary'!$A:$A,"ECFSA")</f>
        <v>0</v>
      </c>
      <c r="CJ57" s="55">
        <f>SUMIFS('Awards Summary'!$H:$H,'Awards Summary'!$B:$B,$C57,'Awards Summary'!$J:$J,"ECMC")</f>
        <v>0</v>
      </c>
      <c r="CK57" s="55">
        <f>SUMIFS('Disbursements Summary'!$E:$E,'Disbursements Summary'!$C:$C,$C57,'Disbursements Summary'!$A:$A,"ECMC")</f>
        <v>0</v>
      </c>
      <c r="CL57" s="55">
        <f>SUMIFS('Awards Summary'!$H:$H,'Awards Summary'!$B:$B,$C57,'Awards Summary'!$J:$J,"CHAMBER")</f>
        <v>0</v>
      </c>
      <c r="CM57" s="55">
        <f>SUMIFS('Disbursements Summary'!$E:$E,'Disbursements Summary'!$C:$C,$C57,'Disbursements Summary'!$A:$A,"CHAMBER")</f>
        <v>0</v>
      </c>
      <c r="CN57" s="55">
        <f>SUMIFS('Awards Summary'!$H:$H,'Awards Summary'!$B:$B,$C57,'Awards Summary'!$J:$J,"GAMING")</f>
        <v>0</v>
      </c>
      <c r="CO57" s="55">
        <f>SUMIFS('Disbursements Summary'!$E:$E,'Disbursements Summary'!$C:$C,$C57,'Disbursements Summary'!$A:$A,"GAMING")</f>
        <v>0</v>
      </c>
      <c r="CP57" s="55">
        <f>SUMIFS('Awards Summary'!$H:$H,'Awards Summary'!$B:$B,$C57,'Awards Summary'!$J:$J,"GOER")</f>
        <v>0</v>
      </c>
      <c r="CQ57" s="55">
        <f>SUMIFS('Disbursements Summary'!$E:$E,'Disbursements Summary'!$C:$C,$C57,'Disbursements Summary'!$A:$A,"GOER")</f>
        <v>0</v>
      </c>
      <c r="CR57" s="55">
        <f>SUMIFS('Awards Summary'!$H:$H,'Awards Summary'!$B:$B,$C57,'Awards Summary'!$J:$J,"HESC")</f>
        <v>0</v>
      </c>
      <c r="CS57" s="55">
        <f>SUMIFS('Disbursements Summary'!$E:$E,'Disbursements Summary'!$C:$C,$C57,'Disbursements Summary'!$A:$A,"HESC")</f>
        <v>0</v>
      </c>
      <c r="CT57" s="55">
        <f>SUMIFS('Awards Summary'!$H:$H,'Awards Summary'!$B:$B,$C57,'Awards Summary'!$J:$J,"GOSR")</f>
        <v>0</v>
      </c>
      <c r="CU57" s="55">
        <f>SUMIFS('Disbursements Summary'!$E:$E,'Disbursements Summary'!$C:$C,$C57,'Disbursements Summary'!$A:$A,"GOSR")</f>
        <v>0</v>
      </c>
      <c r="CV57" s="55">
        <f>SUMIFS('Awards Summary'!$H:$H,'Awards Summary'!$B:$B,$C57,'Awards Summary'!$J:$J,"HRPT")</f>
        <v>0</v>
      </c>
      <c r="CW57" s="55">
        <f>SUMIFS('Disbursements Summary'!$E:$E,'Disbursements Summary'!$C:$C,$C57,'Disbursements Summary'!$A:$A,"HRPT")</f>
        <v>0</v>
      </c>
      <c r="CX57" s="55">
        <f>SUMIFS('Awards Summary'!$H:$H,'Awards Summary'!$B:$B,$C57,'Awards Summary'!$J:$J,"HRBRRD")</f>
        <v>0</v>
      </c>
      <c r="CY57" s="55">
        <f>SUMIFS('Disbursements Summary'!$E:$E,'Disbursements Summary'!$C:$C,$C57,'Disbursements Summary'!$A:$A,"HRBRRD")</f>
        <v>0</v>
      </c>
      <c r="CZ57" s="55">
        <f>SUMIFS('Awards Summary'!$H:$H,'Awards Summary'!$B:$B,$C57,'Awards Summary'!$J:$J,"ITS")</f>
        <v>0</v>
      </c>
      <c r="DA57" s="55">
        <f>SUMIFS('Disbursements Summary'!$E:$E,'Disbursements Summary'!$C:$C,$C57,'Disbursements Summary'!$A:$A,"ITS")</f>
        <v>0</v>
      </c>
      <c r="DB57" s="55">
        <f>SUMIFS('Awards Summary'!$H:$H,'Awards Summary'!$B:$B,$C57,'Awards Summary'!$J:$J,"JAVITS")</f>
        <v>0</v>
      </c>
      <c r="DC57" s="55">
        <f>SUMIFS('Disbursements Summary'!$E:$E,'Disbursements Summary'!$C:$C,$C57,'Disbursements Summary'!$A:$A,"JAVITS")</f>
        <v>0</v>
      </c>
      <c r="DD57" s="55">
        <f>SUMIFS('Awards Summary'!$H:$H,'Awards Summary'!$B:$B,$C57,'Awards Summary'!$J:$J,"JCOPE")</f>
        <v>0</v>
      </c>
      <c r="DE57" s="55">
        <f>SUMIFS('Disbursements Summary'!$E:$E,'Disbursements Summary'!$C:$C,$C57,'Disbursements Summary'!$A:$A,"JCOPE")</f>
        <v>0</v>
      </c>
      <c r="DF57" s="55">
        <f>SUMIFS('Awards Summary'!$H:$H,'Awards Summary'!$B:$B,$C57,'Awards Summary'!$J:$J,"JUSTICE")</f>
        <v>0</v>
      </c>
      <c r="DG57" s="55">
        <f>SUMIFS('Disbursements Summary'!$E:$E,'Disbursements Summary'!$C:$C,$C57,'Disbursements Summary'!$A:$A,"JUSTICE")</f>
        <v>0</v>
      </c>
      <c r="DH57" s="55">
        <f>SUMIFS('Awards Summary'!$H:$H,'Awards Summary'!$B:$B,$C57,'Awards Summary'!$J:$J,"LCWSA")</f>
        <v>0</v>
      </c>
      <c r="DI57" s="55">
        <f>SUMIFS('Disbursements Summary'!$E:$E,'Disbursements Summary'!$C:$C,$C57,'Disbursements Summary'!$A:$A,"LCWSA")</f>
        <v>0</v>
      </c>
      <c r="DJ57" s="55">
        <f>SUMIFS('Awards Summary'!$H:$H,'Awards Summary'!$B:$B,$C57,'Awards Summary'!$J:$J,"LIPA")</f>
        <v>0</v>
      </c>
      <c r="DK57" s="55">
        <f>SUMIFS('Disbursements Summary'!$E:$E,'Disbursements Summary'!$C:$C,$C57,'Disbursements Summary'!$A:$A,"LIPA")</f>
        <v>0</v>
      </c>
      <c r="DL57" s="55">
        <f>SUMIFS('Awards Summary'!$H:$H,'Awards Summary'!$B:$B,$C57,'Awards Summary'!$J:$J,"MTA")</f>
        <v>0</v>
      </c>
      <c r="DM57" s="55">
        <f>SUMIFS('Disbursements Summary'!$E:$E,'Disbursements Summary'!$C:$C,$C57,'Disbursements Summary'!$A:$A,"MTA")</f>
        <v>0</v>
      </c>
      <c r="DN57" s="55">
        <f>SUMIFS('Awards Summary'!$H:$H,'Awards Summary'!$B:$B,$C57,'Awards Summary'!$J:$J,"NIFA")</f>
        <v>0</v>
      </c>
      <c r="DO57" s="55">
        <f>SUMIFS('Disbursements Summary'!$E:$E,'Disbursements Summary'!$C:$C,$C57,'Disbursements Summary'!$A:$A,"NIFA")</f>
        <v>0</v>
      </c>
      <c r="DP57" s="55">
        <f>SUMIFS('Awards Summary'!$H:$H,'Awards Summary'!$B:$B,$C57,'Awards Summary'!$J:$J,"NHCC")</f>
        <v>0</v>
      </c>
      <c r="DQ57" s="55">
        <f>SUMIFS('Disbursements Summary'!$E:$E,'Disbursements Summary'!$C:$C,$C57,'Disbursements Summary'!$A:$A,"NHCC")</f>
        <v>0</v>
      </c>
      <c r="DR57" s="55">
        <f>SUMIFS('Awards Summary'!$H:$H,'Awards Summary'!$B:$B,$C57,'Awards Summary'!$J:$J,"NHT")</f>
        <v>0</v>
      </c>
      <c r="DS57" s="55">
        <f>SUMIFS('Disbursements Summary'!$E:$E,'Disbursements Summary'!$C:$C,$C57,'Disbursements Summary'!$A:$A,"NHT")</f>
        <v>0</v>
      </c>
      <c r="DT57" s="55">
        <f>SUMIFS('Awards Summary'!$H:$H,'Awards Summary'!$B:$B,$C57,'Awards Summary'!$J:$J,"NYPA")</f>
        <v>0</v>
      </c>
      <c r="DU57" s="55">
        <f>SUMIFS('Disbursements Summary'!$E:$E,'Disbursements Summary'!$C:$C,$C57,'Disbursements Summary'!$A:$A,"NYPA")</f>
        <v>0</v>
      </c>
      <c r="DV57" s="55">
        <f>SUMIFS('Awards Summary'!$H:$H,'Awards Summary'!$B:$B,$C57,'Awards Summary'!$J:$J,"NYSBA")</f>
        <v>0</v>
      </c>
      <c r="DW57" s="55">
        <f>SUMIFS('Disbursements Summary'!$E:$E,'Disbursements Summary'!$C:$C,$C57,'Disbursements Summary'!$A:$A,"NYSBA")</f>
        <v>0</v>
      </c>
      <c r="DX57" s="55">
        <f>SUMIFS('Awards Summary'!$H:$H,'Awards Summary'!$B:$B,$C57,'Awards Summary'!$J:$J,"NYSERDA")</f>
        <v>0</v>
      </c>
      <c r="DY57" s="55">
        <f>SUMIFS('Disbursements Summary'!$E:$E,'Disbursements Summary'!$C:$C,$C57,'Disbursements Summary'!$A:$A,"NYSERDA")</f>
        <v>0</v>
      </c>
      <c r="DZ57" s="55">
        <f>SUMIFS('Awards Summary'!$H:$H,'Awards Summary'!$B:$B,$C57,'Awards Summary'!$J:$J,"DHCR")</f>
        <v>0</v>
      </c>
      <c r="EA57" s="55">
        <f>SUMIFS('Disbursements Summary'!$E:$E,'Disbursements Summary'!$C:$C,$C57,'Disbursements Summary'!$A:$A,"DHCR")</f>
        <v>0</v>
      </c>
      <c r="EB57" s="55">
        <f>SUMIFS('Awards Summary'!$H:$H,'Awards Summary'!$B:$B,$C57,'Awards Summary'!$J:$J,"HFA")</f>
        <v>0</v>
      </c>
      <c r="EC57" s="55">
        <f>SUMIFS('Disbursements Summary'!$E:$E,'Disbursements Summary'!$C:$C,$C57,'Disbursements Summary'!$A:$A,"HFA")</f>
        <v>0</v>
      </c>
      <c r="ED57" s="55">
        <f>SUMIFS('Awards Summary'!$H:$H,'Awards Summary'!$B:$B,$C57,'Awards Summary'!$J:$J,"NYSIF")</f>
        <v>0</v>
      </c>
      <c r="EE57" s="55">
        <f>SUMIFS('Disbursements Summary'!$E:$E,'Disbursements Summary'!$C:$C,$C57,'Disbursements Summary'!$A:$A,"NYSIF")</f>
        <v>0</v>
      </c>
      <c r="EF57" s="55">
        <f>SUMIFS('Awards Summary'!$H:$H,'Awards Summary'!$B:$B,$C57,'Awards Summary'!$J:$J,"NYBREDS")</f>
        <v>0</v>
      </c>
      <c r="EG57" s="55">
        <f>SUMIFS('Disbursements Summary'!$E:$E,'Disbursements Summary'!$C:$C,$C57,'Disbursements Summary'!$A:$A,"NYBREDS")</f>
        <v>0</v>
      </c>
      <c r="EH57" s="55">
        <f>SUMIFS('Awards Summary'!$H:$H,'Awards Summary'!$B:$B,$C57,'Awards Summary'!$J:$J,"NYSTA")</f>
        <v>0</v>
      </c>
      <c r="EI57" s="55">
        <f>SUMIFS('Disbursements Summary'!$E:$E,'Disbursements Summary'!$C:$C,$C57,'Disbursements Summary'!$A:$A,"NYSTA")</f>
        <v>0</v>
      </c>
      <c r="EJ57" s="55">
        <f>SUMIFS('Awards Summary'!$H:$H,'Awards Summary'!$B:$B,$C57,'Awards Summary'!$J:$J,"NFWB")</f>
        <v>0</v>
      </c>
      <c r="EK57" s="55">
        <f>SUMIFS('Disbursements Summary'!$E:$E,'Disbursements Summary'!$C:$C,$C57,'Disbursements Summary'!$A:$A,"NFWB")</f>
        <v>0</v>
      </c>
      <c r="EL57" s="55">
        <f>SUMIFS('Awards Summary'!$H:$H,'Awards Summary'!$B:$B,$C57,'Awards Summary'!$J:$J,"NFTA")</f>
        <v>0</v>
      </c>
      <c r="EM57" s="55">
        <f>SUMIFS('Disbursements Summary'!$E:$E,'Disbursements Summary'!$C:$C,$C57,'Disbursements Summary'!$A:$A,"NFTA")</f>
        <v>0</v>
      </c>
      <c r="EN57" s="55">
        <f>SUMIFS('Awards Summary'!$H:$H,'Awards Summary'!$B:$B,$C57,'Awards Summary'!$J:$J,"OPWDD")</f>
        <v>0</v>
      </c>
      <c r="EO57" s="55">
        <f>SUMIFS('Disbursements Summary'!$E:$E,'Disbursements Summary'!$C:$C,$C57,'Disbursements Summary'!$A:$A,"OPWDD")</f>
        <v>0</v>
      </c>
      <c r="EP57" s="55">
        <f>SUMIFS('Awards Summary'!$H:$H,'Awards Summary'!$B:$B,$C57,'Awards Summary'!$J:$J,"AGING")</f>
        <v>0</v>
      </c>
      <c r="EQ57" s="55">
        <f>SUMIFS('Disbursements Summary'!$E:$E,'Disbursements Summary'!$C:$C,$C57,'Disbursements Summary'!$A:$A,"AGING")</f>
        <v>0</v>
      </c>
      <c r="ER57" s="55">
        <f>SUMIFS('Awards Summary'!$H:$H,'Awards Summary'!$B:$B,$C57,'Awards Summary'!$J:$J,"OPDV")</f>
        <v>0</v>
      </c>
      <c r="ES57" s="55">
        <f>SUMIFS('Disbursements Summary'!$E:$E,'Disbursements Summary'!$C:$C,$C57,'Disbursements Summary'!$A:$A,"OPDV")</f>
        <v>0</v>
      </c>
      <c r="ET57" s="55">
        <f>SUMIFS('Awards Summary'!$H:$H,'Awards Summary'!$B:$B,$C57,'Awards Summary'!$J:$J,"OVS")</f>
        <v>0</v>
      </c>
      <c r="EU57" s="55">
        <f>SUMIFS('Disbursements Summary'!$E:$E,'Disbursements Summary'!$C:$C,$C57,'Disbursements Summary'!$A:$A,"OVS")</f>
        <v>0</v>
      </c>
      <c r="EV57" s="55">
        <f>SUMIFS('Awards Summary'!$H:$H,'Awards Summary'!$B:$B,$C57,'Awards Summary'!$J:$J,"OASAS")</f>
        <v>0</v>
      </c>
      <c r="EW57" s="55">
        <f>SUMIFS('Disbursements Summary'!$E:$E,'Disbursements Summary'!$C:$C,$C57,'Disbursements Summary'!$A:$A,"OASAS")</f>
        <v>0</v>
      </c>
      <c r="EX57" s="55">
        <f>SUMIFS('Awards Summary'!$H:$H,'Awards Summary'!$B:$B,$C57,'Awards Summary'!$J:$J,"OCFS")</f>
        <v>0</v>
      </c>
      <c r="EY57" s="55">
        <f>SUMIFS('Disbursements Summary'!$E:$E,'Disbursements Summary'!$C:$C,$C57,'Disbursements Summary'!$A:$A,"OCFS")</f>
        <v>0</v>
      </c>
      <c r="EZ57" s="55">
        <f>SUMIFS('Awards Summary'!$H:$H,'Awards Summary'!$B:$B,$C57,'Awards Summary'!$J:$J,"OGS")</f>
        <v>0</v>
      </c>
      <c r="FA57" s="55">
        <f>SUMIFS('Disbursements Summary'!$E:$E,'Disbursements Summary'!$C:$C,$C57,'Disbursements Summary'!$A:$A,"OGS")</f>
        <v>0</v>
      </c>
      <c r="FB57" s="55">
        <f>SUMIFS('Awards Summary'!$H:$H,'Awards Summary'!$B:$B,$C57,'Awards Summary'!$J:$J,"OMH")</f>
        <v>0</v>
      </c>
      <c r="FC57" s="55">
        <f>SUMIFS('Disbursements Summary'!$E:$E,'Disbursements Summary'!$C:$C,$C57,'Disbursements Summary'!$A:$A,"OMH")</f>
        <v>0</v>
      </c>
      <c r="FD57" s="55">
        <f>SUMIFS('Awards Summary'!$H:$H,'Awards Summary'!$B:$B,$C57,'Awards Summary'!$J:$J,"PARKS")</f>
        <v>0</v>
      </c>
      <c r="FE57" s="55">
        <f>SUMIFS('Disbursements Summary'!$E:$E,'Disbursements Summary'!$C:$C,$C57,'Disbursements Summary'!$A:$A,"PARKS")</f>
        <v>0</v>
      </c>
      <c r="FF57" s="55">
        <f>SUMIFS('Awards Summary'!$H:$H,'Awards Summary'!$B:$B,$C57,'Awards Summary'!$J:$J,"OTDA")</f>
        <v>0</v>
      </c>
      <c r="FG57" s="55">
        <f>SUMIFS('Disbursements Summary'!$E:$E,'Disbursements Summary'!$C:$C,$C57,'Disbursements Summary'!$A:$A,"OTDA")</f>
        <v>0</v>
      </c>
      <c r="FH57" s="55">
        <f>SUMIFS('Awards Summary'!$H:$H,'Awards Summary'!$B:$B,$C57,'Awards Summary'!$J:$J,"OIG")</f>
        <v>0</v>
      </c>
      <c r="FI57" s="55">
        <f>SUMIFS('Disbursements Summary'!$E:$E,'Disbursements Summary'!$C:$C,$C57,'Disbursements Summary'!$A:$A,"OIG")</f>
        <v>0</v>
      </c>
      <c r="FJ57" s="55">
        <f>SUMIFS('Awards Summary'!$H:$H,'Awards Summary'!$B:$B,$C57,'Awards Summary'!$J:$J,"OMIG")</f>
        <v>0</v>
      </c>
      <c r="FK57" s="55">
        <f>SUMIFS('Disbursements Summary'!$E:$E,'Disbursements Summary'!$C:$C,$C57,'Disbursements Summary'!$A:$A,"OMIG")</f>
        <v>0</v>
      </c>
      <c r="FL57" s="55">
        <f>SUMIFS('Awards Summary'!$H:$H,'Awards Summary'!$B:$B,$C57,'Awards Summary'!$J:$J,"OSC")</f>
        <v>0</v>
      </c>
      <c r="FM57" s="55">
        <f>SUMIFS('Disbursements Summary'!$E:$E,'Disbursements Summary'!$C:$C,$C57,'Disbursements Summary'!$A:$A,"OSC")</f>
        <v>0</v>
      </c>
      <c r="FN57" s="55">
        <f>SUMIFS('Awards Summary'!$H:$H,'Awards Summary'!$B:$B,$C57,'Awards Summary'!$J:$J,"OWIG")</f>
        <v>0</v>
      </c>
      <c r="FO57" s="55">
        <f>SUMIFS('Disbursements Summary'!$E:$E,'Disbursements Summary'!$C:$C,$C57,'Disbursements Summary'!$A:$A,"OWIG")</f>
        <v>0</v>
      </c>
      <c r="FP57" s="55">
        <f>SUMIFS('Awards Summary'!$H:$H,'Awards Summary'!$B:$B,$C57,'Awards Summary'!$J:$J,"OGDEN")</f>
        <v>0</v>
      </c>
      <c r="FQ57" s="55">
        <f>SUMIFS('Disbursements Summary'!$E:$E,'Disbursements Summary'!$C:$C,$C57,'Disbursements Summary'!$A:$A,"OGDEN")</f>
        <v>0</v>
      </c>
      <c r="FR57" s="55">
        <f>SUMIFS('Awards Summary'!$H:$H,'Awards Summary'!$B:$B,$C57,'Awards Summary'!$J:$J,"ORDA")</f>
        <v>0</v>
      </c>
      <c r="FS57" s="55">
        <f>SUMIFS('Disbursements Summary'!$E:$E,'Disbursements Summary'!$C:$C,$C57,'Disbursements Summary'!$A:$A,"ORDA")</f>
        <v>0</v>
      </c>
      <c r="FT57" s="55">
        <f>SUMIFS('Awards Summary'!$H:$H,'Awards Summary'!$B:$B,$C57,'Awards Summary'!$J:$J,"OSWEGO")</f>
        <v>0</v>
      </c>
      <c r="FU57" s="55">
        <f>SUMIFS('Disbursements Summary'!$E:$E,'Disbursements Summary'!$C:$C,$C57,'Disbursements Summary'!$A:$A,"OSWEGO")</f>
        <v>0</v>
      </c>
      <c r="FV57" s="55">
        <f>SUMIFS('Awards Summary'!$H:$H,'Awards Summary'!$B:$B,$C57,'Awards Summary'!$J:$J,"PERB")</f>
        <v>0</v>
      </c>
      <c r="FW57" s="55">
        <f>SUMIFS('Disbursements Summary'!$E:$E,'Disbursements Summary'!$C:$C,$C57,'Disbursements Summary'!$A:$A,"PERB")</f>
        <v>0</v>
      </c>
      <c r="FX57" s="55">
        <f>SUMIFS('Awards Summary'!$H:$H,'Awards Summary'!$B:$B,$C57,'Awards Summary'!$J:$J,"RGRTA")</f>
        <v>0</v>
      </c>
      <c r="FY57" s="55">
        <f>SUMIFS('Disbursements Summary'!$E:$E,'Disbursements Summary'!$C:$C,$C57,'Disbursements Summary'!$A:$A,"RGRTA")</f>
        <v>0</v>
      </c>
      <c r="FZ57" s="55">
        <f>SUMIFS('Awards Summary'!$H:$H,'Awards Summary'!$B:$B,$C57,'Awards Summary'!$J:$J,"RIOC")</f>
        <v>0</v>
      </c>
      <c r="GA57" s="55">
        <f>SUMIFS('Disbursements Summary'!$E:$E,'Disbursements Summary'!$C:$C,$C57,'Disbursements Summary'!$A:$A,"RIOC")</f>
        <v>0</v>
      </c>
      <c r="GB57" s="55">
        <f>SUMIFS('Awards Summary'!$H:$H,'Awards Summary'!$B:$B,$C57,'Awards Summary'!$J:$J,"RPCI")</f>
        <v>0</v>
      </c>
      <c r="GC57" s="55">
        <f>SUMIFS('Disbursements Summary'!$E:$E,'Disbursements Summary'!$C:$C,$C57,'Disbursements Summary'!$A:$A,"RPCI")</f>
        <v>0</v>
      </c>
      <c r="GD57" s="55">
        <f>SUMIFS('Awards Summary'!$H:$H,'Awards Summary'!$B:$B,$C57,'Awards Summary'!$J:$J,"SMDA")</f>
        <v>0</v>
      </c>
      <c r="GE57" s="55">
        <f>SUMIFS('Disbursements Summary'!$E:$E,'Disbursements Summary'!$C:$C,$C57,'Disbursements Summary'!$A:$A,"SMDA")</f>
        <v>0</v>
      </c>
      <c r="GF57" s="55">
        <f>SUMIFS('Awards Summary'!$H:$H,'Awards Summary'!$B:$B,$C57,'Awards Summary'!$J:$J,"SCOC")</f>
        <v>0</v>
      </c>
      <c r="GG57" s="55">
        <f>SUMIFS('Disbursements Summary'!$E:$E,'Disbursements Summary'!$C:$C,$C57,'Disbursements Summary'!$A:$A,"SCOC")</f>
        <v>0</v>
      </c>
      <c r="GH57" s="55">
        <f>SUMIFS('Awards Summary'!$H:$H,'Awards Summary'!$B:$B,$C57,'Awards Summary'!$J:$J,"SUCF")</f>
        <v>0</v>
      </c>
      <c r="GI57" s="55">
        <f>SUMIFS('Disbursements Summary'!$E:$E,'Disbursements Summary'!$C:$C,$C57,'Disbursements Summary'!$A:$A,"SUCF")</f>
        <v>0</v>
      </c>
      <c r="GJ57" s="55">
        <f>SUMIFS('Awards Summary'!$H:$H,'Awards Summary'!$B:$B,$C57,'Awards Summary'!$J:$J,"SUNY")</f>
        <v>0</v>
      </c>
      <c r="GK57" s="55">
        <f>SUMIFS('Disbursements Summary'!$E:$E,'Disbursements Summary'!$C:$C,$C57,'Disbursements Summary'!$A:$A,"SUNY")</f>
        <v>0</v>
      </c>
      <c r="GL57" s="55">
        <f>SUMIFS('Awards Summary'!$H:$H,'Awards Summary'!$B:$B,$C57,'Awards Summary'!$J:$J,"SRAA")</f>
        <v>0</v>
      </c>
      <c r="GM57" s="55">
        <f>SUMIFS('Disbursements Summary'!$E:$E,'Disbursements Summary'!$C:$C,$C57,'Disbursements Summary'!$A:$A,"SRAA")</f>
        <v>0</v>
      </c>
      <c r="GN57" s="55">
        <f>SUMIFS('Awards Summary'!$H:$H,'Awards Summary'!$B:$B,$C57,'Awards Summary'!$J:$J,"UNDC")</f>
        <v>0</v>
      </c>
      <c r="GO57" s="55">
        <f>SUMIFS('Disbursements Summary'!$E:$E,'Disbursements Summary'!$C:$C,$C57,'Disbursements Summary'!$A:$A,"UNDC")</f>
        <v>0</v>
      </c>
      <c r="GP57" s="55">
        <f>SUMIFS('Awards Summary'!$H:$H,'Awards Summary'!$B:$B,$C57,'Awards Summary'!$J:$J,"MVWA")</f>
        <v>0</v>
      </c>
      <c r="GQ57" s="55">
        <f>SUMIFS('Disbursements Summary'!$E:$E,'Disbursements Summary'!$C:$C,$C57,'Disbursements Summary'!$A:$A,"MVWA")</f>
        <v>0</v>
      </c>
      <c r="GR57" s="55">
        <f>SUMIFS('Awards Summary'!$H:$H,'Awards Summary'!$B:$B,$C57,'Awards Summary'!$J:$J,"WMC")</f>
        <v>0</v>
      </c>
      <c r="GS57" s="55">
        <f>SUMIFS('Disbursements Summary'!$E:$E,'Disbursements Summary'!$C:$C,$C57,'Disbursements Summary'!$A:$A,"WMC")</f>
        <v>0</v>
      </c>
      <c r="GT57" s="55">
        <f>SUMIFS('Awards Summary'!$H:$H,'Awards Summary'!$B:$B,$C57,'Awards Summary'!$J:$J,"WCB")</f>
        <v>0</v>
      </c>
      <c r="GU57" s="55">
        <f>SUMIFS('Disbursements Summary'!$E:$E,'Disbursements Summary'!$C:$C,$C57,'Disbursements Summary'!$A:$A,"WCB")</f>
        <v>0</v>
      </c>
      <c r="GV57" s="32">
        <f t="shared" si="5"/>
        <v>0</v>
      </c>
      <c r="GW57" s="32">
        <f t="shared" si="6"/>
        <v>0</v>
      </c>
      <c r="GX57" s="30" t="b">
        <f t="shared" si="7"/>
        <v>1</v>
      </c>
      <c r="GY57" s="30" t="b">
        <f t="shared" si="8"/>
        <v>1</v>
      </c>
    </row>
    <row r="58" spans="1:207" s="30" customFormat="1">
      <c r="A58" s="22" t="str">
        <f t="shared" si="0"/>
        <v/>
      </c>
      <c r="B58" s="40" t="s">
        <v>85</v>
      </c>
      <c r="C58" s="16">
        <v>151104</v>
      </c>
      <c r="D58" s="26">
        <f>COUNTIF('Awards Summary'!B:B,"151104")</f>
        <v>0</v>
      </c>
      <c r="E58" s="45">
        <f>SUMIFS('Awards Summary'!H:H,'Awards Summary'!B:B,"151104")</f>
        <v>0</v>
      </c>
      <c r="F58" s="46">
        <f>SUMIFS('Disbursements Summary'!E:E,'Disbursements Summary'!C:C, "151104")</f>
        <v>0</v>
      </c>
      <c r="H58" s="55">
        <f>SUMIFS('Awards Summary'!$H:$H,'Awards Summary'!$B:$B,$C58,'Awards Summary'!$J:$J,"APA")</f>
        <v>0</v>
      </c>
      <c r="I58" s="55">
        <f>SUMIFS('Disbursements Summary'!$E:$E,'Disbursements Summary'!$C:$C,$C58,'Disbursements Summary'!$A:$A,"APA")</f>
        <v>0</v>
      </c>
      <c r="J58" s="55">
        <f>SUMIFS('Awards Summary'!$H:$H,'Awards Summary'!$B:$B,$C58,'Awards Summary'!$J:$J,"Ag&amp;Horse")</f>
        <v>0</v>
      </c>
      <c r="K58" s="55">
        <f>SUMIFS('Disbursements Summary'!$E:$E,'Disbursements Summary'!$C:$C,$C58,'Disbursements Summary'!$A:$A,"Ag&amp;Horse")</f>
        <v>0</v>
      </c>
      <c r="L58" s="55">
        <f>SUMIFS('Awards Summary'!$H:$H,'Awards Summary'!$B:$B,$C58,'Awards Summary'!$J:$J,"ACAA")</f>
        <v>0</v>
      </c>
      <c r="M58" s="55">
        <f>SUMIFS('Disbursements Summary'!$E:$E,'Disbursements Summary'!$C:$C,$C58,'Disbursements Summary'!$A:$A,"ACAA")</f>
        <v>0</v>
      </c>
      <c r="N58" s="55">
        <f>SUMIFS('Awards Summary'!$H:$H,'Awards Summary'!$B:$B,$C58,'Awards Summary'!$J:$J,"PortAlbany")</f>
        <v>0</v>
      </c>
      <c r="O58" s="55">
        <f>SUMIFS('Disbursements Summary'!$E:$E,'Disbursements Summary'!$C:$C,$C58,'Disbursements Summary'!$A:$A,"PortAlbany")</f>
        <v>0</v>
      </c>
      <c r="P58" s="55">
        <f>SUMIFS('Awards Summary'!$H:$H,'Awards Summary'!$B:$B,$C58,'Awards Summary'!$J:$J,"SLA")</f>
        <v>0</v>
      </c>
      <c r="Q58" s="55">
        <f>SUMIFS('Disbursements Summary'!$E:$E,'Disbursements Summary'!$C:$C,$C58,'Disbursements Summary'!$A:$A,"SLA")</f>
        <v>0</v>
      </c>
      <c r="R58" s="55">
        <f>SUMIFS('Awards Summary'!$H:$H,'Awards Summary'!$B:$B,$C58,'Awards Summary'!$J:$J,"BPCA")</f>
        <v>0</v>
      </c>
      <c r="S58" s="55">
        <f>SUMIFS('Disbursements Summary'!$E:$E,'Disbursements Summary'!$C:$C,$C58,'Disbursements Summary'!$A:$A,"BPCA")</f>
        <v>0</v>
      </c>
      <c r="T58" s="55">
        <f>SUMIFS('Awards Summary'!$H:$H,'Awards Summary'!$B:$B,$C58,'Awards Summary'!$J:$J,"ELECTIONS")</f>
        <v>0</v>
      </c>
      <c r="U58" s="55">
        <f>SUMIFS('Disbursements Summary'!$E:$E,'Disbursements Summary'!$C:$C,$C58,'Disbursements Summary'!$A:$A,"ELECTIONS")</f>
        <v>0</v>
      </c>
      <c r="V58" s="55">
        <f>SUMIFS('Awards Summary'!$H:$H,'Awards Summary'!$B:$B,$C58,'Awards Summary'!$J:$J,"BFSA")</f>
        <v>0</v>
      </c>
      <c r="W58" s="55">
        <f>SUMIFS('Disbursements Summary'!$E:$E,'Disbursements Summary'!$C:$C,$C58,'Disbursements Summary'!$A:$A,"BFSA")</f>
        <v>0</v>
      </c>
      <c r="X58" s="55">
        <f>SUMIFS('Awards Summary'!$H:$H,'Awards Summary'!$B:$B,$C58,'Awards Summary'!$J:$J,"CDTA")</f>
        <v>0</v>
      </c>
      <c r="Y58" s="55">
        <f>SUMIFS('Disbursements Summary'!$E:$E,'Disbursements Summary'!$C:$C,$C58,'Disbursements Summary'!$A:$A,"CDTA")</f>
        <v>0</v>
      </c>
      <c r="Z58" s="55">
        <f>SUMIFS('Awards Summary'!$H:$H,'Awards Summary'!$B:$B,$C58,'Awards Summary'!$J:$J,"CCWSA")</f>
        <v>0</v>
      </c>
      <c r="AA58" s="55">
        <f>SUMIFS('Disbursements Summary'!$E:$E,'Disbursements Summary'!$C:$C,$C58,'Disbursements Summary'!$A:$A,"CCWSA")</f>
        <v>0</v>
      </c>
      <c r="AB58" s="55">
        <f>SUMIFS('Awards Summary'!$H:$H,'Awards Summary'!$B:$B,$C58,'Awards Summary'!$J:$J,"CNYRTA")</f>
        <v>0</v>
      </c>
      <c r="AC58" s="55">
        <f>SUMIFS('Disbursements Summary'!$E:$E,'Disbursements Summary'!$C:$C,$C58,'Disbursements Summary'!$A:$A,"CNYRTA")</f>
        <v>0</v>
      </c>
      <c r="AD58" s="55">
        <f>SUMIFS('Awards Summary'!$H:$H,'Awards Summary'!$B:$B,$C58,'Awards Summary'!$J:$J,"CUCF")</f>
        <v>0</v>
      </c>
      <c r="AE58" s="55">
        <f>SUMIFS('Disbursements Summary'!$E:$E,'Disbursements Summary'!$C:$C,$C58,'Disbursements Summary'!$A:$A,"CUCF")</f>
        <v>0</v>
      </c>
      <c r="AF58" s="55">
        <f>SUMIFS('Awards Summary'!$H:$H,'Awards Summary'!$B:$B,$C58,'Awards Summary'!$J:$J,"CUNY")</f>
        <v>0</v>
      </c>
      <c r="AG58" s="55">
        <f>SUMIFS('Disbursements Summary'!$E:$E,'Disbursements Summary'!$C:$C,$C58,'Disbursements Summary'!$A:$A,"CUNY")</f>
        <v>0</v>
      </c>
      <c r="AH58" s="55">
        <f>SUMIFS('Awards Summary'!$H:$H,'Awards Summary'!$B:$B,$C58,'Awards Summary'!$J:$J,"ARTS")</f>
        <v>0</v>
      </c>
      <c r="AI58" s="55">
        <f>SUMIFS('Disbursements Summary'!$E:$E,'Disbursements Summary'!$C:$C,$C58,'Disbursements Summary'!$A:$A,"ARTS")</f>
        <v>0</v>
      </c>
      <c r="AJ58" s="55">
        <f>SUMIFS('Awards Summary'!$H:$H,'Awards Summary'!$B:$B,$C58,'Awards Summary'!$J:$J,"AG&amp;MKTS")</f>
        <v>0</v>
      </c>
      <c r="AK58" s="55">
        <f>SUMIFS('Disbursements Summary'!$E:$E,'Disbursements Summary'!$C:$C,$C58,'Disbursements Summary'!$A:$A,"AG&amp;MKTS")</f>
        <v>0</v>
      </c>
      <c r="AL58" s="55">
        <f>SUMIFS('Awards Summary'!$H:$H,'Awards Summary'!$B:$B,$C58,'Awards Summary'!$J:$J,"CS")</f>
        <v>0</v>
      </c>
      <c r="AM58" s="55">
        <f>SUMIFS('Disbursements Summary'!$E:$E,'Disbursements Summary'!$C:$C,$C58,'Disbursements Summary'!$A:$A,"CS")</f>
        <v>0</v>
      </c>
      <c r="AN58" s="55">
        <f>SUMIFS('Awards Summary'!$H:$H,'Awards Summary'!$B:$B,$C58,'Awards Summary'!$J:$J,"DOCCS")</f>
        <v>0</v>
      </c>
      <c r="AO58" s="55">
        <f>SUMIFS('Disbursements Summary'!$E:$E,'Disbursements Summary'!$C:$C,$C58,'Disbursements Summary'!$A:$A,"DOCCS")</f>
        <v>0</v>
      </c>
      <c r="AP58" s="55">
        <f>SUMIFS('Awards Summary'!$H:$H,'Awards Summary'!$B:$B,$C58,'Awards Summary'!$J:$J,"DED")</f>
        <v>0</v>
      </c>
      <c r="AQ58" s="55">
        <f>SUMIFS('Disbursements Summary'!$E:$E,'Disbursements Summary'!$C:$C,$C58,'Disbursements Summary'!$A:$A,"DED")</f>
        <v>0</v>
      </c>
      <c r="AR58" s="55">
        <f>SUMIFS('Awards Summary'!$H:$H,'Awards Summary'!$B:$B,$C58,'Awards Summary'!$J:$J,"DEC")</f>
        <v>0</v>
      </c>
      <c r="AS58" s="55">
        <f>SUMIFS('Disbursements Summary'!$E:$E,'Disbursements Summary'!$C:$C,$C58,'Disbursements Summary'!$A:$A,"DEC")</f>
        <v>0</v>
      </c>
      <c r="AT58" s="55">
        <f>SUMIFS('Awards Summary'!$H:$H,'Awards Summary'!$B:$B,$C58,'Awards Summary'!$J:$J,"DFS")</f>
        <v>0</v>
      </c>
      <c r="AU58" s="55">
        <f>SUMIFS('Disbursements Summary'!$E:$E,'Disbursements Summary'!$C:$C,$C58,'Disbursements Summary'!$A:$A,"DFS")</f>
        <v>0</v>
      </c>
      <c r="AV58" s="55">
        <f>SUMIFS('Awards Summary'!$H:$H,'Awards Summary'!$B:$B,$C58,'Awards Summary'!$J:$J,"DOH")</f>
        <v>0</v>
      </c>
      <c r="AW58" s="55">
        <f>SUMIFS('Disbursements Summary'!$E:$E,'Disbursements Summary'!$C:$C,$C58,'Disbursements Summary'!$A:$A,"DOH")</f>
        <v>0</v>
      </c>
      <c r="AX58" s="55">
        <f>SUMIFS('Awards Summary'!$H:$H,'Awards Summary'!$B:$B,$C58,'Awards Summary'!$J:$J,"DOL")</f>
        <v>0</v>
      </c>
      <c r="AY58" s="55">
        <f>SUMIFS('Disbursements Summary'!$E:$E,'Disbursements Summary'!$C:$C,$C58,'Disbursements Summary'!$A:$A,"DOL")</f>
        <v>0</v>
      </c>
      <c r="AZ58" s="55">
        <f>SUMIFS('Awards Summary'!$H:$H,'Awards Summary'!$B:$B,$C58,'Awards Summary'!$J:$J,"DMV")</f>
        <v>0</v>
      </c>
      <c r="BA58" s="55">
        <f>SUMIFS('Disbursements Summary'!$E:$E,'Disbursements Summary'!$C:$C,$C58,'Disbursements Summary'!$A:$A,"DMV")</f>
        <v>0</v>
      </c>
      <c r="BB58" s="55">
        <f>SUMIFS('Awards Summary'!$H:$H,'Awards Summary'!$B:$B,$C58,'Awards Summary'!$J:$J,"DPS")</f>
        <v>0</v>
      </c>
      <c r="BC58" s="55">
        <f>SUMIFS('Disbursements Summary'!$E:$E,'Disbursements Summary'!$C:$C,$C58,'Disbursements Summary'!$A:$A,"DPS")</f>
        <v>0</v>
      </c>
      <c r="BD58" s="55">
        <f>SUMIFS('Awards Summary'!$H:$H,'Awards Summary'!$B:$B,$C58,'Awards Summary'!$J:$J,"DOS")</f>
        <v>0</v>
      </c>
      <c r="BE58" s="55">
        <f>SUMIFS('Disbursements Summary'!$E:$E,'Disbursements Summary'!$C:$C,$C58,'Disbursements Summary'!$A:$A,"DOS")</f>
        <v>0</v>
      </c>
      <c r="BF58" s="55">
        <f>SUMIFS('Awards Summary'!$H:$H,'Awards Summary'!$B:$B,$C58,'Awards Summary'!$J:$J,"TAX")</f>
        <v>0</v>
      </c>
      <c r="BG58" s="55">
        <f>SUMIFS('Disbursements Summary'!$E:$E,'Disbursements Summary'!$C:$C,$C58,'Disbursements Summary'!$A:$A,"TAX")</f>
        <v>0</v>
      </c>
      <c r="BH58" s="55">
        <f>SUMIFS('Awards Summary'!$H:$H,'Awards Summary'!$B:$B,$C58,'Awards Summary'!$J:$J,"DOT")</f>
        <v>0</v>
      </c>
      <c r="BI58" s="55">
        <f>SUMIFS('Disbursements Summary'!$E:$E,'Disbursements Summary'!$C:$C,$C58,'Disbursements Summary'!$A:$A,"DOT")</f>
        <v>0</v>
      </c>
      <c r="BJ58" s="55">
        <f>SUMIFS('Awards Summary'!$H:$H,'Awards Summary'!$B:$B,$C58,'Awards Summary'!$J:$J,"DANC")</f>
        <v>0</v>
      </c>
      <c r="BK58" s="55">
        <f>SUMIFS('Disbursements Summary'!$E:$E,'Disbursements Summary'!$C:$C,$C58,'Disbursements Summary'!$A:$A,"DANC")</f>
        <v>0</v>
      </c>
      <c r="BL58" s="55">
        <f>SUMIFS('Awards Summary'!$H:$H,'Awards Summary'!$B:$B,$C58,'Awards Summary'!$J:$J,"DOB")</f>
        <v>0</v>
      </c>
      <c r="BM58" s="55">
        <f>SUMIFS('Disbursements Summary'!$E:$E,'Disbursements Summary'!$C:$C,$C58,'Disbursements Summary'!$A:$A,"DOB")</f>
        <v>0</v>
      </c>
      <c r="BN58" s="55">
        <f>SUMIFS('Awards Summary'!$H:$H,'Awards Summary'!$B:$B,$C58,'Awards Summary'!$J:$J,"DCJS")</f>
        <v>0</v>
      </c>
      <c r="BO58" s="55">
        <f>SUMIFS('Disbursements Summary'!$E:$E,'Disbursements Summary'!$C:$C,$C58,'Disbursements Summary'!$A:$A,"DCJS")</f>
        <v>0</v>
      </c>
      <c r="BP58" s="55">
        <f>SUMIFS('Awards Summary'!$H:$H,'Awards Summary'!$B:$B,$C58,'Awards Summary'!$J:$J,"DHSES")</f>
        <v>0</v>
      </c>
      <c r="BQ58" s="55">
        <f>SUMIFS('Disbursements Summary'!$E:$E,'Disbursements Summary'!$C:$C,$C58,'Disbursements Summary'!$A:$A,"DHSES")</f>
        <v>0</v>
      </c>
      <c r="BR58" s="55">
        <f>SUMIFS('Awards Summary'!$H:$H,'Awards Summary'!$B:$B,$C58,'Awards Summary'!$J:$J,"DHR")</f>
        <v>0</v>
      </c>
      <c r="BS58" s="55">
        <f>SUMIFS('Disbursements Summary'!$E:$E,'Disbursements Summary'!$C:$C,$C58,'Disbursements Summary'!$A:$A,"DHR")</f>
        <v>0</v>
      </c>
      <c r="BT58" s="55">
        <f>SUMIFS('Awards Summary'!$H:$H,'Awards Summary'!$B:$B,$C58,'Awards Summary'!$J:$J,"DMNA")</f>
        <v>0</v>
      </c>
      <c r="BU58" s="55">
        <f>SUMIFS('Disbursements Summary'!$E:$E,'Disbursements Summary'!$C:$C,$C58,'Disbursements Summary'!$A:$A,"DMNA")</f>
        <v>0</v>
      </c>
      <c r="BV58" s="55">
        <f>SUMIFS('Awards Summary'!$H:$H,'Awards Summary'!$B:$B,$C58,'Awards Summary'!$J:$J,"TROOPERS")</f>
        <v>0</v>
      </c>
      <c r="BW58" s="55">
        <f>SUMIFS('Disbursements Summary'!$E:$E,'Disbursements Summary'!$C:$C,$C58,'Disbursements Summary'!$A:$A,"TROOPERS")</f>
        <v>0</v>
      </c>
      <c r="BX58" s="55">
        <f>SUMIFS('Awards Summary'!$H:$H,'Awards Summary'!$B:$B,$C58,'Awards Summary'!$J:$J,"DVA")</f>
        <v>0</v>
      </c>
      <c r="BY58" s="55">
        <f>SUMIFS('Disbursements Summary'!$E:$E,'Disbursements Summary'!$C:$C,$C58,'Disbursements Summary'!$A:$A,"DVA")</f>
        <v>0</v>
      </c>
      <c r="BZ58" s="55">
        <f>SUMIFS('Awards Summary'!$H:$H,'Awards Summary'!$B:$B,$C58,'Awards Summary'!$J:$J,"DASNY")</f>
        <v>0</v>
      </c>
      <c r="CA58" s="55">
        <f>SUMIFS('Disbursements Summary'!$E:$E,'Disbursements Summary'!$C:$C,$C58,'Disbursements Summary'!$A:$A,"DASNY")</f>
        <v>0</v>
      </c>
      <c r="CB58" s="55">
        <f>SUMIFS('Awards Summary'!$H:$H,'Awards Summary'!$B:$B,$C58,'Awards Summary'!$J:$J,"EGG")</f>
        <v>0</v>
      </c>
      <c r="CC58" s="55">
        <f>SUMIFS('Disbursements Summary'!$E:$E,'Disbursements Summary'!$C:$C,$C58,'Disbursements Summary'!$A:$A,"EGG")</f>
        <v>0</v>
      </c>
      <c r="CD58" s="55">
        <f>SUMIFS('Awards Summary'!$H:$H,'Awards Summary'!$B:$B,$C58,'Awards Summary'!$J:$J,"ESD")</f>
        <v>0</v>
      </c>
      <c r="CE58" s="55">
        <f>SUMIFS('Disbursements Summary'!$E:$E,'Disbursements Summary'!$C:$C,$C58,'Disbursements Summary'!$A:$A,"ESD")</f>
        <v>0</v>
      </c>
      <c r="CF58" s="55">
        <f>SUMIFS('Awards Summary'!$H:$H,'Awards Summary'!$B:$B,$C58,'Awards Summary'!$J:$J,"EFC")</f>
        <v>0</v>
      </c>
      <c r="CG58" s="55">
        <f>SUMIFS('Disbursements Summary'!$E:$E,'Disbursements Summary'!$C:$C,$C58,'Disbursements Summary'!$A:$A,"EFC")</f>
        <v>0</v>
      </c>
      <c r="CH58" s="55">
        <f>SUMIFS('Awards Summary'!$H:$H,'Awards Summary'!$B:$B,$C58,'Awards Summary'!$J:$J,"ECFSA")</f>
        <v>0</v>
      </c>
      <c r="CI58" s="55">
        <f>SUMIFS('Disbursements Summary'!$E:$E,'Disbursements Summary'!$C:$C,$C58,'Disbursements Summary'!$A:$A,"ECFSA")</f>
        <v>0</v>
      </c>
      <c r="CJ58" s="55">
        <f>SUMIFS('Awards Summary'!$H:$H,'Awards Summary'!$B:$B,$C58,'Awards Summary'!$J:$J,"ECMC")</f>
        <v>0</v>
      </c>
      <c r="CK58" s="55">
        <f>SUMIFS('Disbursements Summary'!$E:$E,'Disbursements Summary'!$C:$C,$C58,'Disbursements Summary'!$A:$A,"ECMC")</f>
        <v>0</v>
      </c>
      <c r="CL58" s="55">
        <f>SUMIFS('Awards Summary'!$H:$H,'Awards Summary'!$B:$B,$C58,'Awards Summary'!$J:$J,"CHAMBER")</f>
        <v>0</v>
      </c>
      <c r="CM58" s="55">
        <f>SUMIFS('Disbursements Summary'!$E:$E,'Disbursements Summary'!$C:$C,$C58,'Disbursements Summary'!$A:$A,"CHAMBER")</f>
        <v>0</v>
      </c>
      <c r="CN58" s="55">
        <f>SUMIFS('Awards Summary'!$H:$H,'Awards Summary'!$B:$B,$C58,'Awards Summary'!$J:$J,"GAMING")</f>
        <v>0</v>
      </c>
      <c r="CO58" s="55">
        <f>SUMIFS('Disbursements Summary'!$E:$E,'Disbursements Summary'!$C:$C,$C58,'Disbursements Summary'!$A:$A,"GAMING")</f>
        <v>0</v>
      </c>
      <c r="CP58" s="55">
        <f>SUMIFS('Awards Summary'!$H:$H,'Awards Summary'!$B:$B,$C58,'Awards Summary'!$J:$J,"GOER")</f>
        <v>0</v>
      </c>
      <c r="CQ58" s="55">
        <f>SUMIFS('Disbursements Summary'!$E:$E,'Disbursements Summary'!$C:$C,$C58,'Disbursements Summary'!$A:$A,"GOER")</f>
        <v>0</v>
      </c>
      <c r="CR58" s="55">
        <f>SUMIFS('Awards Summary'!$H:$H,'Awards Summary'!$B:$B,$C58,'Awards Summary'!$J:$J,"HESC")</f>
        <v>0</v>
      </c>
      <c r="CS58" s="55">
        <f>SUMIFS('Disbursements Summary'!$E:$E,'Disbursements Summary'!$C:$C,$C58,'Disbursements Summary'!$A:$A,"HESC")</f>
        <v>0</v>
      </c>
      <c r="CT58" s="55">
        <f>SUMIFS('Awards Summary'!$H:$H,'Awards Summary'!$B:$B,$C58,'Awards Summary'!$J:$J,"GOSR")</f>
        <v>0</v>
      </c>
      <c r="CU58" s="55">
        <f>SUMIFS('Disbursements Summary'!$E:$E,'Disbursements Summary'!$C:$C,$C58,'Disbursements Summary'!$A:$A,"GOSR")</f>
        <v>0</v>
      </c>
      <c r="CV58" s="55">
        <f>SUMIFS('Awards Summary'!$H:$H,'Awards Summary'!$B:$B,$C58,'Awards Summary'!$J:$J,"HRPT")</f>
        <v>0</v>
      </c>
      <c r="CW58" s="55">
        <f>SUMIFS('Disbursements Summary'!$E:$E,'Disbursements Summary'!$C:$C,$C58,'Disbursements Summary'!$A:$A,"HRPT")</f>
        <v>0</v>
      </c>
      <c r="CX58" s="55">
        <f>SUMIFS('Awards Summary'!$H:$H,'Awards Summary'!$B:$B,$C58,'Awards Summary'!$J:$J,"HRBRRD")</f>
        <v>0</v>
      </c>
      <c r="CY58" s="55">
        <f>SUMIFS('Disbursements Summary'!$E:$E,'Disbursements Summary'!$C:$C,$C58,'Disbursements Summary'!$A:$A,"HRBRRD")</f>
        <v>0</v>
      </c>
      <c r="CZ58" s="55">
        <f>SUMIFS('Awards Summary'!$H:$H,'Awards Summary'!$B:$B,$C58,'Awards Summary'!$J:$J,"ITS")</f>
        <v>0</v>
      </c>
      <c r="DA58" s="55">
        <f>SUMIFS('Disbursements Summary'!$E:$E,'Disbursements Summary'!$C:$C,$C58,'Disbursements Summary'!$A:$A,"ITS")</f>
        <v>0</v>
      </c>
      <c r="DB58" s="55">
        <f>SUMIFS('Awards Summary'!$H:$H,'Awards Summary'!$B:$B,$C58,'Awards Summary'!$J:$J,"JAVITS")</f>
        <v>0</v>
      </c>
      <c r="DC58" s="55">
        <f>SUMIFS('Disbursements Summary'!$E:$E,'Disbursements Summary'!$C:$C,$C58,'Disbursements Summary'!$A:$A,"JAVITS")</f>
        <v>0</v>
      </c>
      <c r="DD58" s="55">
        <f>SUMIFS('Awards Summary'!$H:$H,'Awards Summary'!$B:$B,$C58,'Awards Summary'!$J:$J,"JCOPE")</f>
        <v>0</v>
      </c>
      <c r="DE58" s="55">
        <f>SUMIFS('Disbursements Summary'!$E:$E,'Disbursements Summary'!$C:$C,$C58,'Disbursements Summary'!$A:$A,"JCOPE")</f>
        <v>0</v>
      </c>
      <c r="DF58" s="55">
        <f>SUMIFS('Awards Summary'!$H:$H,'Awards Summary'!$B:$B,$C58,'Awards Summary'!$J:$J,"JUSTICE")</f>
        <v>0</v>
      </c>
      <c r="DG58" s="55">
        <f>SUMIFS('Disbursements Summary'!$E:$E,'Disbursements Summary'!$C:$C,$C58,'Disbursements Summary'!$A:$A,"JUSTICE")</f>
        <v>0</v>
      </c>
      <c r="DH58" s="55">
        <f>SUMIFS('Awards Summary'!$H:$H,'Awards Summary'!$B:$B,$C58,'Awards Summary'!$J:$J,"LCWSA")</f>
        <v>0</v>
      </c>
      <c r="DI58" s="55">
        <f>SUMIFS('Disbursements Summary'!$E:$E,'Disbursements Summary'!$C:$C,$C58,'Disbursements Summary'!$A:$A,"LCWSA")</f>
        <v>0</v>
      </c>
      <c r="DJ58" s="55">
        <f>SUMIFS('Awards Summary'!$H:$H,'Awards Summary'!$B:$B,$C58,'Awards Summary'!$J:$J,"LIPA")</f>
        <v>0</v>
      </c>
      <c r="DK58" s="55">
        <f>SUMIFS('Disbursements Summary'!$E:$E,'Disbursements Summary'!$C:$C,$C58,'Disbursements Summary'!$A:$A,"LIPA")</f>
        <v>0</v>
      </c>
      <c r="DL58" s="55">
        <f>SUMIFS('Awards Summary'!$H:$H,'Awards Summary'!$B:$B,$C58,'Awards Summary'!$J:$J,"MTA")</f>
        <v>0</v>
      </c>
      <c r="DM58" s="55">
        <f>SUMIFS('Disbursements Summary'!$E:$E,'Disbursements Summary'!$C:$C,$C58,'Disbursements Summary'!$A:$A,"MTA")</f>
        <v>0</v>
      </c>
      <c r="DN58" s="55">
        <f>SUMIFS('Awards Summary'!$H:$H,'Awards Summary'!$B:$B,$C58,'Awards Summary'!$J:$J,"NIFA")</f>
        <v>0</v>
      </c>
      <c r="DO58" s="55">
        <f>SUMIFS('Disbursements Summary'!$E:$E,'Disbursements Summary'!$C:$C,$C58,'Disbursements Summary'!$A:$A,"NIFA")</f>
        <v>0</v>
      </c>
      <c r="DP58" s="55">
        <f>SUMIFS('Awards Summary'!$H:$H,'Awards Summary'!$B:$B,$C58,'Awards Summary'!$J:$J,"NHCC")</f>
        <v>0</v>
      </c>
      <c r="DQ58" s="55">
        <f>SUMIFS('Disbursements Summary'!$E:$E,'Disbursements Summary'!$C:$C,$C58,'Disbursements Summary'!$A:$A,"NHCC")</f>
        <v>0</v>
      </c>
      <c r="DR58" s="55">
        <f>SUMIFS('Awards Summary'!$H:$H,'Awards Summary'!$B:$B,$C58,'Awards Summary'!$J:$J,"NHT")</f>
        <v>0</v>
      </c>
      <c r="DS58" s="55">
        <f>SUMIFS('Disbursements Summary'!$E:$E,'Disbursements Summary'!$C:$C,$C58,'Disbursements Summary'!$A:$A,"NHT")</f>
        <v>0</v>
      </c>
      <c r="DT58" s="55">
        <f>SUMIFS('Awards Summary'!$H:$H,'Awards Summary'!$B:$B,$C58,'Awards Summary'!$J:$J,"NYPA")</f>
        <v>0</v>
      </c>
      <c r="DU58" s="55">
        <f>SUMIFS('Disbursements Summary'!$E:$E,'Disbursements Summary'!$C:$C,$C58,'Disbursements Summary'!$A:$A,"NYPA")</f>
        <v>0</v>
      </c>
      <c r="DV58" s="55">
        <f>SUMIFS('Awards Summary'!$H:$H,'Awards Summary'!$B:$B,$C58,'Awards Summary'!$J:$J,"NYSBA")</f>
        <v>0</v>
      </c>
      <c r="DW58" s="55">
        <f>SUMIFS('Disbursements Summary'!$E:$E,'Disbursements Summary'!$C:$C,$C58,'Disbursements Summary'!$A:$A,"NYSBA")</f>
        <v>0</v>
      </c>
      <c r="DX58" s="55">
        <f>SUMIFS('Awards Summary'!$H:$H,'Awards Summary'!$B:$B,$C58,'Awards Summary'!$J:$J,"NYSERDA")</f>
        <v>0</v>
      </c>
      <c r="DY58" s="55">
        <f>SUMIFS('Disbursements Summary'!$E:$E,'Disbursements Summary'!$C:$C,$C58,'Disbursements Summary'!$A:$A,"NYSERDA")</f>
        <v>0</v>
      </c>
      <c r="DZ58" s="55">
        <f>SUMIFS('Awards Summary'!$H:$H,'Awards Summary'!$B:$B,$C58,'Awards Summary'!$J:$J,"DHCR")</f>
        <v>0</v>
      </c>
      <c r="EA58" s="55">
        <f>SUMIFS('Disbursements Summary'!$E:$E,'Disbursements Summary'!$C:$C,$C58,'Disbursements Summary'!$A:$A,"DHCR")</f>
        <v>0</v>
      </c>
      <c r="EB58" s="55">
        <f>SUMIFS('Awards Summary'!$H:$H,'Awards Summary'!$B:$B,$C58,'Awards Summary'!$J:$J,"HFA")</f>
        <v>0</v>
      </c>
      <c r="EC58" s="55">
        <f>SUMIFS('Disbursements Summary'!$E:$E,'Disbursements Summary'!$C:$C,$C58,'Disbursements Summary'!$A:$A,"HFA")</f>
        <v>0</v>
      </c>
      <c r="ED58" s="55">
        <f>SUMIFS('Awards Summary'!$H:$H,'Awards Summary'!$B:$B,$C58,'Awards Summary'!$J:$J,"NYSIF")</f>
        <v>0</v>
      </c>
      <c r="EE58" s="55">
        <f>SUMIFS('Disbursements Summary'!$E:$E,'Disbursements Summary'!$C:$C,$C58,'Disbursements Summary'!$A:$A,"NYSIF")</f>
        <v>0</v>
      </c>
      <c r="EF58" s="55">
        <f>SUMIFS('Awards Summary'!$H:$H,'Awards Summary'!$B:$B,$C58,'Awards Summary'!$J:$J,"NYBREDS")</f>
        <v>0</v>
      </c>
      <c r="EG58" s="55">
        <f>SUMIFS('Disbursements Summary'!$E:$E,'Disbursements Summary'!$C:$C,$C58,'Disbursements Summary'!$A:$A,"NYBREDS")</f>
        <v>0</v>
      </c>
      <c r="EH58" s="55">
        <f>SUMIFS('Awards Summary'!$H:$H,'Awards Summary'!$B:$B,$C58,'Awards Summary'!$J:$J,"NYSTA")</f>
        <v>0</v>
      </c>
      <c r="EI58" s="55">
        <f>SUMIFS('Disbursements Summary'!$E:$E,'Disbursements Summary'!$C:$C,$C58,'Disbursements Summary'!$A:$A,"NYSTA")</f>
        <v>0</v>
      </c>
      <c r="EJ58" s="55">
        <f>SUMIFS('Awards Summary'!$H:$H,'Awards Summary'!$B:$B,$C58,'Awards Summary'!$J:$J,"NFWB")</f>
        <v>0</v>
      </c>
      <c r="EK58" s="55">
        <f>SUMIFS('Disbursements Summary'!$E:$E,'Disbursements Summary'!$C:$C,$C58,'Disbursements Summary'!$A:$A,"NFWB")</f>
        <v>0</v>
      </c>
      <c r="EL58" s="55">
        <f>SUMIFS('Awards Summary'!$H:$H,'Awards Summary'!$B:$B,$C58,'Awards Summary'!$J:$J,"NFTA")</f>
        <v>0</v>
      </c>
      <c r="EM58" s="55">
        <f>SUMIFS('Disbursements Summary'!$E:$E,'Disbursements Summary'!$C:$C,$C58,'Disbursements Summary'!$A:$A,"NFTA")</f>
        <v>0</v>
      </c>
      <c r="EN58" s="55">
        <f>SUMIFS('Awards Summary'!$H:$H,'Awards Summary'!$B:$B,$C58,'Awards Summary'!$J:$J,"OPWDD")</f>
        <v>0</v>
      </c>
      <c r="EO58" s="55">
        <f>SUMIFS('Disbursements Summary'!$E:$E,'Disbursements Summary'!$C:$C,$C58,'Disbursements Summary'!$A:$A,"OPWDD")</f>
        <v>0</v>
      </c>
      <c r="EP58" s="55">
        <f>SUMIFS('Awards Summary'!$H:$H,'Awards Summary'!$B:$B,$C58,'Awards Summary'!$J:$J,"AGING")</f>
        <v>0</v>
      </c>
      <c r="EQ58" s="55">
        <f>SUMIFS('Disbursements Summary'!$E:$E,'Disbursements Summary'!$C:$C,$C58,'Disbursements Summary'!$A:$A,"AGING")</f>
        <v>0</v>
      </c>
      <c r="ER58" s="55">
        <f>SUMIFS('Awards Summary'!$H:$H,'Awards Summary'!$B:$B,$C58,'Awards Summary'!$J:$J,"OPDV")</f>
        <v>0</v>
      </c>
      <c r="ES58" s="55">
        <f>SUMIFS('Disbursements Summary'!$E:$E,'Disbursements Summary'!$C:$C,$C58,'Disbursements Summary'!$A:$A,"OPDV")</f>
        <v>0</v>
      </c>
      <c r="ET58" s="55">
        <f>SUMIFS('Awards Summary'!$H:$H,'Awards Summary'!$B:$B,$C58,'Awards Summary'!$J:$J,"OVS")</f>
        <v>0</v>
      </c>
      <c r="EU58" s="55">
        <f>SUMIFS('Disbursements Summary'!$E:$E,'Disbursements Summary'!$C:$C,$C58,'Disbursements Summary'!$A:$A,"OVS")</f>
        <v>0</v>
      </c>
      <c r="EV58" s="55">
        <f>SUMIFS('Awards Summary'!$H:$H,'Awards Summary'!$B:$B,$C58,'Awards Summary'!$J:$J,"OASAS")</f>
        <v>0</v>
      </c>
      <c r="EW58" s="55">
        <f>SUMIFS('Disbursements Summary'!$E:$E,'Disbursements Summary'!$C:$C,$C58,'Disbursements Summary'!$A:$A,"OASAS")</f>
        <v>0</v>
      </c>
      <c r="EX58" s="55">
        <f>SUMIFS('Awards Summary'!$H:$H,'Awards Summary'!$B:$B,$C58,'Awards Summary'!$J:$J,"OCFS")</f>
        <v>0</v>
      </c>
      <c r="EY58" s="55">
        <f>SUMIFS('Disbursements Summary'!$E:$E,'Disbursements Summary'!$C:$C,$C58,'Disbursements Summary'!$A:$A,"OCFS")</f>
        <v>0</v>
      </c>
      <c r="EZ58" s="55">
        <f>SUMIFS('Awards Summary'!$H:$H,'Awards Summary'!$B:$B,$C58,'Awards Summary'!$J:$J,"OGS")</f>
        <v>0</v>
      </c>
      <c r="FA58" s="55">
        <f>SUMIFS('Disbursements Summary'!$E:$E,'Disbursements Summary'!$C:$C,$C58,'Disbursements Summary'!$A:$A,"OGS")</f>
        <v>0</v>
      </c>
      <c r="FB58" s="55">
        <f>SUMIFS('Awards Summary'!$H:$H,'Awards Summary'!$B:$B,$C58,'Awards Summary'!$J:$J,"OMH")</f>
        <v>0</v>
      </c>
      <c r="FC58" s="55">
        <f>SUMIFS('Disbursements Summary'!$E:$E,'Disbursements Summary'!$C:$C,$C58,'Disbursements Summary'!$A:$A,"OMH")</f>
        <v>0</v>
      </c>
      <c r="FD58" s="55">
        <f>SUMIFS('Awards Summary'!$H:$H,'Awards Summary'!$B:$B,$C58,'Awards Summary'!$J:$J,"PARKS")</f>
        <v>0</v>
      </c>
      <c r="FE58" s="55">
        <f>SUMIFS('Disbursements Summary'!$E:$E,'Disbursements Summary'!$C:$C,$C58,'Disbursements Summary'!$A:$A,"PARKS")</f>
        <v>0</v>
      </c>
      <c r="FF58" s="55">
        <f>SUMIFS('Awards Summary'!$H:$H,'Awards Summary'!$B:$B,$C58,'Awards Summary'!$J:$J,"OTDA")</f>
        <v>0</v>
      </c>
      <c r="FG58" s="55">
        <f>SUMIFS('Disbursements Summary'!$E:$E,'Disbursements Summary'!$C:$C,$C58,'Disbursements Summary'!$A:$A,"OTDA")</f>
        <v>0</v>
      </c>
      <c r="FH58" s="55">
        <f>SUMIFS('Awards Summary'!$H:$H,'Awards Summary'!$B:$B,$C58,'Awards Summary'!$J:$J,"OIG")</f>
        <v>0</v>
      </c>
      <c r="FI58" s="55">
        <f>SUMIFS('Disbursements Summary'!$E:$E,'Disbursements Summary'!$C:$C,$C58,'Disbursements Summary'!$A:$A,"OIG")</f>
        <v>0</v>
      </c>
      <c r="FJ58" s="55">
        <f>SUMIFS('Awards Summary'!$H:$H,'Awards Summary'!$B:$B,$C58,'Awards Summary'!$J:$J,"OMIG")</f>
        <v>0</v>
      </c>
      <c r="FK58" s="55">
        <f>SUMIFS('Disbursements Summary'!$E:$E,'Disbursements Summary'!$C:$C,$C58,'Disbursements Summary'!$A:$A,"OMIG")</f>
        <v>0</v>
      </c>
      <c r="FL58" s="55">
        <f>SUMIFS('Awards Summary'!$H:$H,'Awards Summary'!$B:$B,$C58,'Awards Summary'!$J:$J,"OSC")</f>
        <v>0</v>
      </c>
      <c r="FM58" s="55">
        <f>SUMIFS('Disbursements Summary'!$E:$E,'Disbursements Summary'!$C:$C,$C58,'Disbursements Summary'!$A:$A,"OSC")</f>
        <v>0</v>
      </c>
      <c r="FN58" s="55">
        <f>SUMIFS('Awards Summary'!$H:$H,'Awards Summary'!$B:$B,$C58,'Awards Summary'!$J:$J,"OWIG")</f>
        <v>0</v>
      </c>
      <c r="FO58" s="55">
        <f>SUMIFS('Disbursements Summary'!$E:$E,'Disbursements Summary'!$C:$C,$C58,'Disbursements Summary'!$A:$A,"OWIG")</f>
        <v>0</v>
      </c>
      <c r="FP58" s="55">
        <f>SUMIFS('Awards Summary'!$H:$H,'Awards Summary'!$B:$B,$C58,'Awards Summary'!$J:$J,"OGDEN")</f>
        <v>0</v>
      </c>
      <c r="FQ58" s="55">
        <f>SUMIFS('Disbursements Summary'!$E:$E,'Disbursements Summary'!$C:$C,$C58,'Disbursements Summary'!$A:$A,"OGDEN")</f>
        <v>0</v>
      </c>
      <c r="FR58" s="55">
        <f>SUMIFS('Awards Summary'!$H:$H,'Awards Summary'!$B:$B,$C58,'Awards Summary'!$J:$J,"ORDA")</f>
        <v>0</v>
      </c>
      <c r="FS58" s="55">
        <f>SUMIFS('Disbursements Summary'!$E:$E,'Disbursements Summary'!$C:$C,$C58,'Disbursements Summary'!$A:$A,"ORDA")</f>
        <v>0</v>
      </c>
      <c r="FT58" s="55">
        <f>SUMIFS('Awards Summary'!$H:$H,'Awards Summary'!$B:$B,$C58,'Awards Summary'!$J:$J,"OSWEGO")</f>
        <v>0</v>
      </c>
      <c r="FU58" s="55">
        <f>SUMIFS('Disbursements Summary'!$E:$E,'Disbursements Summary'!$C:$C,$C58,'Disbursements Summary'!$A:$A,"OSWEGO")</f>
        <v>0</v>
      </c>
      <c r="FV58" s="55">
        <f>SUMIFS('Awards Summary'!$H:$H,'Awards Summary'!$B:$B,$C58,'Awards Summary'!$J:$J,"PERB")</f>
        <v>0</v>
      </c>
      <c r="FW58" s="55">
        <f>SUMIFS('Disbursements Summary'!$E:$E,'Disbursements Summary'!$C:$C,$C58,'Disbursements Summary'!$A:$A,"PERB")</f>
        <v>0</v>
      </c>
      <c r="FX58" s="55">
        <f>SUMIFS('Awards Summary'!$H:$H,'Awards Summary'!$B:$B,$C58,'Awards Summary'!$J:$J,"RGRTA")</f>
        <v>0</v>
      </c>
      <c r="FY58" s="55">
        <f>SUMIFS('Disbursements Summary'!$E:$E,'Disbursements Summary'!$C:$C,$C58,'Disbursements Summary'!$A:$A,"RGRTA")</f>
        <v>0</v>
      </c>
      <c r="FZ58" s="55">
        <f>SUMIFS('Awards Summary'!$H:$H,'Awards Summary'!$B:$B,$C58,'Awards Summary'!$J:$J,"RIOC")</f>
        <v>0</v>
      </c>
      <c r="GA58" s="55">
        <f>SUMIFS('Disbursements Summary'!$E:$E,'Disbursements Summary'!$C:$C,$C58,'Disbursements Summary'!$A:$A,"RIOC")</f>
        <v>0</v>
      </c>
      <c r="GB58" s="55">
        <f>SUMIFS('Awards Summary'!$H:$H,'Awards Summary'!$B:$B,$C58,'Awards Summary'!$J:$J,"RPCI")</f>
        <v>0</v>
      </c>
      <c r="GC58" s="55">
        <f>SUMIFS('Disbursements Summary'!$E:$E,'Disbursements Summary'!$C:$C,$C58,'Disbursements Summary'!$A:$A,"RPCI")</f>
        <v>0</v>
      </c>
      <c r="GD58" s="55">
        <f>SUMIFS('Awards Summary'!$H:$H,'Awards Summary'!$B:$B,$C58,'Awards Summary'!$J:$J,"SMDA")</f>
        <v>0</v>
      </c>
      <c r="GE58" s="55">
        <f>SUMIFS('Disbursements Summary'!$E:$E,'Disbursements Summary'!$C:$C,$C58,'Disbursements Summary'!$A:$A,"SMDA")</f>
        <v>0</v>
      </c>
      <c r="GF58" s="55">
        <f>SUMIFS('Awards Summary'!$H:$H,'Awards Summary'!$B:$B,$C58,'Awards Summary'!$J:$J,"SCOC")</f>
        <v>0</v>
      </c>
      <c r="GG58" s="55">
        <f>SUMIFS('Disbursements Summary'!$E:$E,'Disbursements Summary'!$C:$C,$C58,'Disbursements Summary'!$A:$A,"SCOC")</f>
        <v>0</v>
      </c>
      <c r="GH58" s="55">
        <f>SUMIFS('Awards Summary'!$H:$H,'Awards Summary'!$B:$B,$C58,'Awards Summary'!$J:$J,"SUCF")</f>
        <v>0</v>
      </c>
      <c r="GI58" s="55">
        <f>SUMIFS('Disbursements Summary'!$E:$E,'Disbursements Summary'!$C:$C,$C58,'Disbursements Summary'!$A:$A,"SUCF")</f>
        <v>0</v>
      </c>
      <c r="GJ58" s="55">
        <f>SUMIFS('Awards Summary'!$H:$H,'Awards Summary'!$B:$B,$C58,'Awards Summary'!$J:$J,"SUNY")</f>
        <v>0</v>
      </c>
      <c r="GK58" s="55">
        <f>SUMIFS('Disbursements Summary'!$E:$E,'Disbursements Summary'!$C:$C,$C58,'Disbursements Summary'!$A:$A,"SUNY")</f>
        <v>0</v>
      </c>
      <c r="GL58" s="55">
        <f>SUMIFS('Awards Summary'!$H:$H,'Awards Summary'!$B:$B,$C58,'Awards Summary'!$J:$J,"SRAA")</f>
        <v>0</v>
      </c>
      <c r="GM58" s="55">
        <f>SUMIFS('Disbursements Summary'!$E:$E,'Disbursements Summary'!$C:$C,$C58,'Disbursements Summary'!$A:$A,"SRAA")</f>
        <v>0</v>
      </c>
      <c r="GN58" s="55">
        <f>SUMIFS('Awards Summary'!$H:$H,'Awards Summary'!$B:$B,$C58,'Awards Summary'!$J:$J,"UNDC")</f>
        <v>0</v>
      </c>
      <c r="GO58" s="55">
        <f>SUMIFS('Disbursements Summary'!$E:$E,'Disbursements Summary'!$C:$C,$C58,'Disbursements Summary'!$A:$A,"UNDC")</f>
        <v>0</v>
      </c>
      <c r="GP58" s="55">
        <f>SUMIFS('Awards Summary'!$H:$H,'Awards Summary'!$B:$B,$C58,'Awards Summary'!$J:$J,"MVWA")</f>
        <v>0</v>
      </c>
      <c r="GQ58" s="55">
        <f>SUMIFS('Disbursements Summary'!$E:$E,'Disbursements Summary'!$C:$C,$C58,'Disbursements Summary'!$A:$A,"MVWA")</f>
        <v>0</v>
      </c>
      <c r="GR58" s="55">
        <f>SUMIFS('Awards Summary'!$H:$H,'Awards Summary'!$B:$B,$C58,'Awards Summary'!$J:$J,"WMC")</f>
        <v>0</v>
      </c>
      <c r="GS58" s="55">
        <f>SUMIFS('Disbursements Summary'!$E:$E,'Disbursements Summary'!$C:$C,$C58,'Disbursements Summary'!$A:$A,"WMC")</f>
        <v>0</v>
      </c>
      <c r="GT58" s="55">
        <f>SUMIFS('Awards Summary'!$H:$H,'Awards Summary'!$B:$B,$C58,'Awards Summary'!$J:$J,"WCB")</f>
        <v>0</v>
      </c>
      <c r="GU58" s="55">
        <f>SUMIFS('Disbursements Summary'!$E:$E,'Disbursements Summary'!$C:$C,$C58,'Disbursements Summary'!$A:$A,"WCB")</f>
        <v>0</v>
      </c>
      <c r="GV58" s="32">
        <f t="shared" si="5"/>
        <v>0</v>
      </c>
      <c r="GW58" s="32">
        <f t="shared" si="6"/>
        <v>0</v>
      </c>
      <c r="GX58" s="30" t="b">
        <f t="shared" si="7"/>
        <v>1</v>
      </c>
      <c r="GY58" s="30" t="b">
        <f t="shared" si="8"/>
        <v>1</v>
      </c>
    </row>
    <row r="59" spans="1:207" s="30" customFormat="1">
      <c r="A59" s="22" t="str">
        <f t="shared" si="0"/>
        <v/>
      </c>
      <c r="B59" s="40" t="s">
        <v>42</v>
      </c>
      <c r="C59" s="16">
        <v>151105</v>
      </c>
      <c r="D59" s="26">
        <f>COUNTIF('Awards Summary'!B:B,"151105")</f>
        <v>0</v>
      </c>
      <c r="E59" s="45">
        <f>SUMIFS('Awards Summary'!H:H,'Awards Summary'!B:B,"151105")</f>
        <v>0</v>
      </c>
      <c r="F59" s="46">
        <f>SUMIFS('Disbursements Summary'!E:E,'Disbursements Summary'!C:C, "151105")</f>
        <v>0</v>
      </c>
      <c r="H59" s="55">
        <f>SUMIFS('Awards Summary'!$H:$H,'Awards Summary'!$B:$B,$C59,'Awards Summary'!$J:$J,"APA")</f>
        <v>0</v>
      </c>
      <c r="I59" s="55">
        <f>SUMIFS('Disbursements Summary'!$E:$E,'Disbursements Summary'!$C:$C,$C59,'Disbursements Summary'!$A:$A,"APA")</f>
        <v>0</v>
      </c>
      <c r="J59" s="55">
        <f>SUMIFS('Awards Summary'!$H:$H,'Awards Summary'!$B:$B,$C59,'Awards Summary'!$J:$J,"Ag&amp;Horse")</f>
        <v>0</v>
      </c>
      <c r="K59" s="55">
        <f>SUMIFS('Disbursements Summary'!$E:$E,'Disbursements Summary'!$C:$C,$C59,'Disbursements Summary'!$A:$A,"Ag&amp;Horse")</f>
        <v>0</v>
      </c>
      <c r="L59" s="55">
        <f>SUMIFS('Awards Summary'!$H:$H,'Awards Summary'!$B:$B,$C59,'Awards Summary'!$J:$J,"ACAA")</f>
        <v>0</v>
      </c>
      <c r="M59" s="55">
        <f>SUMIFS('Disbursements Summary'!$E:$E,'Disbursements Summary'!$C:$C,$C59,'Disbursements Summary'!$A:$A,"ACAA")</f>
        <v>0</v>
      </c>
      <c r="N59" s="55">
        <f>SUMIFS('Awards Summary'!$H:$H,'Awards Summary'!$B:$B,$C59,'Awards Summary'!$J:$J,"PortAlbany")</f>
        <v>0</v>
      </c>
      <c r="O59" s="55">
        <f>SUMIFS('Disbursements Summary'!$E:$E,'Disbursements Summary'!$C:$C,$C59,'Disbursements Summary'!$A:$A,"PortAlbany")</f>
        <v>0</v>
      </c>
      <c r="P59" s="55">
        <f>SUMIFS('Awards Summary'!$H:$H,'Awards Summary'!$B:$B,$C59,'Awards Summary'!$J:$J,"SLA")</f>
        <v>0</v>
      </c>
      <c r="Q59" s="55">
        <f>SUMIFS('Disbursements Summary'!$E:$E,'Disbursements Summary'!$C:$C,$C59,'Disbursements Summary'!$A:$A,"SLA")</f>
        <v>0</v>
      </c>
      <c r="R59" s="55">
        <f>SUMIFS('Awards Summary'!$H:$H,'Awards Summary'!$B:$B,$C59,'Awards Summary'!$J:$J,"BPCA")</f>
        <v>0</v>
      </c>
      <c r="S59" s="55">
        <f>SUMIFS('Disbursements Summary'!$E:$E,'Disbursements Summary'!$C:$C,$C59,'Disbursements Summary'!$A:$A,"BPCA")</f>
        <v>0</v>
      </c>
      <c r="T59" s="55">
        <f>SUMIFS('Awards Summary'!$H:$H,'Awards Summary'!$B:$B,$C59,'Awards Summary'!$J:$J,"ELECTIONS")</f>
        <v>0</v>
      </c>
      <c r="U59" s="55">
        <f>SUMIFS('Disbursements Summary'!$E:$E,'Disbursements Summary'!$C:$C,$C59,'Disbursements Summary'!$A:$A,"ELECTIONS")</f>
        <v>0</v>
      </c>
      <c r="V59" s="55">
        <f>SUMIFS('Awards Summary'!$H:$H,'Awards Summary'!$B:$B,$C59,'Awards Summary'!$J:$J,"BFSA")</f>
        <v>0</v>
      </c>
      <c r="W59" s="55">
        <f>SUMIFS('Disbursements Summary'!$E:$E,'Disbursements Summary'!$C:$C,$C59,'Disbursements Summary'!$A:$A,"BFSA")</f>
        <v>0</v>
      </c>
      <c r="X59" s="55">
        <f>SUMIFS('Awards Summary'!$H:$H,'Awards Summary'!$B:$B,$C59,'Awards Summary'!$J:$J,"CDTA")</f>
        <v>0</v>
      </c>
      <c r="Y59" s="55">
        <f>SUMIFS('Disbursements Summary'!$E:$E,'Disbursements Summary'!$C:$C,$C59,'Disbursements Summary'!$A:$A,"CDTA")</f>
        <v>0</v>
      </c>
      <c r="Z59" s="55">
        <f>SUMIFS('Awards Summary'!$H:$H,'Awards Summary'!$B:$B,$C59,'Awards Summary'!$J:$J,"CCWSA")</f>
        <v>0</v>
      </c>
      <c r="AA59" s="55">
        <f>SUMIFS('Disbursements Summary'!$E:$E,'Disbursements Summary'!$C:$C,$C59,'Disbursements Summary'!$A:$A,"CCWSA")</f>
        <v>0</v>
      </c>
      <c r="AB59" s="55">
        <f>SUMIFS('Awards Summary'!$H:$H,'Awards Summary'!$B:$B,$C59,'Awards Summary'!$J:$J,"CNYRTA")</f>
        <v>0</v>
      </c>
      <c r="AC59" s="55">
        <f>SUMIFS('Disbursements Summary'!$E:$E,'Disbursements Summary'!$C:$C,$C59,'Disbursements Summary'!$A:$A,"CNYRTA")</f>
        <v>0</v>
      </c>
      <c r="AD59" s="55">
        <f>SUMIFS('Awards Summary'!$H:$H,'Awards Summary'!$B:$B,$C59,'Awards Summary'!$J:$J,"CUCF")</f>
        <v>0</v>
      </c>
      <c r="AE59" s="55">
        <f>SUMIFS('Disbursements Summary'!$E:$E,'Disbursements Summary'!$C:$C,$C59,'Disbursements Summary'!$A:$A,"CUCF")</f>
        <v>0</v>
      </c>
      <c r="AF59" s="55">
        <f>SUMIFS('Awards Summary'!$H:$H,'Awards Summary'!$B:$B,$C59,'Awards Summary'!$J:$J,"CUNY")</f>
        <v>0</v>
      </c>
      <c r="AG59" s="55">
        <f>SUMIFS('Disbursements Summary'!$E:$E,'Disbursements Summary'!$C:$C,$C59,'Disbursements Summary'!$A:$A,"CUNY")</f>
        <v>0</v>
      </c>
      <c r="AH59" s="55">
        <f>SUMIFS('Awards Summary'!$H:$H,'Awards Summary'!$B:$B,$C59,'Awards Summary'!$J:$J,"ARTS")</f>
        <v>0</v>
      </c>
      <c r="AI59" s="55">
        <f>SUMIFS('Disbursements Summary'!$E:$E,'Disbursements Summary'!$C:$C,$C59,'Disbursements Summary'!$A:$A,"ARTS")</f>
        <v>0</v>
      </c>
      <c r="AJ59" s="55">
        <f>SUMIFS('Awards Summary'!$H:$H,'Awards Summary'!$B:$B,$C59,'Awards Summary'!$J:$J,"AG&amp;MKTS")</f>
        <v>0</v>
      </c>
      <c r="AK59" s="55">
        <f>SUMIFS('Disbursements Summary'!$E:$E,'Disbursements Summary'!$C:$C,$C59,'Disbursements Summary'!$A:$A,"AG&amp;MKTS")</f>
        <v>0</v>
      </c>
      <c r="AL59" s="55">
        <f>SUMIFS('Awards Summary'!$H:$H,'Awards Summary'!$B:$B,$C59,'Awards Summary'!$J:$J,"CS")</f>
        <v>0</v>
      </c>
      <c r="AM59" s="55">
        <f>SUMIFS('Disbursements Summary'!$E:$E,'Disbursements Summary'!$C:$C,$C59,'Disbursements Summary'!$A:$A,"CS")</f>
        <v>0</v>
      </c>
      <c r="AN59" s="55">
        <f>SUMIFS('Awards Summary'!$H:$H,'Awards Summary'!$B:$B,$C59,'Awards Summary'!$J:$J,"DOCCS")</f>
        <v>0</v>
      </c>
      <c r="AO59" s="55">
        <f>SUMIFS('Disbursements Summary'!$E:$E,'Disbursements Summary'!$C:$C,$C59,'Disbursements Summary'!$A:$A,"DOCCS")</f>
        <v>0</v>
      </c>
      <c r="AP59" s="55">
        <f>SUMIFS('Awards Summary'!$H:$H,'Awards Summary'!$B:$B,$C59,'Awards Summary'!$J:$J,"DED")</f>
        <v>0</v>
      </c>
      <c r="AQ59" s="55">
        <f>SUMIFS('Disbursements Summary'!$E:$E,'Disbursements Summary'!$C:$C,$C59,'Disbursements Summary'!$A:$A,"DED")</f>
        <v>0</v>
      </c>
      <c r="AR59" s="55">
        <f>SUMIFS('Awards Summary'!$H:$H,'Awards Summary'!$B:$B,$C59,'Awards Summary'!$J:$J,"DEC")</f>
        <v>0</v>
      </c>
      <c r="AS59" s="55">
        <f>SUMIFS('Disbursements Summary'!$E:$E,'Disbursements Summary'!$C:$C,$C59,'Disbursements Summary'!$A:$A,"DEC")</f>
        <v>0</v>
      </c>
      <c r="AT59" s="55">
        <f>SUMIFS('Awards Summary'!$H:$H,'Awards Summary'!$B:$B,$C59,'Awards Summary'!$J:$J,"DFS")</f>
        <v>0</v>
      </c>
      <c r="AU59" s="55">
        <f>SUMIFS('Disbursements Summary'!$E:$E,'Disbursements Summary'!$C:$C,$C59,'Disbursements Summary'!$A:$A,"DFS")</f>
        <v>0</v>
      </c>
      <c r="AV59" s="55">
        <f>SUMIFS('Awards Summary'!$H:$H,'Awards Summary'!$B:$B,$C59,'Awards Summary'!$J:$J,"DOH")</f>
        <v>0</v>
      </c>
      <c r="AW59" s="55">
        <f>SUMIFS('Disbursements Summary'!$E:$E,'Disbursements Summary'!$C:$C,$C59,'Disbursements Summary'!$A:$A,"DOH")</f>
        <v>0</v>
      </c>
      <c r="AX59" s="55">
        <f>SUMIFS('Awards Summary'!$H:$H,'Awards Summary'!$B:$B,$C59,'Awards Summary'!$J:$J,"DOL")</f>
        <v>0</v>
      </c>
      <c r="AY59" s="55">
        <f>SUMIFS('Disbursements Summary'!$E:$E,'Disbursements Summary'!$C:$C,$C59,'Disbursements Summary'!$A:$A,"DOL")</f>
        <v>0</v>
      </c>
      <c r="AZ59" s="55">
        <f>SUMIFS('Awards Summary'!$H:$H,'Awards Summary'!$B:$B,$C59,'Awards Summary'!$J:$J,"DMV")</f>
        <v>0</v>
      </c>
      <c r="BA59" s="55">
        <f>SUMIFS('Disbursements Summary'!$E:$E,'Disbursements Summary'!$C:$C,$C59,'Disbursements Summary'!$A:$A,"DMV")</f>
        <v>0</v>
      </c>
      <c r="BB59" s="55">
        <f>SUMIFS('Awards Summary'!$H:$H,'Awards Summary'!$B:$B,$C59,'Awards Summary'!$J:$J,"DPS")</f>
        <v>0</v>
      </c>
      <c r="BC59" s="55">
        <f>SUMIFS('Disbursements Summary'!$E:$E,'Disbursements Summary'!$C:$C,$C59,'Disbursements Summary'!$A:$A,"DPS")</f>
        <v>0</v>
      </c>
      <c r="BD59" s="55">
        <f>SUMIFS('Awards Summary'!$H:$H,'Awards Summary'!$B:$B,$C59,'Awards Summary'!$J:$J,"DOS")</f>
        <v>0</v>
      </c>
      <c r="BE59" s="55">
        <f>SUMIFS('Disbursements Summary'!$E:$E,'Disbursements Summary'!$C:$C,$C59,'Disbursements Summary'!$A:$A,"DOS")</f>
        <v>0</v>
      </c>
      <c r="BF59" s="55">
        <f>SUMIFS('Awards Summary'!$H:$H,'Awards Summary'!$B:$B,$C59,'Awards Summary'!$J:$J,"TAX")</f>
        <v>0</v>
      </c>
      <c r="BG59" s="55">
        <f>SUMIFS('Disbursements Summary'!$E:$E,'Disbursements Summary'!$C:$C,$C59,'Disbursements Summary'!$A:$A,"TAX")</f>
        <v>0</v>
      </c>
      <c r="BH59" s="55">
        <f>SUMIFS('Awards Summary'!$H:$H,'Awards Summary'!$B:$B,$C59,'Awards Summary'!$J:$J,"DOT")</f>
        <v>0</v>
      </c>
      <c r="BI59" s="55">
        <f>SUMIFS('Disbursements Summary'!$E:$E,'Disbursements Summary'!$C:$C,$C59,'Disbursements Summary'!$A:$A,"DOT")</f>
        <v>0</v>
      </c>
      <c r="BJ59" s="55">
        <f>SUMIFS('Awards Summary'!$H:$H,'Awards Summary'!$B:$B,$C59,'Awards Summary'!$J:$J,"DANC")</f>
        <v>0</v>
      </c>
      <c r="BK59" s="55">
        <f>SUMIFS('Disbursements Summary'!$E:$E,'Disbursements Summary'!$C:$C,$C59,'Disbursements Summary'!$A:$A,"DANC")</f>
        <v>0</v>
      </c>
      <c r="BL59" s="55">
        <f>SUMIFS('Awards Summary'!$H:$H,'Awards Summary'!$B:$B,$C59,'Awards Summary'!$J:$J,"DOB")</f>
        <v>0</v>
      </c>
      <c r="BM59" s="55">
        <f>SUMIFS('Disbursements Summary'!$E:$E,'Disbursements Summary'!$C:$C,$C59,'Disbursements Summary'!$A:$A,"DOB")</f>
        <v>0</v>
      </c>
      <c r="BN59" s="55">
        <f>SUMIFS('Awards Summary'!$H:$H,'Awards Summary'!$B:$B,$C59,'Awards Summary'!$J:$J,"DCJS")</f>
        <v>0</v>
      </c>
      <c r="BO59" s="55">
        <f>SUMIFS('Disbursements Summary'!$E:$E,'Disbursements Summary'!$C:$C,$C59,'Disbursements Summary'!$A:$A,"DCJS")</f>
        <v>0</v>
      </c>
      <c r="BP59" s="55">
        <f>SUMIFS('Awards Summary'!$H:$H,'Awards Summary'!$B:$B,$C59,'Awards Summary'!$J:$J,"DHSES")</f>
        <v>0</v>
      </c>
      <c r="BQ59" s="55">
        <f>SUMIFS('Disbursements Summary'!$E:$E,'Disbursements Summary'!$C:$C,$C59,'Disbursements Summary'!$A:$A,"DHSES")</f>
        <v>0</v>
      </c>
      <c r="BR59" s="55">
        <f>SUMIFS('Awards Summary'!$H:$H,'Awards Summary'!$B:$B,$C59,'Awards Summary'!$J:$J,"DHR")</f>
        <v>0</v>
      </c>
      <c r="BS59" s="55">
        <f>SUMIFS('Disbursements Summary'!$E:$E,'Disbursements Summary'!$C:$C,$C59,'Disbursements Summary'!$A:$A,"DHR")</f>
        <v>0</v>
      </c>
      <c r="BT59" s="55">
        <f>SUMIFS('Awards Summary'!$H:$H,'Awards Summary'!$B:$B,$C59,'Awards Summary'!$J:$J,"DMNA")</f>
        <v>0</v>
      </c>
      <c r="BU59" s="55">
        <f>SUMIFS('Disbursements Summary'!$E:$E,'Disbursements Summary'!$C:$C,$C59,'Disbursements Summary'!$A:$A,"DMNA")</f>
        <v>0</v>
      </c>
      <c r="BV59" s="55">
        <f>SUMIFS('Awards Summary'!$H:$H,'Awards Summary'!$B:$B,$C59,'Awards Summary'!$J:$J,"TROOPERS")</f>
        <v>0</v>
      </c>
      <c r="BW59" s="55">
        <f>SUMIFS('Disbursements Summary'!$E:$E,'Disbursements Summary'!$C:$C,$C59,'Disbursements Summary'!$A:$A,"TROOPERS")</f>
        <v>0</v>
      </c>
      <c r="BX59" s="55">
        <f>SUMIFS('Awards Summary'!$H:$H,'Awards Summary'!$B:$B,$C59,'Awards Summary'!$J:$J,"DVA")</f>
        <v>0</v>
      </c>
      <c r="BY59" s="55">
        <f>SUMIFS('Disbursements Summary'!$E:$E,'Disbursements Summary'!$C:$C,$C59,'Disbursements Summary'!$A:$A,"DVA")</f>
        <v>0</v>
      </c>
      <c r="BZ59" s="55">
        <f>SUMIFS('Awards Summary'!$H:$H,'Awards Summary'!$B:$B,$C59,'Awards Summary'!$J:$J,"DASNY")</f>
        <v>0</v>
      </c>
      <c r="CA59" s="55">
        <f>SUMIFS('Disbursements Summary'!$E:$E,'Disbursements Summary'!$C:$C,$C59,'Disbursements Summary'!$A:$A,"DASNY")</f>
        <v>0</v>
      </c>
      <c r="CB59" s="55">
        <f>SUMIFS('Awards Summary'!$H:$H,'Awards Summary'!$B:$B,$C59,'Awards Summary'!$J:$J,"EGG")</f>
        <v>0</v>
      </c>
      <c r="CC59" s="55">
        <f>SUMIFS('Disbursements Summary'!$E:$E,'Disbursements Summary'!$C:$C,$C59,'Disbursements Summary'!$A:$A,"EGG")</f>
        <v>0</v>
      </c>
      <c r="CD59" s="55">
        <f>SUMIFS('Awards Summary'!$H:$H,'Awards Summary'!$B:$B,$C59,'Awards Summary'!$J:$J,"ESD")</f>
        <v>0</v>
      </c>
      <c r="CE59" s="55">
        <f>SUMIFS('Disbursements Summary'!$E:$E,'Disbursements Summary'!$C:$C,$C59,'Disbursements Summary'!$A:$A,"ESD")</f>
        <v>0</v>
      </c>
      <c r="CF59" s="55">
        <f>SUMIFS('Awards Summary'!$H:$H,'Awards Summary'!$B:$B,$C59,'Awards Summary'!$J:$J,"EFC")</f>
        <v>0</v>
      </c>
      <c r="CG59" s="55">
        <f>SUMIFS('Disbursements Summary'!$E:$E,'Disbursements Summary'!$C:$C,$C59,'Disbursements Summary'!$A:$A,"EFC")</f>
        <v>0</v>
      </c>
      <c r="CH59" s="55">
        <f>SUMIFS('Awards Summary'!$H:$H,'Awards Summary'!$B:$B,$C59,'Awards Summary'!$J:$J,"ECFSA")</f>
        <v>0</v>
      </c>
      <c r="CI59" s="55">
        <f>SUMIFS('Disbursements Summary'!$E:$E,'Disbursements Summary'!$C:$C,$C59,'Disbursements Summary'!$A:$A,"ECFSA")</f>
        <v>0</v>
      </c>
      <c r="CJ59" s="55">
        <f>SUMIFS('Awards Summary'!$H:$H,'Awards Summary'!$B:$B,$C59,'Awards Summary'!$J:$J,"ECMC")</f>
        <v>0</v>
      </c>
      <c r="CK59" s="55">
        <f>SUMIFS('Disbursements Summary'!$E:$E,'Disbursements Summary'!$C:$C,$C59,'Disbursements Summary'!$A:$A,"ECMC")</f>
        <v>0</v>
      </c>
      <c r="CL59" s="55">
        <f>SUMIFS('Awards Summary'!$H:$H,'Awards Summary'!$B:$B,$C59,'Awards Summary'!$J:$J,"CHAMBER")</f>
        <v>0</v>
      </c>
      <c r="CM59" s="55">
        <f>SUMIFS('Disbursements Summary'!$E:$E,'Disbursements Summary'!$C:$C,$C59,'Disbursements Summary'!$A:$A,"CHAMBER")</f>
        <v>0</v>
      </c>
      <c r="CN59" s="55">
        <f>SUMIFS('Awards Summary'!$H:$H,'Awards Summary'!$B:$B,$C59,'Awards Summary'!$J:$J,"GAMING")</f>
        <v>0</v>
      </c>
      <c r="CO59" s="55">
        <f>SUMIFS('Disbursements Summary'!$E:$E,'Disbursements Summary'!$C:$C,$C59,'Disbursements Summary'!$A:$A,"GAMING")</f>
        <v>0</v>
      </c>
      <c r="CP59" s="55">
        <f>SUMIFS('Awards Summary'!$H:$H,'Awards Summary'!$B:$B,$C59,'Awards Summary'!$J:$J,"GOER")</f>
        <v>0</v>
      </c>
      <c r="CQ59" s="55">
        <f>SUMIFS('Disbursements Summary'!$E:$E,'Disbursements Summary'!$C:$C,$C59,'Disbursements Summary'!$A:$A,"GOER")</f>
        <v>0</v>
      </c>
      <c r="CR59" s="55">
        <f>SUMIFS('Awards Summary'!$H:$H,'Awards Summary'!$B:$B,$C59,'Awards Summary'!$J:$J,"HESC")</f>
        <v>0</v>
      </c>
      <c r="CS59" s="55">
        <f>SUMIFS('Disbursements Summary'!$E:$E,'Disbursements Summary'!$C:$C,$C59,'Disbursements Summary'!$A:$A,"HESC")</f>
        <v>0</v>
      </c>
      <c r="CT59" s="55">
        <f>SUMIFS('Awards Summary'!$H:$H,'Awards Summary'!$B:$B,$C59,'Awards Summary'!$J:$J,"GOSR")</f>
        <v>0</v>
      </c>
      <c r="CU59" s="55">
        <f>SUMIFS('Disbursements Summary'!$E:$E,'Disbursements Summary'!$C:$C,$C59,'Disbursements Summary'!$A:$A,"GOSR")</f>
        <v>0</v>
      </c>
      <c r="CV59" s="55">
        <f>SUMIFS('Awards Summary'!$H:$H,'Awards Summary'!$B:$B,$C59,'Awards Summary'!$J:$J,"HRPT")</f>
        <v>0</v>
      </c>
      <c r="CW59" s="55">
        <f>SUMIFS('Disbursements Summary'!$E:$E,'Disbursements Summary'!$C:$C,$C59,'Disbursements Summary'!$A:$A,"HRPT")</f>
        <v>0</v>
      </c>
      <c r="CX59" s="55">
        <f>SUMIFS('Awards Summary'!$H:$H,'Awards Summary'!$B:$B,$C59,'Awards Summary'!$J:$J,"HRBRRD")</f>
        <v>0</v>
      </c>
      <c r="CY59" s="55">
        <f>SUMIFS('Disbursements Summary'!$E:$E,'Disbursements Summary'!$C:$C,$C59,'Disbursements Summary'!$A:$A,"HRBRRD")</f>
        <v>0</v>
      </c>
      <c r="CZ59" s="55">
        <f>SUMIFS('Awards Summary'!$H:$H,'Awards Summary'!$B:$B,$C59,'Awards Summary'!$J:$J,"ITS")</f>
        <v>0</v>
      </c>
      <c r="DA59" s="55">
        <f>SUMIFS('Disbursements Summary'!$E:$E,'Disbursements Summary'!$C:$C,$C59,'Disbursements Summary'!$A:$A,"ITS")</f>
        <v>0</v>
      </c>
      <c r="DB59" s="55">
        <f>SUMIFS('Awards Summary'!$H:$H,'Awards Summary'!$B:$B,$C59,'Awards Summary'!$J:$J,"JAVITS")</f>
        <v>0</v>
      </c>
      <c r="DC59" s="55">
        <f>SUMIFS('Disbursements Summary'!$E:$E,'Disbursements Summary'!$C:$C,$C59,'Disbursements Summary'!$A:$A,"JAVITS")</f>
        <v>0</v>
      </c>
      <c r="DD59" s="55">
        <f>SUMIFS('Awards Summary'!$H:$H,'Awards Summary'!$B:$B,$C59,'Awards Summary'!$J:$J,"JCOPE")</f>
        <v>0</v>
      </c>
      <c r="DE59" s="55">
        <f>SUMIFS('Disbursements Summary'!$E:$E,'Disbursements Summary'!$C:$C,$C59,'Disbursements Summary'!$A:$A,"JCOPE")</f>
        <v>0</v>
      </c>
      <c r="DF59" s="55">
        <f>SUMIFS('Awards Summary'!$H:$H,'Awards Summary'!$B:$B,$C59,'Awards Summary'!$J:$J,"JUSTICE")</f>
        <v>0</v>
      </c>
      <c r="DG59" s="55">
        <f>SUMIFS('Disbursements Summary'!$E:$E,'Disbursements Summary'!$C:$C,$C59,'Disbursements Summary'!$A:$A,"JUSTICE")</f>
        <v>0</v>
      </c>
      <c r="DH59" s="55">
        <f>SUMIFS('Awards Summary'!$H:$H,'Awards Summary'!$B:$B,$C59,'Awards Summary'!$J:$J,"LCWSA")</f>
        <v>0</v>
      </c>
      <c r="DI59" s="55">
        <f>SUMIFS('Disbursements Summary'!$E:$E,'Disbursements Summary'!$C:$C,$C59,'Disbursements Summary'!$A:$A,"LCWSA")</f>
        <v>0</v>
      </c>
      <c r="DJ59" s="55">
        <f>SUMIFS('Awards Summary'!$H:$H,'Awards Summary'!$B:$B,$C59,'Awards Summary'!$J:$J,"LIPA")</f>
        <v>0</v>
      </c>
      <c r="DK59" s="55">
        <f>SUMIFS('Disbursements Summary'!$E:$E,'Disbursements Summary'!$C:$C,$C59,'Disbursements Summary'!$A:$A,"LIPA")</f>
        <v>0</v>
      </c>
      <c r="DL59" s="55">
        <f>SUMIFS('Awards Summary'!$H:$H,'Awards Summary'!$B:$B,$C59,'Awards Summary'!$J:$J,"MTA")</f>
        <v>0</v>
      </c>
      <c r="DM59" s="55">
        <f>SUMIFS('Disbursements Summary'!$E:$E,'Disbursements Summary'!$C:$C,$C59,'Disbursements Summary'!$A:$A,"MTA")</f>
        <v>0</v>
      </c>
      <c r="DN59" s="55">
        <f>SUMIFS('Awards Summary'!$H:$H,'Awards Summary'!$B:$B,$C59,'Awards Summary'!$J:$J,"NIFA")</f>
        <v>0</v>
      </c>
      <c r="DO59" s="55">
        <f>SUMIFS('Disbursements Summary'!$E:$E,'Disbursements Summary'!$C:$C,$C59,'Disbursements Summary'!$A:$A,"NIFA")</f>
        <v>0</v>
      </c>
      <c r="DP59" s="55">
        <f>SUMIFS('Awards Summary'!$H:$H,'Awards Summary'!$B:$B,$C59,'Awards Summary'!$J:$J,"NHCC")</f>
        <v>0</v>
      </c>
      <c r="DQ59" s="55">
        <f>SUMIFS('Disbursements Summary'!$E:$E,'Disbursements Summary'!$C:$C,$C59,'Disbursements Summary'!$A:$A,"NHCC")</f>
        <v>0</v>
      </c>
      <c r="DR59" s="55">
        <f>SUMIFS('Awards Summary'!$H:$H,'Awards Summary'!$B:$B,$C59,'Awards Summary'!$J:$J,"NHT")</f>
        <v>0</v>
      </c>
      <c r="DS59" s="55">
        <f>SUMIFS('Disbursements Summary'!$E:$E,'Disbursements Summary'!$C:$C,$C59,'Disbursements Summary'!$A:$A,"NHT")</f>
        <v>0</v>
      </c>
      <c r="DT59" s="55">
        <f>SUMIFS('Awards Summary'!$H:$H,'Awards Summary'!$B:$B,$C59,'Awards Summary'!$J:$J,"NYPA")</f>
        <v>0</v>
      </c>
      <c r="DU59" s="55">
        <f>SUMIFS('Disbursements Summary'!$E:$E,'Disbursements Summary'!$C:$C,$C59,'Disbursements Summary'!$A:$A,"NYPA")</f>
        <v>0</v>
      </c>
      <c r="DV59" s="55">
        <f>SUMIFS('Awards Summary'!$H:$H,'Awards Summary'!$B:$B,$C59,'Awards Summary'!$J:$J,"NYSBA")</f>
        <v>0</v>
      </c>
      <c r="DW59" s="55">
        <f>SUMIFS('Disbursements Summary'!$E:$E,'Disbursements Summary'!$C:$C,$C59,'Disbursements Summary'!$A:$A,"NYSBA")</f>
        <v>0</v>
      </c>
      <c r="DX59" s="55">
        <f>SUMIFS('Awards Summary'!$H:$H,'Awards Summary'!$B:$B,$C59,'Awards Summary'!$J:$J,"NYSERDA")</f>
        <v>0</v>
      </c>
      <c r="DY59" s="55">
        <f>SUMIFS('Disbursements Summary'!$E:$E,'Disbursements Summary'!$C:$C,$C59,'Disbursements Summary'!$A:$A,"NYSERDA")</f>
        <v>0</v>
      </c>
      <c r="DZ59" s="55">
        <f>SUMIFS('Awards Summary'!$H:$H,'Awards Summary'!$B:$B,$C59,'Awards Summary'!$J:$J,"DHCR")</f>
        <v>0</v>
      </c>
      <c r="EA59" s="55">
        <f>SUMIFS('Disbursements Summary'!$E:$E,'Disbursements Summary'!$C:$C,$C59,'Disbursements Summary'!$A:$A,"DHCR")</f>
        <v>0</v>
      </c>
      <c r="EB59" s="55">
        <f>SUMIFS('Awards Summary'!$H:$H,'Awards Summary'!$B:$B,$C59,'Awards Summary'!$J:$J,"HFA")</f>
        <v>0</v>
      </c>
      <c r="EC59" s="55">
        <f>SUMIFS('Disbursements Summary'!$E:$E,'Disbursements Summary'!$C:$C,$C59,'Disbursements Summary'!$A:$A,"HFA")</f>
        <v>0</v>
      </c>
      <c r="ED59" s="55">
        <f>SUMIFS('Awards Summary'!$H:$H,'Awards Summary'!$B:$B,$C59,'Awards Summary'!$J:$J,"NYSIF")</f>
        <v>0</v>
      </c>
      <c r="EE59" s="55">
        <f>SUMIFS('Disbursements Summary'!$E:$E,'Disbursements Summary'!$C:$C,$C59,'Disbursements Summary'!$A:$A,"NYSIF")</f>
        <v>0</v>
      </c>
      <c r="EF59" s="55">
        <f>SUMIFS('Awards Summary'!$H:$H,'Awards Summary'!$B:$B,$C59,'Awards Summary'!$J:$J,"NYBREDS")</f>
        <v>0</v>
      </c>
      <c r="EG59" s="55">
        <f>SUMIFS('Disbursements Summary'!$E:$E,'Disbursements Summary'!$C:$C,$C59,'Disbursements Summary'!$A:$A,"NYBREDS")</f>
        <v>0</v>
      </c>
      <c r="EH59" s="55">
        <f>SUMIFS('Awards Summary'!$H:$H,'Awards Summary'!$B:$B,$C59,'Awards Summary'!$J:$J,"NYSTA")</f>
        <v>0</v>
      </c>
      <c r="EI59" s="55">
        <f>SUMIFS('Disbursements Summary'!$E:$E,'Disbursements Summary'!$C:$C,$C59,'Disbursements Summary'!$A:$A,"NYSTA")</f>
        <v>0</v>
      </c>
      <c r="EJ59" s="55">
        <f>SUMIFS('Awards Summary'!$H:$H,'Awards Summary'!$B:$B,$C59,'Awards Summary'!$J:$J,"NFWB")</f>
        <v>0</v>
      </c>
      <c r="EK59" s="55">
        <f>SUMIFS('Disbursements Summary'!$E:$E,'Disbursements Summary'!$C:$C,$C59,'Disbursements Summary'!$A:$A,"NFWB")</f>
        <v>0</v>
      </c>
      <c r="EL59" s="55">
        <f>SUMIFS('Awards Summary'!$H:$H,'Awards Summary'!$B:$B,$C59,'Awards Summary'!$J:$J,"NFTA")</f>
        <v>0</v>
      </c>
      <c r="EM59" s="55">
        <f>SUMIFS('Disbursements Summary'!$E:$E,'Disbursements Summary'!$C:$C,$C59,'Disbursements Summary'!$A:$A,"NFTA")</f>
        <v>0</v>
      </c>
      <c r="EN59" s="55">
        <f>SUMIFS('Awards Summary'!$H:$H,'Awards Summary'!$B:$B,$C59,'Awards Summary'!$J:$J,"OPWDD")</f>
        <v>0</v>
      </c>
      <c r="EO59" s="55">
        <f>SUMIFS('Disbursements Summary'!$E:$E,'Disbursements Summary'!$C:$C,$C59,'Disbursements Summary'!$A:$A,"OPWDD")</f>
        <v>0</v>
      </c>
      <c r="EP59" s="55">
        <f>SUMIFS('Awards Summary'!$H:$H,'Awards Summary'!$B:$B,$C59,'Awards Summary'!$J:$J,"AGING")</f>
        <v>0</v>
      </c>
      <c r="EQ59" s="55">
        <f>SUMIFS('Disbursements Summary'!$E:$E,'Disbursements Summary'!$C:$C,$C59,'Disbursements Summary'!$A:$A,"AGING")</f>
        <v>0</v>
      </c>
      <c r="ER59" s="55">
        <f>SUMIFS('Awards Summary'!$H:$H,'Awards Summary'!$B:$B,$C59,'Awards Summary'!$J:$J,"OPDV")</f>
        <v>0</v>
      </c>
      <c r="ES59" s="55">
        <f>SUMIFS('Disbursements Summary'!$E:$E,'Disbursements Summary'!$C:$C,$C59,'Disbursements Summary'!$A:$A,"OPDV")</f>
        <v>0</v>
      </c>
      <c r="ET59" s="55">
        <f>SUMIFS('Awards Summary'!$H:$H,'Awards Summary'!$B:$B,$C59,'Awards Summary'!$J:$J,"OVS")</f>
        <v>0</v>
      </c>
      <c r="EU59" s="55">
        <f>SUMIFS('Disbursements Summary'!$E:$E,'Disbursements Summary'!$C:$C,$C59,'Disbursements Summary'!$A:$A,"OVS")</f>
        <v>0</v>
      </c>
      <c r="EV59" s="55">
        <f>SUMIFS('Awards Summary'!$H:$H,'Awards Summary'!$B:$B,$C59,'Awards Summary'!$J:$J,"OASAS")</f>
        <v>0</v>
      </c>
      <c r="EW59" s="55">
        <f>SUMIFS('Disbursements Summary'!$E:$E,'Disbursements Summary'!$C:$C,$C59,'Disbursements Summary'!$A:$A,"OASAS")</f>
        <v>0</v>
      </c>
      <c r="EX59" s="55">
        <f>SUMIFS('Awards Summary'!$H:$H,'Awards Summary'!$B:$B,$C59,'Awards Summary'!$J:$J,"OCFS")</f>
        <v>0</v>
      </c>
      <c r="EY59" s="55">
        <f>SUMIFS('Disbursements Summary'!$E:$E,'Disbursements Summary'!$C:$C,$C59,'Disbursements Summary'!$A:$A,"OCFS")</f>
        <v>0</v>
      </c>
      <c r="EZ59" s="55">
        <f>SUMIFS('Awards Summary'!$H:$H,'Awards Summary'!$B:$B,$C59,'Awards Summary'!$J:$J,"OGS")</f>
        <v>0</v>
      </c>
      <c r="FA59" s="55">
        <f>SUMIFS('Disbursements Summary'!$E:$E,'Disbursements Summary'!$C:$C,$C59,'Disbursements Summary'!$A:$A,"OGS")</f>
        <v>0</v>
      </c>
      <c r="FB59" s="55">
        <f>SUMIFS('Awards Summary'!$H:$H,'Awards Summary'!$B:$B,$C59,'Awards Summary'!$J:$J,"OMH")</f>
        <v>0</v>
      </c>
      <c r="FC59" s="55">
        <f>SUMIFS('Disbursements Summary'!$E:$E,'Disbursements Summary'!$C:$C,$C59,'Disbursements Summary'!$A:$A,"OMH")</f>
        <v>0</v>
      </c>
      <c r="FD59" s="55">
        <f>SUMIFS('Awards Summary'!$H:$H,'Awards Summary'!$B:$B,$C59,'Awards Summary'!$J:$J,"PARKS")</f>
        <v>0</v>
      </c>
      <c r="FE59" s="55">
        <f>SUMIFS('Disbursements Summary'!$E:$E,'Disbursements Summary'!$C:$C,$C59,'Disbursements Summary'!$A:$A,"PARKS")</f>
        <v>0</v>
      </c>
      <c r="FF59" s="55">
        <f>SUMIFS('Awards Summary'!$H:$H,'Awards Summary'!$B:$B,$C59,'Awards Summary'!$J:$J,"OTDA")</f>
        <v>0</v>
      </c>
      <c r="FG59" s="55">
        <f>SUMIFS('Disbursements Summary'!$E:$E,'Disbursements Summary'!$C:$C,$C59,'Disbursements Summary'!$A:$A,"OTDA")</f>
        <v>0</v>
      </c>
      <c r="FH59" s="55">
        <f>SUMIFS('Awards Summary'!$H:$H,'Awards Summary'!$B:$B,$C59,'Awards Summary'!$J:$J,"OIG")</f>
        <v>0</v>
      </c>
      <c r="FI59" s="55">
        <f>SUMIFS('Disbursements Summary'!$E:$E,'Disbursements Summary'!$C:$C,$C59,'Disbursements Summary'!$A:$A,"OIG")</f>
        <v>0</v>
      </c>
      <c r="FJ59" s="55">
        <f>SUMIFS('Awards Summary'!$H:$H,'Awards Summary'!$B:$B,$C59,'Awards Summary'!$J:$J,"OMIG")</f>
        <v>0</v>
      </c>
      <c r="FK59" s="55">
        <f>SUMIFS('Disbursements Summary'!$E:$E,'Disbursements Summary'!$C:$C,$C59,'Disbursements Summary'!$A:$A,"OMIG")</f>
        <v>0</v>
      </c>
      <c r="FL59" s="55">
        <f>SUMIFS('Awards Summary'!$H:$H,'Awards Summary'!$B:$B,$C59,'Awards Summary'!$J:$J,"OSC")</f>
        <v>0</v>
      </c>
      <c r="FM59" s="55">
        <f>SUMIFS('Disbursements Summary'!$E:$E,'Disbursements Summary'!$C:$C,$C59,'Disbursements Summary'!$A:$A,"OSC")</f>
        <v>0</v>
      </c>
      <c r="FN59" s="55">
        <f>SUMIFS('Awards Summary'!$H:$H,'Awards Summary'!$B:$B,$C59,'Awards Summary'!$J:$J,"OWIG")</f>
        <v>0</v>
      </c>
      <c r="FO59" s="55">
        <f>SUMIFS('Disbursements Summary'!$E:$E,'Disbursements Summary'!$C:$C,$C59,'Disbursements Summary'!$A:$A,"OWIG")</f>
        <v>0</v>
      </c>
      <c r="FP59" s="55">
        <f>SUMIFS('Awards Summary'!$H:$H,'Awards Summary'!$B:$B,$C59,'Awards Summary'!$J:$J,"OGDEN")</f>
        <v>0</v>
      </c>
      <c r="FQ59" s="55">
        <f>SUMIFS('Disbursements Summary'!$E:$E,'Disbursements Summary'!$C:$C,$C59,'Disbursements Summary'!$A:$A,"OGDEN")</f>
        <v>0</v>
      </c>
      <c r="FR59" s="55">
        <f>SUMIFS('Awards Summary'!$H:$H,'Awards Summary'!$B:$B,$C59,'Awards Summary'!$J:$J,"ORDA")</f>
        <v>0</v>
      </c>
      <c r="FS59" s="55">
        <f>SUMIFS('Disbursements Summary'!$E:$E,'Disbursements Summary'!$C:$C,$C59,'Disbursements Summary'!$A:$A,"ORDA")</f>
        <v>0</v>
      </c>
      <c r="FT59" s="55">
        <f>SUMIFS('Awards Summary'!$H:$H,'Awards Summary'!$B:$B,$C59,'Awards Summary'!$J:$J,"OSWEGO")</f>
        <v>0</v>
      </c>
      <c r="FU59" s="55">
        <f>SUMIFS('Disbursements Summary'!$E:$E,'Disbursements Summary'!$C:$C,$C59,'Disbursements Summary'!$A:$A,"OSWEGO")</f>
        <v>0</v>
      </c>
      <c r="FV59" s="55">
        <f>SUMIFS('Awards Summary'!$H:$H,'Awards Summary'!$B:$B,$C59,'Awards Summary'!$J:$J,"PERB")</f>
        <v>0</v>
      </c>
      <c r="FW59" s="55">
        <f>SUMIFS('Disbursements Summary'!$E:$E,'Disbursements Summary'!$C:$C,$C59,'Disbursements Summary'!$A:$A,"PERB")</f>
        <v>0</v>
      </c>
      <c r="FX59" s="55">
        <f>SUMIFS('Awards Summary'!$H:$H,'Awards Summary'!$B:$B,$C59,'Awards Summary'!$J:$J,"RGRTA")</f>
        <v>0</v>
      </c>
      <c r="FY59" s="55">
        <f>SUMIFS('Disbursements Summary'!$E:$E,'Disbursements Summary'!$C:$C,$C59,'Disbursements Summary'!$A:$A,"RGRTA")</f>
        <v>0</v>
      </c>
      <c r="FZ59" s="55">
        <f>SUMIFS('Awards Summary'!$H:$H,'Awards Summary'!$B:$B,$C59,'Awards Summary'!$J:$J,"RIOC")</f>
        <v>0</v>
      </c>
      <c r="GA59" s="55">
        <f>SUMIFS('Disbursements Summary'!$E:$E,'Disbursements Summary'!$C:$C,$C59,'Disbursements Summary'!$A:$A,"RIOC")</f>
        <v>0</v>
      </c>
      <c r="GB59" s="55">
        <f>SUMIFS('Awards Summary'!$H:$H,'Awards Summary'!$B:$B,$C59,'Awards Summary'!$J:$J,"RPCI")</f>
        <v>0</v>
      </c>
      <c r="GC59" s="55">
        <f>SUMIFS('Disbursements Summary'!$E:$E,'Disbursements Summary'!$C:$C,$C59,'Disbursements Summary'!$A:$A,"RPCI")</f>
        <v>0</v>
      </c>
      <c r="GD59" s="55">
        <f>SUMIFS('Awards Summary'!$H:$H,'Awards Summary'!$B:$B,$C59,'Awards Summary'!$J:$J,"SMDA")</f>
        <v>0</v>
      </c>
      <c r="GE59" s="55">
        <f>SUMIFS('Disbursements Summary'!$E:$E,'Disbursements Summary'!$C:$C,$C59,'Disbursements Summary'!$A:$A,"SMDA")</f>
        <v>0</v>
      </c>
      <c r="GF59" s="55">
        <f>SUMIFS('Awards Summary'!$H:$H,'Awards Summary'!$B:$B,$C59,'Awards Summary'!$J:$J,"SCOC")</f>
        <v>0</v>
      </c>
      <c r="GG59" s="55">
        <f>SUMIFS('Disbursements Summary'!$E:$E,'Disbursements Summary'!$C:$C,$C59,'Disbursements Summary'!$A:$A,"SCOC")</f>
        <v>0</v>
      </c>
      <c r="GH59" s="55">
        <f>SUMIFS('Awards Summary'!$H:$H,'Awards Summary'!$B:$B,$C59,'Awards Summary'!$J:$J,"SUCF")</f>
        <v>0</v>
      </c>
      <c r="GI59" s="55">
        <f>SUMIFS('Disbursements Summary'!$E:$E,'Disbursements Summary'!$C:$C,$C59,'Disbursements Summary'!$A:$A,"SUCF")</f>
        <v>0</v>
      </c>
      <c r="GJ59" s="55">
        <f>SUMIFS('Awards Summary'!$H:$H,'Awards Summary'!$B:$B,$C59,'Awards Summary'!$J:$J,"SUNY")</f>
        <v>0</v>
      </c>
      <c r="GK59" s="55">
        <f>SUMIFS('Disbursements Summary'!$E:$E,'Disbursements Summary'!$C:$C,$C59,'Disbursements Summary'!$A:$A,"SUNY")</f>
        <v>0</v>
      </c>
      <c r="GL59" s="55">
        <f>SUMIFS('Awards Summary'!$H:$H,'Awards Summary'!$B:$B,$C59,'Awards Summary'!$J:$J,"SRAA")</f>
        <v>0</v>
      </c>
      <c r="GM59" s="55">
        <f>SUMIFS('Disbursements Summary'!$E:$E,'Disbursements Summary'!$C:$C,$C59,'Disbursements Summary'!$A:$A,"SRAA")</f>
        <v>0</v>
      </c>
      <c r="GN59" s="55">
        <f>SUMIFS('Awards Summary'!$H:$H,'Awards Summary'!$B:$B,$C59,'Awards Summary'!$J:$J,"UNDC")</f>
        <v>0</v>
      </c>
      <c r="GO59" s="55">
        <f>SUMIFS('Disbursements Summary'!$E:$E,'Disbursements Summary'!$C:$C,$C59,'Disbursements Summary'!$A:$A,"UNDC")</f>
        <v>0</v>
      </c>
      <c r="GP59" s="55">
        <f>SUMIFS('Awards Summary'!$H:$H,'Awards Summary'!$B:$B,$C59,'Awards Summary'!$J:$J,"MVWA")</f>
        <v>0</v>
      </c>
      <c r="GQ59" s="55">
        <f>SUMIFS('Disbursements Summary'!$E:$E,'Disbursements Summary'!$C:$C,$C59,'Disbursements Summary'!$A:$A,"MVWA")</f>
        <v>0</v>
      </c>
      <c r="GR59" s="55">
        <f>SUMIFS('Awards Summary'!$H:$H,'Awards Summary'!$B:$B,$C59,'Awards Summary'!$J:$J,"WMC")</f>
        <v>0</v>
      </c>
      <c r="GS59" s="55">
        <f>SUMIFS('Disbursements Summary'!$E:$E,'Disbursements Summary'!$C:$C,$C59,'Disbursements Summary'!$A:$A,"WMC")</f>
        <v>0</v>
      </c>
      <c r="GT59" s="55">
        <f>SUMIFS('Awards Summary'!$H:$H,'Awards Summary'!$B:$B,$C59,'Awards Summary'!$J:$J,"WCB")</f>
        <v>0</v>
      </c>
      <c r="GU59" s="55">
        <f>SUMIFS('Disbursements Summary'!$E:$E,'Disbursements Summary'!$C:$C,$C59,'Disbursements Summary'!$A:$A,"WCB")</f>
        <v>0</v>
      </c>
      <c r="GV59" s="32">
        <f t="shared" si="5"/>
        <v>0</v>
      </c>
      <c r="GW59" s="32">
        <f t="shared" si="6"/>
        <v>0</v>
      </c>
      <c r="GX59" s="30" t="b">
        <f t="shared" si="7"/>
        <v>1</v>
      </c>
      <c r="GY59" s="30" t="b">
        <f t="shared" si="8"/>
        <v>1</v>
      </c>
    </row>
    <row r="60" spans="1:207" s="30" customFormat="1">
      <c r="A60" s="22" t="str">
        <f t="shared" si="0"/>
        <v/>
      </c>
      <c r="B60" s="40" t="s">
        <v>39</v>
      </c>
      <c r="C60" s="16">
        <v>151106</v>
      </c>
      <c r="D60" s="26">
        <f>COUNTIF('Awards Summary'!B:B,"151106")</f>
        <v>0</v>
      </c>
      <c r="E60" s="45">
        <f>SUMIFS('Awards Summary'!H:H,'Awards Summary'!B:B,"151106")</f>
        <v>0</v>
      </c>
      <c r="F60" s="46">
        <f>SUMIFS('Disbursements Summary'!E:E,'Disbursements Summary'!C:C, "151106")</f>
        <v>0</v>
      </c>
      <c r="H60" s="55">
        <f>SUMIFS('Awards Summary'!$H:$H,'Awards Summary'!$B:$B,$C60,'Awards Summary'!$J:$J,"APA")</f>
        <v>0</v>
      </c>
      <c r="I60" s="55">
        <f>SUMIFS('Disbursements Summary'!$E:$E,'Disbursements Summary'!$C:$C,$C60,'Disbursements Summary'!$A:$A,"APA")</f>
        <v>0</v>
      </c>
      <c r="J60" s="55">
        <f>SUMIFS('Awards Summary'!$H:$H,'Awards Summary'!$B:$B,$C60,'Awards Summary'!$J:$J,"Ag&amp;Horse")</f>
        <v>0</v>
      </c>
      <c r="K60" s="55">
        <f>SUMIFS('Disbursements Summary'!$E:$E,'Disbursements Summary'!$C:$C,$C60,'Disbursements Summary'!$A:$A,"Ag&amp;Horse")</f>
        <v>0</v>
      </c>
      <c r="L60" s="55">
        <f>SUMIFS('Awards Summary'!$H:$H,'Awards Summary'!$B:$B,$C60,'Awards Summary'!$J:$J,"ACAA")</f>
        <v>0</v>
      </c>
      <c r="M60" s="55">
        <f>SUMIFS('Disbursements Summary'!$E:$E,'Disbursements Summary'!$C:$C,$C60,'Disbursements Summary'!$A:$A,"ACAA")</f>
        <v>0</v>
      </c>
      <c r="N60" s="55">
        <f>SUMIFS('Awards Summary'!$H:$H,'Awards Summary'!$B:$B,$C60,'Awards Summary'!$J:$J,"PortAlbany")</f>
        <v>0</v>
      </c>
      <c r="O60" s="55">
        <f>SUMIFS('Disbursements Summary'!$E:$E,'Disbursements Summary'!$C:$C,$C60,'Disbursements Summary'!$A:$A,"PortAlbany")</f>
        <v>0</v>
      </c>
      <c r="P60" s="55">
        <f>SUMIFS('Awards Summary'!$H:$H,'Awards Summary'!$B:$B,$C60,'Awards Summary'!$J:$J,"SLA")</f>
        <v>0</v>
      </c>
      <c r="Q60" s="55">
        <f>SUMIFS('Disbursements Summary'!$E:$E,'Disbursements Summary'!$C:$C,$C60,'Disbursements Summary'!$A:$A,"SLA")</f>
        <v>0</v>
      </c>
      <c r="R60" s="55">
        <f>SUMIFS('Awards Summary'!$H:$H,'Awards Summary'!$B:$B,$C60,'Awards Summary'!$J:$J,"BPCA")</f>
        <v>0</v>
      </c>
      <c r="S60" s="55">
        <f>SUMIFS('Disbursements Summary'!$E:$E,'Disbursements Summary'!$C:$C,$C60,'Disbursements Summary'!$A:$A,"BPCA")</f>
        <v>0</v>
      </c>
      <c r="T60" s="55">
        <f>SUMIFS('Awards Summary'!$H:$H,'Awards Summary'!$B:$B,$C60,'Awards Summary'!$J:$J,"ELECTIONS")</f>
        <v>0</v>
      </c>
      <c r="U60" s="55">
        <f>SUMIFS('Disbursements Summary'!$E:$E,'Disbursements Summary'!$C:$C,$C60,'Disbursements Summary'!$A:$A,"ELECTIONS")</f>
        <v>0</v>
      </c>
      <c r="V60" s="55">
        <f>SUMIFS('Awards Summary'!$H:$H,'Awards Summary'!$B:$B,$C60,'Awards Summary'!$J:$J,"BFSA")</f>
        <v>0</v>
      </c>
      <c r="W60" s="55">
        <f>SUMIFS('Disbursements Summary'!$E:$E,'Disbursements Summary'!$C:$C,$C60,'Disbursements Summary'!$A:$A,"BFSA")</f>
        <v>0</v>
      </c>
      <c r="X60" s="55">
        <f>SUMIFS('Awards Summary'!$H:$H,'Awards Summary'!$B:$B,$C60,'Awards Summary'!$J:$J,"CDTA")</f>
        <v>0</v>
      </c>
      <c r="Y60" s="55">
        <f>SUMIFS('Disbursements Summary'!$E:$E,'Disbursements Summary'!$C:$C,$C60,'Disbursements Summary'!$A:$A,"CDTA")</f>
        <v>0</v>
      </c>
      <c r="Z60" s="55">
        <f>SUMIFS('Awards Summary'!$H:$H,'Awards Summary'!$B:$B,$C60,'Awards Summary'!$J:$J,"CCWSA")</f>
        <v>0</v>
      </c>
      <c r="AA60" s="55">
        <f>SUMIFS('Disbursements Summary'!$E:$E,'Disbursements Summary'!$C:$C,$C60,'Disbursements Summary'!$A:$A,"CCWSA")</f>
        <v>0</v>
      </c>
      <c r="AB60" s="55">
        <f>SUMIFS('Awards Summary'!$H:$H,'Awards Summary'!$B:$B,$C60,'Awards Summary'!$J:$J,"CNYRTA")</f>
        <v>0</v>
      </c>
      <c r="AC60" s="55">
        <f>SUMIFS('Disbursements Summary'!$E:$E,'Disbursements Summary'!$C:$C,$C60,'Disbursements Summary'!$A:$A,"CNYRTA")</f>
        <v>0</v>
      </c>
      <c r="AD60" s="55">
        <f>SUMIFS('Awards Summary'!$H:$H,'Awards Summary'!$B:$B,$C60,'Awards Summary'!$J:$J,"CUCF")</f>
        <v>0</v>
      </c>
      <c r="AE60" s="55">
        <f>SUMIFS('Disbursements Summary'!$E:$E,'Disbursements Summary'!$C:$C,$C60,'Disbursements Summary'!$A:$A,"CUCF")</f>
        <v>0</v>
      </c>
      <c r="AF60" s="55">
        <f>SUMIFS('Awards Summary'!$H:$H,'Awards Summary'!$B:$B,$C60,'Awards Summary'!$J:$J,"CUNY")</f>
        <v>0</v>
      </c>
      <c r="AG60" s="55">
        <f>SUMIFS('Disbursements Summary'!$E:$E,'Disbursements Summary'!$C:$C,$C60,'Disbursements Summary'!$A:$A,"CUNY")</f>
        <v>0</v>
      </c>
      <c r="AH60" s="55">
        <f>SUMIFS('Awards Summary'!$H:$H,'Awards Summary'!$B:$B,$C60,'Awards Summary'!$J:$J,"ARTS")</f>
        <v>0</v>
      </c>
      <c r="AI60" s="55">
        <f>SUMIFS('Disbursements Summary'!$E:$E,'Disbursements Summary'!$C:$C,$C60,'Disbursements Summary'!$A:$A,"ARTS")</f>
        <v>0</v>
      </c>
      <c r="AJ60" s="55">
        <f>SUMIFS('Awards Summary'!$H:$H,'Awards Summary'!$B:$B,$C60,'Awards Summary'!$J:$J,"AG&amp;MKTS")</f>
        <v>0</v>
      </c>
      <c r="AK60" s="55">
        <f>SUMIFS('Disbursements Summary'!$E:$E,'Disbursements Summary'!$C:$C,$C60,'Disbursements Summary'!$A:$A,"AG&amp;MKTS")</f>
        <v>0</v>
      </c>
      <c r="AL60" s="55">
        <f>SUMIFS('Awards Summary'!$H:$H,'Awards Summary'!$B:$B,$C60,'Awards Summary'!$J:$J,"CS")</f>
        <v>0</v>
      </c>
      <c r="AM60" s="55">
        <f>SUMIFS('Disbursements Summary'!$E:$E,'Disbursements Summary'!$C:$C,$C60,'Disbursements Summary'!$A:$A,"CS")</f>
        <v>0</v>
      </c>
      <c r="AN60" s="55">
        <f>SUMIFS('Awards Summary'!$H:$H,'Awards Summary'!$B:$B,$C60,'Awards Summary'!$J:$J,"DOCCS")</f>
        <v>0</v>
      </c>
      <c r="AO60" s="55">
        <f>SUMIFS('Disbursements Summary'!$E:$E,'Disbursements Summary'!$C:$C,$C60,'Disbursements Summary'!$A:$A,"DOCCS")</f>
        <v>0</v>
      </c>
      <c r="AP60" s="55">
        <f>SUMIFS('Awards Summary'!$H:$H,'Awards Summary'!$B:$B,$C60,'Awards Summary'!$J:$J,"DED")</f>
        <v>0</v>
      </c>
      <c r="AQ60" s="55">
        <f>SUMIFS('Disbursements Summary'!$E:$E,'Disbursements Summary'!$C:$C,$C60,'Disbursements Summary'!$A:$A,"DED")</f>
        <v>0</v>
      </c>
      <c r="AR60" s="55">
        <f>SUMIFS('Awards Summary'!$H:$H,'Awards Summary'!$B:$B,$C60,'Awards Summary'!$J:$J,"DEC")</f>
        <v>0</v>
      </c>
      <c r="AS60" s="55">
        <f>SUMIFS('Disbursements Summary'!$E:$E,'Disbursements Summary'!$C:$C,$C60,'Disbursements Summary'!$A:$A,"DEC")</f>
        <v>0</v>
      </c>
      <c r="AT60" s="55">
        <f>SUMIFS('Awards Summary'!$H:$H,'Awards Summary'!$B:$B,$C60,'Awards Summary'!$J:$J,"DFS")</f>
        <v>0</v>
      </c>
      <c r="AU60" s="55">
        <f>SUMIFS('Disbursements Summary'!$E:$E,'Disbursements Summary'!$C:$C,$C60,'Disbursements Summary'!$A:$A,"DFS")</f>
        <v>0</v>
      </c>
      <c r="AV60" s="55">
        <f>SUMIFS('Awards Summary'!$H:$H,'Awards Summary'!$B:$B,$C60,'Awards Summary'!$J:$J,"DOH")</f>
        <v>0</v>
      </c>
      <c r="AW60" s="55">
        <f>SUMIFS('Disbursements Summary'!$E:$E,'Disbursements Summary'!$C:$C,$C60,'Disbursements Summary'!$A:$A,"DOH")</f>
        <v>0</v>
      </c>
      <c r="AX60" s="55">
        <f>SUMIFS('Awards Summary'!$H:$H,'Awards Summary'!$B:$B,$C60,'Awards Summary'!$J:$J,"DOL")</f>
        <v>0</v>
      </c>
      <c r="AY60" s="55">
        <f>SUMIFS('Disbursements Summary'!$E:$E,'Disbursements Summary'!$C:$C,$C60,'Disbursements Summary'!$A:$A,"DOL")</f>
        <v>0</v>
      </c>
      <c r="AZ60" s="55">
        <f>SUMIFS('Awards Summary'!$H:$H,'Awards Summary'!$B:$B,$C60,'Awards Summary'!$J:$J,"DMV")</f>
        <v>0</v>
      </c>
      <c r="BA60" s="55">
        <f>SUMIFS('Disbursements Summary'!$E:$E,'Disbursements Summary'!$C:$C,$C60,'Disbursements Summary'!$A:$A,"DMV")</f>
        <v>0</v>
      </c>
      <c r="BB60" s="55">
        <f>SUMIFS('Awards Summary'!$H:$H,'Awards Summary'!$B:$B,$C60,'Awards Summary'!$J:$J,"DPS")</f>
        <v>0</v>
      </c>
      <c r="BC60" s="55">
        <f>SUMIFS('Disbursements Summary'!$E:$E,'Disbursements Summary'!$C:$C,$C60,'Disbursements Summary'!$A:$A,"DPS")</f>
        <v>0</v>
      </c>
      <c r="BD60" s="55">
        <f>SUMIFS('Awards Summary'!$H:$H,'Awards Summary'!$B:$B,$C60,'Awards Summary'!$J:$J,"DOS")</f>
        <v>0</v>
      </c>
      <c r="BE60" s="55">
        <f>SUMIFS('Disbursements Summary'!$E:$E,'Disbursements Summary'!$C:$C,$C60,'Disbursements Summary'!$A:$A,"DOS")</f>
        <v>0</v>
      </c>
      <c r="BF60" s="55">
        <f>SUMIFS('Awards Summary'!$H:$H,'Awards Summary'!$B:$B,$C60,'Awards Summary'!$J:$J,"TAX")</f>
        <v>0</v>
      </c>
      <c r="BG60" s="55">
        <f>SUMIFS('Disbursements Summary'!$E:$E,'Disbursements Summary'!$C:$C,$C60,'Disbursements Summary'!$A:$A,"TAX")</f>
        <v>0</v>
      </c>
      <c r="BH60" s="55">
        <f>SUMIFS('Awards Summary'!$H:$H,'Awards Summary'!$B:$B,$C60,'Awards Summary'!$J:$J,"DOT")</f>
        <v>0</v>
      </c>
      <c r="BI60" s="55">
        <f>SUMIFS('Disbursements Summary'!$E:$E,'Disbursements Summary'!$C:$C,$C60,'Disbursements Summary'!$A:$A,"DOT")</f>
        <v>0</v>
      </c>
      <c r="BJ60" s="55">
        <f>SUMIFS('Awards Summary'!$H:$H,'Awards Summary'!$B:$B,$C60,'Awards Summary'!$J:$J,"DANC")</f>
        <v>0</v>
      </c>
      <c r="BK60" s="55">
        <f>SUMIFS('Disbursements Summary'!$E:$E,'Disbursements Summary'!$C:$C,$C60,'Disbursements Summary'!$A:$A,"DANC")</f>
        <v>0</v>
      </c>
      <c r="BL60" s="55">
        <f>SUMIFS('Awards Summary'!$H:$H,'Awards Summary'!$B:$B,$C60,'Awards Summary'!$J:$J,"DOB")</f>
        <v>0</v>
      </c>
      <c r="BM60" s="55">
        <f>SUMIFS('Disbursements Summary'!$E:$E,'Disbursements Summary'!$C:$C,$C60,'Disbursements Summary'!$A:$A,"DOB")</f>
        <v>0</v>
      </c>
      <c r="BN60" s="55">
        <f>SUMIFS('Awards Summary'!$H:$H,'Awards Summary'!$B:$B,$C60,'Awards Summary'!$J:$J,"DCJS")</f>
        <v>0</v>
      </c>
      <c r="BO60" s="55">
        <f>SUMIFS('Disbursements Summary'!$E:$E,'Disbursements Summary'!$C:$C,$C60,'Disbursements Summary'!$A:$A,"DCJS")</f>
        <v>0</v>
      </c>
      <c r="BP60" s="55">
        <f>SUMIFS('Awards Summary'!$H:$H,'Awards Summary'!$B:$B,$C60,'Awards Summary'!$J:$J,"DHSES")</f>
        <v>0</v>
      </c>
      <c r="BQ60" s="55">
        <f>SUMIFS('Disbursements Summary'!$E:$E,'Disbursements Summary'!$C:$C,$C60,'Disbursements Summary'!$A:$A,"DHSES")</f>
        <v>0</v>
      </c>
      <c r="BR60" s="55">
        <f>SUMIFS('Awards Summary'!$H:$H,'Awards Summary'!$B:$B,$C60,'Awards Summary'!$J:$J,"DHR")</f>
        <v>0</v>
      </c>
      <c r="BS60" s="55">
        <f>SUMIFS('Disbursements Summary'!$E:$E,'Disbursements Summary'!$C:$C,$C60,'Disbursements Summary'!$A:$A,"DHR")</f>
        <v>0</v>
      </c>
      <c r="BT60" s="55">
        <f>SUMIFS('Awards Summary'!$H:$H,'Awards Summary'!$B:$B,$C60,'Awards Summary'!$J:$J,"DMNA")</f>
        <v>0</v>
      </c>
      <c r="BU60" s="55">
        <f>SUMIFS('Disbursements Summary'!$E:$E,'Disbursements Summary'!$C:$C,$C60,'Disbursements Summary'!$A:$A,"DMNA")</f>
        <v>0</v>
      </c>
      <c r="BV60" s="55">
        <f>SUMIFS('Awards Summary'!$H:$H,'Awards Summary'!$B:$B,$C60,'Awards Summary'!$J:$J,"TROOPERS")</f>
        <v>0</v>
      </c>
      <c r="BW60" s="55">
        <f>SUMIFS('Disbursements Summary'!$E:$E,'Disbursements Summary'!$C:$C,$C60,'Disbursements Summary'!$A:$A,"TROOPERS")</f>
        <v>0</v>
      </c>
      <c r="BX60" s="55">
        <f>SUMIFS('Awards Summary'!$H:$H,'Awards Summary'!$B:$B,$C60,'Awards Summary'!$J:$J,"DVA")</f>
        <v>0</v>
      </c>
      <c r="BY60" s="55">
        <f>SUMIFS('Disbursements Summary'!$E:$E,'Disbursements Summary'!$C:$C,$C60,'Disbursements Summary'!$A:$A,"DVA")</f>
        <v>0</v>
      </c>
      <c r="BZ60" s="55">
        <f>SUMIFS('Awards Summary'!$H:$H,'Awards Summary'!$B:$B,$C60,'Awards Summary'!$J:$J,"DASNY")</f>
        <v>0</v>
      </c>
      <c r="CA60" s="55">
        <f>SUMIFS('Disbursements Summary'!$E:$E,'Disbursements Summary'!$C:$C,$C60,'Disbursements Summary'!$A:$A,"DASNY")</f>
        <v>0</v>
      </c>
      <c r="CB60" s="55">
        <f>SUMIFS('Awards Summary'!$H:$H,'Awards Summary'!$B:$B,$C60,'Awards Summary'!$J:$J,"EGG")</f>
        <v>0</v>
      </c>
      <c r="CC60" s="55">
        <f>SUMIFS('Disbursements Summary'!$E:$E,'Disbursements Summary'!$C:$C,$C60,'Disbursements Summary'!$A:$A,"EGG")</f>
        <v>0</v>
      </c>
      <c r="CD60" s="55">
        <f>SUMIFS('Awards Summary'!$H:$H,'Awards Summary'!$B:$B,$C60,'Awards Summary'!$J:$J,"ESD")</f>
        <v>0</v>
      </c>
      <c r="CE60" s="55">
        <f>SUMIFS('Disbursements Summary'!$E:$E,'Disbursements Summary'!$C:$C,$C60,'Disbursements Summary'!$A:$A,"ESD")</f>
        <v>0</v>
      </c>
      <c r="CF60" s="55">
        <f>SUMIFS('Awards Summary'!$H:$H,'Awards Summary'!$B:$B,$C60,'Awards Summary'!$J:$J,"EFC")</f>
        <v>0</v>
      </c>
      <c r="CG60" s="55">
        <f>SUMIFS('Disbursements Summary'!$E:$E,'Disbursements Summary'!$C:$C,$C60,'Disbursements Summary'!$A:$A,"EFC")</f>
        <v>0</v>
      </c>
      <c r="CH60" s="55">
        <f>SUMIFS('Awards Summary'!$H:$H,'Awards Summary'!$B:$B,$C60,'Awards Summary'!$J:$J,"ECFSA")</f>
        <v>0</v>
      </c>
      <c r="CI60" s="55">
        <f>SUMIFS('Disbursements Summary'!$E:$E,'Disbursements Summary'!$C:$C,$C60,'Disbursements Summary'!$A:$A,"ECFSA")</f>
        <v>0</v>
      </c>
      <c r="CJ60" s="55">
        <f>SUMIFS('Awards Summary'!$H:$H,'Awards Summary'!$B:$B,$C60,'Awards Summary'!$J:$J,"ECMC")</f>
        <v>0</v>
      </c>
      <c r="CK60" s="55">
        <f>SUMIFS('Disbursements Summary'!$E:$E,'Disbursements Summary'!$C:$C,$C60,'Disbursements Summary'!$A:$A,"ECMC")</f>
        <v>0</v>
      </c>
      <c r="CL60" s="55">
        <f>SUMIFS('Awards Summary'!$H:$H,'Awards Summary'!$B:$B,$C60,'Awards Summary'!$J:$J,"CHAMBER")</f>
        <v>0</v>
      </c>
      <c r="CM60" s="55">
        <f>SUMIFS('Disbursements Summary'!$E:$E,'Disbursements Summary'!$C:$C,$C60,'Disbursements Summary'!$A:$A,"CHAMBER")</f>
        <v>0</v>
      </c>
      <c r="CN60" s="55">
        <f>SUMIFS('Awards Summary'!$H:$H,'Awards Summary'!$B:$B,$C60,'Awards Summary'!$J:$J,"GAMING")</f>
        <v>0</v>
      </c>
      <c r="CO60" s="55">
        <f>SUMIFS('Disbursements Summary'!$E:$E,'Disbursements Summary'!$C:$C,$C60,'Disbursements Summary'!$A:$A,"GAMING")</f>
        <v>0</v>
      </c>
      <c r="CP60" s="55">
        <f>SUMIFS('Awards Summary'!$H:$H,'Awards Summary'!$B:$B,$C60,'Awards Summary'!$J:$J,"GOER")</f>
        <v>0</v>
      </c>
      <c r="CQ60" s="55">
        <f>SUMIFS('Disbursements Summary'!$E:$E,'Disbursements Summary'!$C:$C,$C60,'Disbursements Summary'!$A:$A,"GOER")</f>
        <v>0</v>
      </c>
      <c r="CR60" s="55">
        <f>SUMIFS('Awards Summary'!$H:$H,'Awards Summary'!$B:$B,$C60,'Awards Summary'!$J:$J,"HESC")</f>
        <v>0</v>
      </c>
      <c r="CS60" s="55">
        <f>SUMIFS('Disbursements Summary'!$E:$E,'Disbursements Summary'!$C:$C,$C60,'Disbursements Summary'!$A:$A,"HESC")</f>
        <v>0</v>
      </c>
      <c r="CT60" s="55">
        <f>SUMIFS('Awards Summary'!$H:$H,'Awards Summary'!$B:$B,$C60,'Awards Summary'!$J:$J,"GOSR")</f>
        <v>0</v>
      </c>
      <c r="CU60" s="55">
        <f>SUMIFS('Disbursements Summary'!$E:$E,'Disbursements Summary'!$C:$C,$C60,'Disbursements Summary'!$A:$A,"GOSR")</f>
        <v>0</v>
      </c>
      <c r="CV60" s="55">
        <f>SUMIFS('Awards Summary'!$H:$H,'Awards Summary'!$B:$B,$C60,'Awards Summary'!$J:$J,"HRPT")</f>
        <v>0</v>
      </c>
      <c r="CW60" s="55">
        <f>SUMIFS('Disbursements Summary'!$E:$E,'Disbursements Summary'!$C:$C,$C60,'Disbursements Summary'!$A:$A,"HRPT")</f>
        <v>0</v>
      </c>
      <c r="CX60" s="55">
        <f>SUMIFS('Awards Summary'!$H:$H,'Awards Summary'!$B:$B,$C60,'Awards Summary'!$J:$J,"HRBRRD")</f>
        <v>0</v>
      </c>
      <c r="CY60" s="55">
        <f>SUMIFS('Disbursements Summary'!$E:$E,'Disbursements Summary'!$C:$C,$C60,'Disbursements Summary'!$A:$A,"HRBRRD")</f>
        <v>0</v>
      </c>
      <c r="CZ60" s="55">
        <f>SUMIFS('Awards Summary'!$H:$H,'Awards Summary'!$B:$B,$C60,'Awards Summary'!$J:$J,"ITS")</f>
        <v>0</v>
      </c>
      <c r="DA60" s="55">
        <f>SUMIFS('Disbursements Summary'!$E:$E,'Disbursements Summary'!$C:$C,$C60,'Disbursements Summary'!$A:$A,"ITS")</f>
        <v>0</v>
      </c>
      <c r="DB60" s="55">
        <f>SUMIFS('Awards Summary'!$H:$H,'Awards Summary'!$B:$B,$C60,'Awards Summary'!$J:$J,"JAVITS")</f>
        <v>0</v>
      </c>
      <c r="DC60" s="55">
        <f>SUMIFS('Disbursements Summary'!$E:$E,'Disbursements Summary'!$C:$C,$C60,'Disbursements Summary'!$A:$A,"JAVITS")</f>
        <v>0</v>
      </c>
      <c r="DD60" s="55">
        <f>SUMIFS('Awards Summary'!$H:$H,'Awards Summary'!$B:$B,$C60,'Awards Summary'!$J:$J,"JCOPE")</f>
        <v>0</v>
      </c>
      <c r="DE60" s="55">
        <f>SUMIFS('Disbursements Summary'!$E:$E,'Disbursements Summary'!$C:$C,$C60,'Disbursements Summary'!$A:$A,"JCOPE")</f>
        <v>0</v>
      </c>
      <c r="DF60" s="55">
        <f>SUMIFS('Awards Summary'!$H:$H,'Awards Summary'!$B:$B,$C60,'Awards Summary'!$J:$J,"JUSTICE")</f>
        <v>0</v>
      </c>
      <c r="DG60" s="55">
        <f>SUMIFS('Disbursements Summary'!$E:$E,'Disbursements Summary'!$C:$C,$C60,'Disbursements Summary'!$A:$A,"JUSTICE")</f>
        <v>0</v>
      </c>
      <c r="DH60" s="55">
        <f>SUMIFS('Awards Summary'!$H:$H,'Awards Summary'!$B:$B,$C60,'Awards Summary'!$J:$J,"LCWSA")</f>
        <v>0</v>
      </c>
      <c r="DI60" s="55">
        <f>SUMIFS('Disbursements Summary'!$E:$E,'Disbursements Summary'!$C:$C,$C60,'Disbursements Summary'!$A:$A,"LCWSA")</f>
        <v>0</v>
      </c>
      <c r="DJ60" s="55">
        <f>SUMIFS('Awards Summary'!$H:$H,'Awards Summary'!$B:$B,$C60,'Awards Summary'!$J:$J,"LIPA")</f>
        <v>0</v>
      </c>
      <c r="DK60" s="55">
        <f>SUMIFS('Disbursements Summary'!$E:$E,'Disbursements Summary'!$C:$C,$C60,'Disbursements Summary'!$A:$A,"LIPA")</f>
        <v>0</v>
      </c>
      <c r="DL60" s="55">
        <f>SUMIFS('Awards Summary'!$H:$H,'Awards Summary'!$B:$B,$C60,'Awards Summary'!$J:$J,"MTA")</f>
        <v>0</v>
      </c>
      <c r="DM60" s="55">
        <f>SUMIFS('Disbursements Summary'!$E:$E,'Disbursements Summary'!$C:$C,$C60,'Disbursements Summary'!$A:$A,"MTA")</f>
        <v>0</v>
      </c>
      <c r="DN60" s="55">
        <f>SUMIFS('Awards Summary'!$H:$H,'Awards Summary'!$B:$B,$C60,'Awards Summary'!$J:$J,"NIFA")</f>
        <v>0</v>
      </c>
      <c r="DO60" s="55">
        <f>SUMIFS('Disbursements Summary'!$E:$E,'Disbursements Summary'!$C:$C,$C60,'Disbursements Summary'!$A:$A,"NIFA")</f>
        <v>0</v>
      </c>
      <c r="DP60" s="55">
        <f>SUMIFS('Awards Summary'!$H:$H,'Awards Summary'!$B:$B,$C60,'Awards Summary'!$J:$J,"NHCC")</f>
        <v>0</v>
      </c>
      <c r="DQ60" s="55">
        <f>SUMIFS('Disbursements Summary'!$E:$E,'Disbursements Summary'!$C:$C,$C60,'Disbursements Summary'!$A:$A,"NHCC")</f>
        <v>0</v>
      </c>
      <c r="DR60" s="55">
        <f>SUMIFS('Awards Summary'!$H:$H,'Awards Summary'!$B:$B,$C60,'Awards Summary'!$J:$J,"NHT")</f>
        <v>0</v>
      </c>
      <c r="DS60" s="55">
        <f>SUMIFS('Disbursements Summary'!$E:$E,'Disbursements Summary'!$C:$C,$C60,'Disbursements Summary'!$A:$A,"NHT")</f>
        <v>0</v>
      </c>
      <c r="DT60" s="55">
        <f>SUMIFS('Awards Summary'!$H:$H,'Awards Summary'!$B:$B,$C60,'Awards Summary'!$J:$J,"NYPA")</f>
        <v>0</v>
      </c>
      <c r="DU60" s="55">
        <f>SUMIFS('Disbursements Summary'!$E:$E,'Disbursements Summary'!$C:$C,$C60,'Disbursements Summary'!$A:$A,"NYPA")</f>
        <v>0</v>
      </c>
      <c r="DV60" s="55">
        <f>SUMIFS('Awards Summary'!$H:$H,'Awards Summary'!$B:$B,$C60,'Awards Summary'!$J:$J,"NYSBA")</f>
        <v>0</v>
      </c>
      <c r="DW60" s="55">
        <f>SUMIFS('Disbursements Summary'!$E:$E,'Disbursements Summary'!$C:$C,$C60,'Disbursements Summary'!$A:$A,"NYSBA")</f>
        <v>0</v>
      </c>
      <c r="DX60" s="55">
        <f>SUMIFS('Awards Summary'!$H:$H,'Awards Summary'!$B:$B,$C60,'Awards Summary'!$J:$J,"NYSERDA")</f>
        <v>0</v>
      </c>
      <c r="DY60" s="55">
        <f>SUMIFS('Disbursements Summary'!$E:$E,'Disbursements Summary'!$C:$C,$C60,'Disbursements Summary'!$A:$A,"NYSERDA")</f>
        <v>0</v>
      </c>
      <c r="DZ60" s="55">
        <f>SUMIFS('Awards Summary'!$H:$H,'Awards Summary'!$B:$B,$C60,'Awards Summary'!$J:$J,"DHCR")</f>
        <v>0</v>
      </c>
      <c r="EA60" s="55">
        <f>SUMIFS('Disbursements Summary'!$E:$E,'Disbursements Summary'!$C:$C,$C60,'Disbursements Summary'!$A:$A,"DHCR")</f>
        <v>0</v>
      </c>
      <c r="EB60" s="55">
        <f>SUMIFS('Awards Summary'!$H:$H,'Awards Summary'!$B:$B,$C60,'Awards Summary'!$J:$J,"HFA")</f>
        <v>0</v>
      </c>
      <c r="EC60" s="55">
        <f>SUMIFS('Disbursements Summary'!$E:$E,'Disbursements Summary'!$C:$C,$C60,'Disbursements Summary'!$A:$A,"HFA")</f>
        <v>0</v>
      </c>
      <c r="ED60" s="55">
        <f>SUMIFS('Awards Summary'!$H:$H,'Awards Summary'!$B:$B,$C60,'Awards Summary'!$J:$J,"NYSIF")</f>
        <v>0</v>
      </c>
      <c r="EE60" s="55">
        <f>SUMIFS('Disbursements Summary'!$E:$E,'Disbursements Summary'!$C:$C,$C60,'Disbursements Summary'!$A:$A,"NYSIF")</f>
        <v>0</v>
      </c>
      <c r="EF60" s="55">
        <f>SUMIFS('Awards Summary'!$H:$H,'Awards Summary'!$B:$B,$C60,'Awards Summary'!$J:$J,"NYBREDS")</f>
        <v>0</v>
      </c>
      <c r="EG60" s="55">
        <f>SUMIFS('Disbursements Summary'!$E:$E,'Disbursements Summary'!$C:$C,$C60,'Disbursements Summary'!$A:$A,"NYBREDS")</f>
        <v>0</v>
      </c>
      <c r="EH60" s="55">
        <f>SUMIFS('Awards Summary'!$H:$H,'Awards Summary'!$B:$B,$C60,'Awards Summary'!$J:$J,"NYSTA")</f>
        <v>0</v>
      </c>
      <c r="EI60" s="55">
        <f>SUMIFS('Disbursements Summary'!$E:$E,'Disbursements Summary'!$C:$C,$C60,'Disbursements Summary'!$A:$A,"NYSTA")</f>
        <v>0</v>
      </c>
      <c r="EJ60" s="55">
        <f>SUMIFS('Awards Summary'!$H:$H,'Awards Summary'!$B:$B,$C60,'Awards Summary'!$J:$J,"NFWB")</f>
        <v>0</v>
      </c>
      <c r="EK60" s="55">
        <f>SUMIFS('Disbursements Summary'!$E:$E,'Disbursements Summary'!$C:$C,$C60,'Disbursements Summary'!$A:$A,"NFWB")</f>
        <v>0</v>
      </c>
      <c r="EL60" s="55">
        <f>SUMIFS('Awards Summary'!$H:$H,'Awards Summary'!$B:$B,$C60,'Awards Summary'!$J:$J,"NFTA")</f>
        <v>0</v>
      </c>
      <c r="EM60" s="55">
        <f>SUMIFS('Disbursements Summary'!$E:$E,'Disbursements Summary'!$C:$C,$C60,'Disbursements Summary'!$A:$A,"NFTA")</f>
        <v>0</v>
      </c>
      <c r="EN60" s="55">
        <f>SUMIFS('Awards Summary'!$H:$H,'Awards Summary'!$B:$B,$C60,'Awards Summary'!$J:$J,"OPWDD")</f>
        <v>0</v>
      </c>
      <c r="EO60" s="55">
        <f>SUMIFS('Disbursements Summary'!$E:$E,'Disbursements Summary'!$C:$C,$C60,'Disbursements Summary'!$A:$A,"OPWDD")</f>
        <v>0</v>
      </c>
      <c r="EP60" s="55">
        <f>SUMIFS('Awards Summary'!$H:$H,'Awards Summary'!$B:$B,$C60,'Awards Summary'!$J:$J,"AGING")</f>
        <v>0</v>
      </c>
      <c r="EQ60" s="55">
        <f>SUMIFS('Disbursements Summary'!$E:$E,'Disbursements Summary'!$C:$C,$C60,'Disbursements Summary'!$A:$A,"AGING")</f>
        <v>0</v>
      </c>
      <c r="ER60" s="55">
        <f>SUMIFS('Awards Summary'!$H:$H,'Awards Summary'!$B:$B,$C60,'Awards Summary'!$J:$J,"OPDV")</f>
        <v>0</v>
      </c>
      <c r="ES60" s="55">
        <f>SUMIFS('Disbursements Summary'!$E:$E,'Disbursements Summary'!$C:$C,$C60,'Disbursements Summary'!$A:$A,"OPDV")</f>
        <v>0</v>
      </c>
      <c r="ET60" s="55">
        <f>SUMIFS('Awards Summary'!$H:$H,'Awards Summary'!$B:$B,$C60,'Awards Summary'!$J:$J,"OVS")</f>
        <v>0</v>
      </c>
      <c r="EU60" s="55">
        <f>SUMIFS('Disbursements Summary'!$E:$E,'Disbursements Summary'!$C:$C,$C60,'Disbursements Summary'!$A:$A,"OVS")</f>
        <v>0</v>
      </c>
      <c r="EV60" s="55">
        <f>SUMIFS('Awards Summary'!$H:$H,'Awards Summary'!$B:$B,$C60,'Awards Summary'!$J:$J,"OASAS")</f>
        <v>0</v>
      </c>
      <c r="EW60" s="55">
        <f>SUMIFS('Disbursements Summary'!$E:$E,'Disbursements Summary'!$C:$C,$C60,'Disbursements Summary'!$A:$A,"OASAS")</f>
        <v>0</v>
      </c>
      <c r="EX60" s="55">
        <f>SUMIFS('Awards Summary'!$H:$H,'Awards Summary'!$B:$B,$C60,'Awards Summary'!$J:$J,"OCFS")</f>
        <v>0</v>
      </c>
      <c r="EY60" s="55">
        <f>SUMIFS('Disbursements Summary'!$E:$E,'Disbursements Summary'!$C:$C,$C60,'Disbursements Summary'!$A:$A,"OCFS")</f>
        <v>0</v>
      </c>
      <c r="EZ60" s="55">
        <f>SUMIFS('Awards Summary'!$H:$H,'Awards Summary'!$B:$B,$C60,'Awards Summary'!$J:$J,"OGS")</f>
        <v>0</v>
      </c>
      <c r="FA60" s="55">
        <f>SUMIFS('Disbursements Summary'!$E:$E,'Disbursements Summary'!$C:$C,$C60,'Disbursements Summary'!$A:$A,"OGS")</f>
        <v>0</v>
      </c>
      <c r="FB60" s="55">
        <f>SUMIFS('Awards Summary'!$H:$H,'Awards Summary'!$B:$B,$C60,'Awards Summary'!$J:$J,"OMH")</f>
        <v>0</v>
      </c>
      <c r="FC60" s="55">
        <f>SUMIFS('Disbursements Summary'!$E:$E,'Disbursements Summary'!$C:$C,$C60,'Disbursements Summary'!$A:$A,"OMH")</f>
        <v>0</v>
      </c>
      <c r="FD60" s="55">
        <f>SUMIFS('Awards Summary'!$H:$H,'Awards Summary'!$B:$B,$C60,'Awards Summary'!$J:$J,"PARKS")</f>
        <v>0</v>
      </c>
      <c r="FE60" s="55">
        <f>SUMIFS('Disbursements Summary'!$E:$E,'Disbursements Summary'!$C:$C,$C60,'Disbursements Summary'!$A:$A,"PARKS")</f>
        <v>0</v>
      </c>
      <c r="FF60" s="55">
        <f>SUMIFS('Awards Summary'!$H:$H,'Awards Summary'!$B:$B,$C60,'Awards Summary'!$J:$J,"OTDA")</f>
        <v>0</v>
      </c>
      <c r="FG60" s="55">
        <f>SUMIFS('Disbursements Summary'!$E:$E,'Disbursements Summary'!$C:$C,$C60,'Disbursements Summary'!$A:$A,"OTDA")</f>
        <v>0</v>
      </c>
      <c r="FH60" s="55">
        <f>SUMIFS('Awards Summary'!$H:$H,'Awards Summary'!$B:$B,$C60,'Awards Summary'!$J:$J,"OIG")</f>
        <v>0</v>
      </c>
      <c r="FI60" s="55">
        <f>SUMIFS('Disbursements Summary'!$E:$E,'Disbursements Summary'!$C:$C,$C60,'Disbursements Summary'!$A:$A,"OIG")</f>
        <v>0</v>
      </c>
      <c r="FJ60" s="55">
        <f>SUMIFS('Awards Summary'!$H:$H,'Awards Summary'!$B:$B,$C60,'Awards Summary'!$J:$J,"OMIG")</f>
        <v>0</v>
      </c>
      <c r="FK60" s="55">
        <f>SUMIFS('Disbursements Summary'!$E:$E,'Disbursements Summary'!$C:$C,$C60,'Disbursements Summary'!$A:$A,"OMIG")</f>
        <v>0</v>
      </c>
      <c r="FL60" s="55">
        <f>SUMIFS('Awards Summary'!$H:$H,'Awards Summary'!$B:$B,$C60,'Awards Summary'!$J:$J,"OSC")</f>
        <v>0</v>
      </c>
      <c r="FM60" s="55">
        <f>SUMIFS('Disbursements Summary'!$E:$E,'Disbursements Summary'!$C:$C,$C60,'Disbursements Summary'!$A:$A,"OSC")</f>
        <v>0</v>
      </c>
      <c r="FN60" s="55">
        <f>SUMIFS('Awards Summary'!$H:$H,'Awards Summary'!$B:$B,$C60,'Awards Summary'!$J:$J,"OWIG")</f>
        <v>0</v>
      </c>
      <c r="FO60" s="55">
        <f>SUMIFS('Disbursements Summary'!$E:$E,'Disbursements Summary'!$C:$C,$C60,'Disbursements Summary'!$A:$A,"OWIG")</f>
        <v>0</v>
      </c>
      <c r="FP60" s="55">
        <f>SUMIFS('Awards Summary'!$H:$H,'Awards Summary'!$B:$B,$C60,'Awards Summary'!$J:$J,"OGDEN")</f>
        <v>0</v>
      </c>
      <c r="FQ60" s="55">
        <f>SUMIFS('Disbursements Summary'!$E:$E,'Disbursements Summary'!$C:$C,$C60,'Disbursements Summary'!$A:$A,"OGDEN")</f>
        <v>0</v>
      </c>
      <c r="FR60" s="55">
        <f>SUMIFS('Awards Summary'!$H:$H,'Awards Summary'!$B:$B,$C60,'Awards Summary'!$J:$J,"ORDA")</f>
        <v>0</v>
      </c>
      <c r="FS60" s="55">
        <f>SUMIFS('Disbursements Summary'!$E:$E,'Disbursements Summary'!$C:$C,$C60,'Disbursements Summary'!$A:$A,"ORDA")</f>
        <v>0</v>
      </c>
      <c r="FT60" s="55">
        <f>SUMIFS('Awards Summary'!$H:$H,'Awards Summary'!$B:$B,$C60,'Awards Summary'!$J:$J,"OSWEGO")</f>
        <v>0</v>
      </c>
      <c r="FU60" s="55">
        <f>SUMIFS('Disbursements Summary'!$E:$E,'Disbursements Summary'!$C:$C,$C60,'Disbursements Summary'!$A:$A,"OSWEGO")</f>
        <v>0</v>
      </c>
      <c r="FV60" s="55">
        <f>SUMIFS('Awards Summary'!$H:$H,'Awards Summary'!$B:$B,$C60,'Awards Summary'!$J:$J,"PERB")</f>
        <v>0</v>
      </c>
      <c r="FW60" s="55">
        <f>SUMIFS('Disbursements Summary'!$E:$E,'Disbursements Summary'!$C:$C,$C60,'Disbursements Summary'!$A:$A,"PERB")</f>
        <v>0</v>
      </c>
      <c r="FX60" s="55">
        <f>SUMIFS('Awards Summary'!$H:$H,'Awards Summary'!$B:$B,$C60,'Awards Summary'!$J:$J,"RGRTA")</f>
        <v>0</v>
      </c>
      <c r="FY60" s="55">
        <f>SUMIFS('Disbursements Summary'!$E:$E,'Disbursements Summary'!$C:$C,$C60,'Disbursements Summary'!$A:$A,"RGRTA")</f>
        <v>0</v>
      </c>
      <c r="FZ60" s="55">
        <f>SUMIFS('Awards Summary'!$H:$H,'Awards Summary'!$B:$B,$C60,'Awards Summary'!$J:$J,"RIOC")</f>
        <v>0</v>
      </c>
      <c r="GA60" s="55">
        <f>SUMIFS('Disbursements Summary'!$E:$E,'Disbursements Summary'!$C:$C,$C60,'Disbursements Summary'!$A:$A,"RIOC")</f>
        <v>0</v>
      </c>
      <c r="GB60" s="55">
        <f>SUMIFS('Awards Summary'!$H:$H,'Awards Summary'!$B:$B,$C60,'Awards Summary'!$J:$J,"RPCI")</f>
        <v>0</v>
      </c>
      <c r="GC60" s="55">
        <f>SUMIFS('Disbursements Summary'!$E:$E,'Disbursements Summary'!$C:$C,$C60,'Disbursements Summary'!$A:$A,"RPCI")</f>
        <v>0</v>
      </c>
      <c r="GD60" s="55">
        <f>SUMIFS('Awards Summary'!$H:$H,'Awards Summary'!$B:$B,$C60,'Awards Summary'!$J:$J,"SMDA")</f>
        <v>0</v>
      </c>
      <c r="GE60" s="55">
        <f>SUMIFS('Disbursements Summary'!$E:$E,'Disbursements Summary'!$C:$C,$C60,'Disbursements Summary'!$A:$A,"SMDA")</f>
        <v>0</v>
      </c>
      <c r="GF60" s="55">
        <f>SUMIFS('Awards Summary'!$H:$H,'Awards Summary'!$B:$B,$C60,'Awards Summary'!$J:$J,"SCOC")</f>
        <v>0</v>
      </c>
      <c r="GG60" s="55">
        <f>SUMIFS('Disbursements Summary'!$E:$E,'Disbursements Summary'!$C:$C,$C60,'Disbursements Summary'!$A:$A,"SCOC")</f>
        <v>0</v>
      </c>
      <c r="GH60" s="55">
        <f>SUMIFS('Awards Summary'!$H:$H,'Awards Summary'!$B:$B,$C60,'Awards Summary'!$J:$J,"SUCF")</f>
        <v>0</v>
      </c>
      <c r="GI60" s="55">
        <f>SUMIFS('Disbursements Summary'!$E:$E,'Disbursements Summary'!$C:$C,$C60,'Disbursements Summary'!$A:$A,"SUCF")</f>
        <v>0</v>
      </c>
      <c r="GJ60" s="55">
        <f>SUMIFS('Awards Summary'!$H:$H,'Awards Summary'!$B:$B,$C60,'Awards Summary'!$J:$J,"SUNY")</f>
        <v>0</v>
      </c>
      <c r="GK60" s="55">
        <f>SUMIFS('Disbursements Summary'!$E:$E,'Disbursements Summary'!$C:$C,$C60,'Disbursements Summary'!$A:$A,"SUNY")</f>
        <v>0</v>
      </c>
      <c r="GL60" s="55">
        <f>SUMIFS('Awards Summary'!$H:$H,'Awards Summary'!$B:$B,$C60,'Awards Summary'!$J:$J,"SRAA")</f>
        <v>0</v>
      </c>
      <c r="GM60" s="55">
        <f>SUMIFS('Disbursements Summary'!$E:$E,'Disbursements Summary'!$C:$C,$C60,'Disbursements Summary'!$A:$A,"SRAA")</f>
        <v>0</v>
      </c>
      <c r="GN60" s="55">
        <f>SUMIFS('Awards Summary'!$H:$H,'Awards Summary'!$B:$B,$C60,'Awards Summary'!$J:$J,"UNDC")</f>
        <v>0</v>
      </c>
      <c r="GO60" s="55">
        <f>SUMIFS('Disbursements Summary'!$E:$E,'Disbursements Summary'!$C:$C,$C60,'Disbursements Summary'!$A:$A,"UNDC")</f>
        <v>0</v>
      </c>
      <c r="GP60" s="55">
        <f>SUMIFS('Awards Summary'!$H:$H,'Awards Summary'!$B:$B,$C60,'Awards Summary'!$J:$J,"MVWA")</f>
        <v>0</v>
      </c>
      <c r="GQ60" s="55">
        <f>SUMIFS('Disbursements Summary'!$E:$E,'Disbursements Summary'!$C:$C,$C60,'Disbursements Summary'!$A:$A,"MVWA")</f>
        <v>0</v>
      </c>
      <c r="GR60" s="55">
        <f>SUMIFS('Awards Summary'!$H:$H,'Awards Summary'!$B:$B,$C60,'Awards Summary'!$J:$J,"WMC")</f>
        <v>0</v>
      </c>
      <c r="GS60" s="55">
        <f>SUMIFS('Disbursements Summary'!$E:$E,'Disbursements Summary'!$C:$C,$C60,'Disbursements Summary'!$A:$A,"WMC")</f>
        <v>0</v>
      </c>
      <c r="GT60" s="55">
        <f>SUMIFS('Awards Summary'!$H:$H,'Awards Summary'!$B:$B,$C60,'Awards Summary'!$J:$J,"WCB")</f>
        <v>0</v>
      </c>
      <c r="GU60" s="55">
        <f>SUMIFS('Disbursements Summary'!$E:$E,'Disbursements Summary'!$C:$C,$C60,'Disbursements Summary'!$A:$A,"WCB")</f>
        <v>0</v>
      </c>
      <c r="GV60" s="32">
        <f t="shared" si="5"/>
        <v>0</v>
      </c>
      <c r="GW60" s="32">
        <f t="shared" si="6"/>
        <v>0</v>
      </c>
      <c r="GX60" s="30" t="b">
        <f t="shared" si="7"/>
        <v>1</v>
      </c>
      <c r="GY60" s="30" t="b">
        <f t="shared" si="8"/>
        <v>1</v>
      </c>
    </row>
    <row r="61" spans="1:207" s="30" customFormat="1">
      <c r="A61" s="22" t="str">
        <f t="shared" si="0"/>
        <v/>
      </c>
      <c r="B61" s="40" t="s">
        <v>40</v>
      </c>
      <c r="C61" s="16">
        <v>151107</v>
      </c>
      <c r="D61" s="26">
        <f>COUNTIF('Awards Summary'!B:B,"151107")</f>
        <v>0</v>
      </c>
      <c r="E61" s="45">
        <f>SUMIFS('Awards Summary'!H:H,'Awards Summary'!B:B,"151107")</f>
        <v>0</v>
      </c>
      <c r="F61" s="46">
        <f>SUMIFS('Disbursements Summary'!E:E,'Disbursements Summary'!C:C, "151107")</f>
        <v>0</v>
      </c>
      <c r="H61" s="55">
        <f>SUMIFS('Awards Summary'!$H:$H,'Awards Summary'!$B:$B,$C61,'Awards Summary'!$J:$J,"APA")</f>
        <v>0</v>
      </c>
      <c r="I61" s="55">
        <f>SUMIFS('Disbursements Summary'!$E:$E,'Disbursements Summary'!$C:$C,$C61,'Disbursements Summary'!$A:$A,"APA")</f>
        <v>0</v>
      </c>
      <c r="J61" s="55">
        <f>SUMIFS('Awards Summary'!$H:$H,'Awards Summary'!$B:$B,$C61,'Awards Summary'!$J:$J,"Ag&amp;Horse")</f>
        <v>0</v>
      </c>
      <c r="K61" s="55">
        <f>SUMIFS('Disbursements Summary'!$E:$E,'Disbursements Summary'!$C:$C,$C61,'Disbursements Summary'!$A:$A,"Ag&amp;Horse")</f>
        <v>0</v>
      </c>
      <c r="L61" s="55">
        <f>SUMIFS('Awards Summary'!$H:$H,'Awards Summary'!$B:$B,$C61,'Awards Summary'!$J:$J,"ACAA")</f>
        <v>0</v>
      </c>
      <c r="M61" s="55">
        <f>SUMIFS('Disbursements Summary'!$E:$E,'Disbursements Summary'!$C:$C,$C61,'Disbursements Summary'!$A:$A,"ACAA")</f>
        <v>0</v>
      </c>
      <c r="N61" s="55">
        <f>SUMIFS('Awards Summary'!$H:$H,'Awards Summary'!$B:$B,$C61,'Awards Summary'!$J:$J,"PortAlbany")</f>
        <v>0</v>
      </c>
      <c r="O61" s="55">
        <f>SUMIFS('Disbursements Summary'!$E:$E,'Disbursements Summary'!$C:$C,$C61,'Disbursements Summary'!$A:$A,"PortAlbany")</f>
        <v>0</v>
      </c>
      <c r="P61" s="55">
        <f>SUMIFS('Awards Summary'!$H:$H,'Awards Summary'!$B:$B,$C61,'Awards Summary'!$J:$J,"SLA")</f>
        <v>0</v>
      </c>
      <c r="Q61" s="55">
        <f>SUMIFS('Disbursements Summary'!$E:$E,'Disbursements Summary'!$C:$C,$C61,'Disbursements Summary'!$A:$A,"SLA")</f>
        <v>0</v>
      </c>
      <c r="R61" s="55">
        <f>SUMIFS('Awards Summary'!$H:$H,'Awards Summary'!$B:$B,$C61,'Awards Summary'!$J:$J,"BPCA")</f>
        <v>0</v>
      </c>
      <c r="S61" s="55">
        <f>SUMIFS('Disbursements Summary'!$E:$E,'Disbursements Summary'!$C:$C,$C61,'Disbursements Summary'!$A:$A,"BPCA")</f>
        <v>0</v>
      </c>
      <c r="T61" s="55">
        <f>SUMIFS('Awards Summary'!$H:$H,'Awards Summary'!$B:$B,$C61,'Awards Summary'!$J:$J,"ELECTIONS")</f>
        <v>0</v>
      </c>
      <c r="U61" s="55">
        <f>SUMIFS('Disbursements Summary'!$E:$E,'Disbursements Summary'!$C:$C,$C61,'Disbursements Summary'!$A:$A,"ELECTIONS")</f>
        <v>0</v>
      </c>
      <c r="V61" s="55">
        <f>SUMIFS('Awards Summary'!$H:$H,'Awards Summary'!$B:$B,$C61,'Awards Summary'!$J:$J,"BFSA")</f>
        <v>0</v>
      </c>
      <c r="W61" s="55">
        <f>SUMIFS('Disbursements Summary'!$E:$E,'Disbursements Summary'!$C:$C,$C61,'Disbursements Summary'!$A:$A,"BFSA")</f>
        <v>0</v>
      </c>
      <c r="X61" s="55">
        <f>SUMIFS('Awards Summary'!$H:$H,'Awards Summary'!$B:$B,$C61,'Awards Summary'!$J:$J,"CDTA")</f>
        <v>0</v>
      </c>
      <c r="Y61" s="55">
        <f>SUMIFS('Disbursements Summary'!$E:$E,'Disbursements Summary'!$C:$C,$C61,'Disbursements Summary'!$A:$A,"CDTA")</f>
        <v>0</v>
      </c>
      <c r="Z61" s="55">
        <f>SUMIFS('Awards Summary'!$H:$H,'Awards Summary'!$B:$B,$C61,'Awards Summary'!$J:$J,"CCWSA")</f>
        <v>0</v>
      </c>
      <c r="AA61" s="55">
        <f>SUMIFS('Disbursements Summary'!$E:$E,'Disbursements Summary'!$C:$C,$C61,'Disbursements Summary'!$A:$A,"CCWSA")</f>
        <v>0</v>
      </c>
      <c r="AB61" s="55">
        <f>SUMIFS('Awards Summary'!$H:$H,'Awards Summary'!$B:$B,$C61,'Awards Summary'!$J:$J,"CNYRTA")</f>
        <v>0</v>
      </c>
      <c r="AC61" s="55">
        <f>SUMIFS('Disbursements Summary'!$E:$E,'Disbursements Summary'!$C:$C,$C61,'Disbursements Summary'!$A:$A,"CNYRTA")</f>
        <v>0</v>
      </c>
      <c r="AD61" s="55">
        <f>SUMIFS('Awards Summary'!$H:$H,'Awards Summary'!$B:$B,$C61,'Awards Summary'!$J:$J,"CUCF")</f>
        <v>0</v>
      </c>
      <c r="AE61" s="55">
        <f>SUMIFS('Disbursements Summary'!$E:$E,'Disbursements Summary'!$C:$C,$C61,'Disbursements Summary'!$A:$A,"CUCF")</f>
        <v>0</v>
      </c>
      <c r="AF61" s="55">
        <f>SUMIFS('Awards Summary'!$H:$H,'Awards Summary'!$B:$B,$C61,'Awards Summary'!$J:$J,"CUNY")</f>
        <v>0</v>
      </c>
      <c r="AG61" s="55">
        <f>SUMIFS('Disbursements Summary'!$E:$E,'Disbursements Summary'!$C:$C,$C61,'Disbursements Summary'!$A:$A,"CUNY")</f>
        <v>0</v>
      </c>
      <c r="AH61" s="55">
        <f>SUMIFS('Awards Summary'!$H:$H,'Awards Summary'!$B:$B,$C61,'Awards Summary'!$J:$J,"ARTS")</f>
        <v>0</v>
      </c>
      <c r="AI61" s="55">
        <f>SUMIFS('Disbursements Summary'!$E:$E,'Disbursements Summary'!$C:$C,$C61,'Disbursements Summary'!$A:$A,"ARTS")</f>
        <v>0</v>
      </c>
      <c r="AJ61" s="55">
        <f>SUMIFS('Awards Summary'!$H:$H,'Awards Summary'!$B:$B,$C61,'Awards Summary'!$J:$J,"AG&amp;MKTS")</f>
        <v>0</v>
      </c>
      <c r="AK61" s="55">
        <f>SUMIFS('Disbursements Summary'!$E:$E,'Disbursements Summary'!$C:$C,$C61,'Disbursements Summary'!$A:$A,"AG&amp;MKTS")</f>
        <v>0</v>
      </c>
      <c r="AL61" s="55">
        <f>SUMIFS('Awards Summary'!$H:$H,'Awards Summary'!$B:$B,$C61,'Awards Summary'!$J:$J,"CS")</f>
        <v>0</v>
      </c>
      <c r="AM61" s="55">
        <f>SUMIFS('Disbursements Summary'!$E:$E,'Disbursements Summary'!$C:$C,$C61,'Disbursements Summary'!$A:$A,"CS")</f>
        <v>0</v>
      </c>
      <c r="AN61" s="55">
        <f>SUMIFS('Awards Summary'!$H:$H,'Awards Summary'!$B:$B,$C61,'Awards Summary'!$J:$J,"DOCCS")</f>
        <v>0</v>
      </c>
      <c r="AO61" s="55">
        <f>SUMIFS('Disbursements Summary'!$E:$E,'Disbursements Summary'!$C:$C,$C61,'Disbursements Summary'!$A:$A,"DOCCS")</f>
        <v>0</v>
      </c>
      <c r="AP61" s="55">
        <f>SUMIFS('Awards Summary'!$H:$H,'Awards Summary'!$B:$B,$C61,'Awards Summary'!$J:$J,"DED")</f>
        <v>0</v>
      </c>
      <c r="AQ61" s="55">
        <f>SUMIFS('Disbursements Summary'!$E:$E,'Disbursements Summary'!$C:$C,$C61,'Disbursements Summary'!$A:$A,"DED")</f>
        <v>0</v>
      </c>
      <c r="AR61" s="55">
        <f>SUMIFS('Awards Summary'!$H:$H,'Awards Summary'!$B:$B,$C61,'Awards Summary'!$J:$J,"DEC")</f>
        <v>0</v>
      </c>
      <c r="AS61" s="55">
        <f>SUMIFS('Disbursements Summary'!$E:$E,'Disbursements Summary'!$C:$C,$C61,'Disbursements Summary'!$A:$A,"DEC")</f>
        <v>0</v>
      </c>
      <c r="AT61" s="55">
        <f>SUMIFS('Awards Summary'!$H:$H,'Awards Summary'!$B:$B,$C61,'Awards Summary'!$J:$J,"DFS")</f>
        <v>0</v>
      </c>
      <c r="AU61" s="55">
        <f>SUMIFS('Disbursements Summary'!$E:$E,'Disbursements Summary'!$C:$C,$C61,'Disbursements Summary'!$A:$A,"DFS")</f>
        <v>0</v>
      </c>
      <c r="AV61" s="55">
        <f>SUMIFS('Awards Summary'!$H:$H,'Awards Summary'!$B:$B,$C61,'Awards Summary'!$J:$J,"DOH")</f>
        <v>0</v>
      </c>
      <c r="AW61" s="55">
        <f>SUMIFS('Disbursements Summary'!$E:$E,'Disbursements Summary'!$C:$C,$C61,'Disbursements Summary'!$A:$A,"DOH")</f>
        <v>0</v>
      </c>
      <c r="AX61" s="55">
        <f>SUMIFS('Awards Summary'!$H:$H,'Awards Summary'!$B:$B,$C61,'Awards Summary'!$J:$J,"DOL")</f>
        <v>0</v>
      </c>
      <c r="AY61" s="55">
        <f>SUMIFS('Disbursements Summary'!$E:$E,'Disbursements Summary'!$C:$C,$C61,'Disbursements Summary'!$A:$A,"DOL")</f>
        <v>0</v>
      </c>
      <c r="AZ61" s="55">
        <f>SUMIFS('Awards Summary'!$H:$H,'Awards Summary'!$B:$B,$C61,'Awards Summary'!$J:$J,"DMV")</f>
        <v>0</v>
      </c>
      <c r="BA61" s="55">
        <f>SUMIFS('Disbursements Summary'!$E:$E,'Disbursements Summary'!$C:$C,$C61,'Disbursements Summary'!$A:$A,"DMV")</f>
        <v>0</v>
      </c>
      <c r="BB61" s="55">
        <f>SUMIFS('Awards Summary'!$H:$H,'Awards Summary'!$B:$B,$C61,'Awards Summary'!$J:$J,"DPS")</f>
        <v>0</v>
      </c>
      <c r="BC61" s="55">
        <f>SUMIFS('Disbursements Summary'!$E:$E,'Disbursements Summary'!$C:$C,$C61,'Disbursements Summary'!$A:$A,"DPS")</f>
        <v>0</v>
      </c>
      <c r="BD61" s="55">
        <f>SUMIFS('Awards Summary'!$H:$H,'Awards Summary'!$B:$B,$C61,'Awards Summary'!$J:$J,"DOS")</f>
        <v>0</v>
      </c>
      <c r="BE61" s="55">
        <f>SUMIFS('Disbursements Summary'!$E:$E,'Disbursements Summary'!$C:$C,$C61,'Disbursements Summary'!$A:$A,"DOS")</f>
        <v>0</v>
      </c>
      <c r="BF61" s="55">
        <f>SUMIFS('Awards Summary'!$H:$H,'Awards Summary'!$B:$B,$C61,'Awards Summary'!$J:$J,"TAX")</f>
        <v>0</v>
      </c>
      <c r="BG61" s="55">
        <f>SUMIFS('Disbursements Summary'!$E:$E,'Disbursements Summary'!$C:$C,$C61,'Disbursements Summary'!$A:$A,"TAX")</f>
        <v>0</v>
      </c>
      <c r="BH61" s="55">
        <f>SUMIFS('Awards Summary'!$H:$H,'Awards Summary'!$B:$B,$C61,'Awards Summary'!$J:$J,"DOT")</f>
        <v>0</v>
      </c>
      <c r="BI61" s="55">
        <f>SUMIFS('Disbursements Summary'!$E:$E,'Disbursements Summary'!$C:$C,$C61,'Disbursements Summary'!$A:$A,"DOT")</f>
        <v>0</v>
      </c>
      <c r="BJ61" s="55">
        <f>SUMIFS('Awards Summary'!$H:$H,'Awards Summary'!$B:$B,$C61,'Awards Summary'!$J:$J,"DANC")</f>
        <v>0</v>
      </c>
      <c r="BK61" s="55">
        <f>SUMIFS('Disbursements Summary'!$E:$E,'Disbursements Summary'!$C:$C,$C61,'Disbursements Summary'!$A:$A,"DANC")</f>
        <v>0</v>
      </c>
      <c r="BL61" s="55">
        <f>SUMIFS('Awards Summary'!$H:$H,'Awards Summary'!$B:$B,$C61,'Awards Summary'!$J:$J,"DOB")</f>
        <v>0</v>
      </c>
      <c r="BM61" s="55">
        <f>SUMIFS('Disbursements Summary'!$E:$E,'Disbursements Summary'!$C:$C,$C61,'Disbursements Summary'!$A:$A,"DOB")</f>
        <v>0</v>
      </c>
      <c r="BN61" s="55">
        <f>SUMIFS('Awards Summary'!$H:$H,'Awards Summary'!$B:$B,$C61,'Awards Summary'!$J:$J,"DCJS")</f>
        <v>0</v>
      </c>
      <c r="BO61" s="55">
        <f>SUMIFS('Disbursements Summary'!$E:$E,'Disbursements Summary'!$C:$C,$C61,'Disbursements Summary'!$A:$A,"DCJS")</f>
        <v>0</v>
      </c>
      <c r="BP61" s="55">
        <f>SUMIFS('Awards Summary'!$H:$H,'Awards Summary'!$B:$B,$C61,'Awards Summary'!$J:$J,"DHSES")</f>
        <v>0</v>
      </c>
      <c r="BQ61" s="55">
        <f>SUMIFS('Disbursements Summary'!$E:$E,'Disbursements Summary'!$C:$C,$C61,'Disbursements Summary'!$A:$A,"DHSES")</f>
        <v>0</v>
      </c>
      <c r="BR61" s="55">
        <f>SUMIFS('Awards Summary'!$H:$H,'Awards Summary'!$B:$B,$C61,'Awards Summary'!$J:$J,"DHR")</f>
        <v>0</v>
      </c>
      <c r="BS61" s="55">
        <f>SUMIFS('Disbursements Summary'!$E:$E,'Disbursements Summary'!$C:$C,$C61,'Disbursements Summary'!$A:$A,"DHR")</f>
        <v>0</v>
      </c>
      <c r="BT61" s="55">
        <f>SUMIFS('Awards Summary'!$H:$H,'Awards Summary'!$B:$B,$C61,'Awards Summary'!$J:$J,"DMNA")</f>
        <v>0</v>
      </c>
      <c r="BU61" s="55">
        <f>SUMIFS('Disbursements Summary'!$E:$E,'Disbursements Summary'!$C:$C,$C61,'Disbursements Summary'!$A:$A,"DMNA")</f>
        <v>0</v>
      </c>
      <c r="BV61" s="55">
        <f>SUMIFS('Awards Summary'!$H:$H,'Awards Summary'!$B:$B,$C61,'Awards Summary'!$J:$J,"TROOPERS")</f>
        <v>0</v>
      </c>
      <c r="BW61" s="55">
        <f>SUMIFS('Disbursements Summary'!$E:$E,'Disbursements Summary'!$C:$C,$C61,'Disbursements Summary'!$A:$A,"TROOPERS")</f>
        <v>0</v>
      </c>
      <c r="BX61" s="55">
        <f>SUMIFS('Awards Summary'!$H:$H,'Awards Summary'!$B:$B,$C61,'Awards Summary'!$J:$J,"DVA")</f>
        <v>0</v>
      </c>
      <c r="BY61" s="55">
        <f>SUMIFS('Disbursements Summary'!$E:$E,'Disbursements Summary'!$C:$C,$C61,'Disbursements Summary'!$A:$A,"DVA")</f>
        <v>0</v>
      </c>
      <c r="BZ61" s="55">
        <f>SUMIFS('Awards Summary'!$H:$H,'Awards Summary'!$B:$B,$C61,'Awards Summary'!$J:$J,"DASNY")</f>
        <v>0</v>
      </c>
      <c r="CA61" s="55">
        <f>SUMIFS('Disbursements Summary'!$E:$E,'Disbursements Summary'!$C:$C,$C61,'Disbursements Summary'!$A:$A,"DASNY")</f>
        <v>0</v>
      </c>
      <c r="CB61" s="55">
        <f>SUMIFS('Awards Summary'!$H:$H,'Awards Summary'!$B:$B,$C61,'Awards Summary'!$J:$J,"EGG")</f>
        <v>0</v>
      </c>
      <c r="CC61" s="55">
        <f>SUMIFS('Disbursements Summary'!$E:$E,'Disbursements Summary'!$C:$C,$C61,'Disbursements Summary'!$A:$A,"EGG")</f>
        <v>0</v>
      </c>
      <c r="CD61" s="55">
        <f>SUMIFS('Awards Summary'!$H:$H,'Awards Summary'!$B:$B,$C61,'Awards Summary'!$J:$J,"ESD")</f>
        <v>0</v>
      </c>
      <c r="CE61" s="55">
        <f>SUMIFS('Disbursements Summary'!$E:$E,'Disbursements Summary'!$C:$C,$C61,'Disbursements Summary'!$A:$A,"ESD")</f>
        <v>0</v>
      </c>
      <c r="CF61" s="55">
        <f>SUMIFS('Awards Summary'!$H:$H,'Awards Summary'!$B:$B,$C61,'Awards Summary'!$J:$J,"EFC")</f>
        <v>0</v>
      </c>
      <c r="CG61" s="55">
        <f>SUMIFS('Disbursements Summary'!$E:$E,'Disbursements Summary'!$C:$C,$C61,'Disbursements Summary'!$A:$A,"EFC")</f>
        <v>0</v>
      </c>
      <c r="CH61" s="55">
        <f>SUMIFS('Awards Summary'!$H:$H,'Awards Summary'!$B:$B,$C61,'Awards Summary'!$J:$J,"ECFSA")</f>
        <v>0</v>
      </c>
      <c r="CI61" s="55">
        <f>SUMIFS('Disbursements Summary'!$E:$E,'Disbursements Summary'!$C:$C,$C61,'Disbursements Summary'!$A:$A,"ECFSA")</f>
        <v>0</v>
      </c>
      <c r="CJ61" s="55">
        <f>SUMIFS('Awards Summary'!$H:$H,'Awards Summary'!$B:$B,$C61,'Awards Summary'!$J:$J,"ECMC")</f>
        <v>0</v>
      </c>
      <c r="CK61" s="55">
        <f>SUMIFS('Disbursements Summary'!$E:$E,'Disbursements Summary'!$C:$C,$C61,'Disbursements Summary'!$A:$A,"ECMC")</f>
        <v>0</v>
      </c>
      <c r="CL61" s="55">
        <f>SUMIFS('Awards Summary'!$H:$H,'Awards Summary'!$B:$B,$C61,'Awards Summary'!$J:$J,"CHAMBER")</f>
        <v>0</v>
      </c>
      <c r="CM61" s="55">
        <f>SUMIFS('Disbursements Summary'!$E:$E,'Disbursements Summary'!$C:$C,$C61,'Disbursements Summary'!$A:$A,"CHAMBER")</f>
        <v>0</v>
      </c>
      <c r="CN61" s="55">
        <f>SUMIFS('Awards Summary'!$H:$H,'Awards Summary'!$B:$B,$C61,'Awards Summary'!$J:$J,"GAMING")</f>
        <v>0</v>
      </c>
      <c r="CO61" s="55">
        <f>SUMIFS('Disbursements Summary'!$E:$E,'Disbursements Summary'!$C:$C,$C61,'Disbursements Summary'!$A:$A,"GAMING")</f>
        <v>0</v>
      </c>
      <c r="CP61" s="55">
        <f>SUMIFS('Awards Summary'!$H:$H,'Awards Summary'!$B:$B,$C61,'Awards Summary'!$J:$J,"GOER")</f>
        <v>0</v>
      </c>
      <c r="CQ61" s="55">
        <f>SUMIFS('Disbursements Summary'!$E:$E,'Disbursements Summary'!$C:$C,$C61,'Disbursements Summary'!$A:$A,"GOER")</f>
        <v>0</v>
      </c>
      <c r="CR61" s="55">
        <f>SUMIFS('Awards Summary'!$H:$H,'Awards Summary'!$B:$B,$C61,'Awards Summary'!$J:$J,"HESC")</f>
        <v>0</v>
      </c>
      <c r="CS61" s="55">
        <f>SUMIFS('Disbursements Summary'!$E:$E,'Disbursements Summary'!$C:$C,$C61,'Disbursements Summary'!$A:$A,"HESC")</f>
        <v>0</v>
      </c>
      <c r="CT61" s="55">
        <f>SUMIFS('Awards Summary'!$H:$H,'Awards Summary'!$B:$B,$C61,'Awards Summary'!$J:$J,"GOSR")</f>
        <v>0</v>
      </c>
      <c r="CU61" s="55">
        <f>SUMIFS('Disbursements Summary'!$E:$E,'Disbursements Summary'!$C:$C,$C61,'Disbursements Summary'!$A:$A,"GOSR")</f>
        <v>0</v>
      </c>
      <c r="CV61" s="55">
        <f>SUMIFS('Awards Summary'!$H:$H,'Awards Summary'!$B:$B,$C61,'Awards Summary'!$J:$J,"HRPT")</f>
        <v>0</v>
      </c>
      <c r="CW61" s="55">
        <f>SUMIFS('Disbursements Summary'!$E:$E,'Disbursements Summary'!$C:$C,$C61,'Disbursements Summary'!$A:$A,"HRPT")</f>
        <v>0</v>
      </c>
      <c r="CX61" s="55">
        <f>SUMIFS('Awards Summary'!$H:$H,'Awards Summary'!$B:$B,$C61,'Awards Summary'!$J:$J,"HRBRRD")</f>
        <v>0</v>
      </c>
      <c r="CY61" s="55">
        <f>SUMIFS('Disbursements Summary'!$E:$E,'Disbursements Summary'!$C:$C,$C61,'Disbursements Summary'!$A:$A,"HRBRRD")</f>
        <v>0</v>
      </c>
      <c r="CZ61" s="55">
        <f>SUMIFS('Awards Summary'!$H:$H,'Awards Summary'!$B:$B,$C61,'Awards Summary'!$J:$J,"ITS")</f>
        <v>0</v>
      </c>
      <c r="DA61" s="55">
        <f>SUMIFS('Disbursements Summary'!$E:$E,'Disbursements Summary'!$C:$C,$C61,'Disbursements Summary'!$A:$A,"ITS")</f>
        <v>0</v>
      </c>
      <c r="DB61" s="55">
        <f>SUMIFS('Awards Summary'!$H:$H,'Awards Summary'!$B:$B,$C61,'Awards Summary'!$J:$J,"JAVITS")</f>
        <v>0</v>
      </c>
      <c r="DC61" s="55">
        <f>SUMIFS('Disbursements Summary'!$E:$E,'Disbursements Summary'!$C:$C,$C61,'Disbursements Summary'!$A:$A,"JAVITS")</f>
        <v>0</v>
      </c>
      <c r="DD61" s="55">
        <f>SUMIFS('Awards Summary'!$H:$H,'Awards Summary'!$B:$B,$C61,'Awards Summary'!$J:$J,"JCOPE")</f>
        <v>0</v>
      </c>
      <c r="DE61" s="55">
        <f>SUMIFS('Disbursements Summary'!$E:$E,'Disbursements Summary'!$C:$C,$C61,'Disbursements Summary'!$A:$A,"JCOPE")</f>
        <v>0</v>
      </c>
      <c r="DF61" s="55">
        <f>SUMIFS('Awards Summary'!$H:$H,'Awards Summary'!$B:$B,$C61,'Awards Summary'!$J:$J,"JUSTICE")</f>
        <v>0</v>
      </c>
      <c r="DG61" s="55">
        <f>SUMIFS('Disbursements Summary'!$E:$E,'Disbursements Summary'!$C:$C,$C61,'Disbursements Summary'!$A:$A,"JUSTICE")</f>
        <v>0</v>
      </c>
      <c r="DH61" s="55">
        <f>SUMIFS('Awards Summary'!$H:$H,'Awards Summary'!$B:$B,$C61,'Awards Summary'!$J:$J,"LCWSA")</f>
        <v>0</v>
      </c>
      <c r="DI61" s="55">
        <f>SUMIFS('Disbursements Summary'!$E:$E,'Disbursements Summary'!$C:$C,$C61,'Disbursements Summary'!$A:$A,"LCWSA")</f>
        <v>0</v>
      </c>
      <c r="DJ61" s="55">
        <f>SUMIFS('Awards Summary'!$H:$H,'Awards Summary'!$B:$B,$C61,'Awards Summary'!$J:$J,"LIPA")</f>
        <v>0</v>
      </c>
      <c r="DK61" s="55">
        <f>SUMIFS('Disbursements Summary'!$E:$E,'Disbursements Summary'!$C:$C,$C61,'Disbursements Summary'!$A:$A,"LIPA")</f>
        <v>0</v>
      </c>
      <c r="DL61" s="55">
        <f>SUMIFS('Awards Summary'!$H:$H,'Awards Summary'!$B:$B,$C61,'Awards Summary'!$J:$J,"MTA")</f>
        <v>0</v>
      </c>
      <c r="DM61" s="55">
        <f>SUMIFS('Disbursements Summary'!$E:$E,'Disbursements Summary'!$C:$C,$C61,'Disbursements Summary'!$A:$A,"MTA")</f>
        <v>0</v>
      </c>
      <c r="DN61" s="55">
        <f>SUMIFS('Awards Summary'!$H:$H,'Awards Summary'!$B:$B,$C61,'Awards Summary'!$J:$J,"NIFA")</f>
        <v>0</v>
      </c>
      <c r="DO61" s="55">
        <f>SUMIFS('Disbursements Summary'!$E:$E,'Disbursements Summary'!$C:$C,$C61,'Disbursements Summary'!$A:$A,"NIFA")</f>
        <v>0</v>
      </c>
      <c r="DP61" s="55">
        <f>SUMIFS('Awards Summary'!$H:$H,'Awards Summary'!$B:$B,$C61,'Awards Summary'!$J:$J,"NHCC")</f>
        <v>0</v>
      </c>
      <c r="DQ61" s="55">
        <f>SUMIFS('Disbursements Summary'!$E:$E,'Disbursements Summary'!$C:$C,$C61,'Disbursements Summary'!$A:$A,"NHCC")</f>
        <v>0</v>
      </c>
      <c r="DR61" s="55">
        <f>SUMIFS('Awards Summary'!$H:$H,'Awards Summary'!$B:$B,$C61,'Awards Summary'!$J:$J,"NHT")</f>
        <v>0</v>
      </c>
      <c r="DS61" s="55">
        <f>SUMIFS('Disbursements Summary'!$E:$E,'Disbursements Summary'!$C:$C,$C61,'Disbursements Summary'!$A:$A,"NHT")</f>
        <v>0</v>
      </c>
      <c r="DT61" s="55">
        <f>SUMIFS('Awards Summary'!$H:$H,'Awards Summary'!$B:$B,$C61,'Awards Summary'!$J:$J,"NYPA")</f>
        <v>0</v>
      </c>
      <c r="DU61" s="55">
        <f>SUMIFS('Disbursements Summary'!$E:$E,'Disbursements Summary'!$C:$C,$C61,'Disbursements Summary'!$A:$A,"NYPA")</f>
        <v>0</v>
      </c>
      <c r="DV61" s="55">
        <f>SUMIFS('Awards Summary'!$H:$H,'Awards Summary'!$B:$B,$C61,'Awards Summary'!$J:$J,"NYSBA")</f>
        <v>0</v>
      </c>
      <c r="DW61" s="55">
        <f>SUMIFS('Disbursements Summary'!$E:$E,'Disbursements Summary'!$C:$C,$C61,'Disbursements Summary'!$A:$A,"NYSBA")</f>
        <v>0</v>
      </c>
      <c r="DX61" s="55">
        <f>SUMIFS('Awards Summary'!$H:$H,'Awards Summary'!$B:$B,$C61,'Awards Summary'!$J:$J,"NYSERDA")</f>
        <v>0</v>
      </c>
      <c r="DY61" s="55">
        <f>SUMIFS('Disbursements Summary'!$E:$E,'Disbursements Summary'!$C:$C,$C61,'Disbursements Summary'!$A:$A,"NYSERDA")</f>
        <v>0</v>
      </c>
      <c r="DZ61" s="55">
        <f>SUMIFS('Awards Summary'!$H:$H,'Awards Summary'!$B:$B,$C61,'Awards Summary'!$J:$J,"DHCR")</f>
        <v>0</v>
      </c>
      <c r="EA61" s="55">
        <f>SUMIFS('Disbursements Summary'!$E:$E,'Disbursements Summary'!$C:$C,$C61,'Disbursements Summary'!$A:$A,"DHCR")</f>
        <v>0</v>
      </c>
      <c r="EB61" s="55">
        <f>SUMIFS('Awards Summary'!$H:$H,'Awards Summary'!$B:$B,$C61,'Awards Summary'!$J:$J,"HFA")</f>
        <v>0</v>
      </c>
      <c r="EC61" s="55">
        <f>SUMIFS('Disbursements Summary'!$E:$E,'Disbursements Summary'!$C:$C,$C61,'Disbursements Summary'!$A:$A,"HFA")</f>
        <v>0</v>
      </c>
      <c r="ED61" s="55">
        <f>SUMIFS('Awards Summary'!$H:$H,'Awards Summary'!$B:$B,$C61,'Awards Summary'!$J:$J,"NYSIF")</f>
        <v>0</v>
      </c>
      <c r="EE61" s="55">
        <f>SUMIFS('Disbursements Summary'!$E:$E,'Disbursements Summary'!$C:$C,$C61,'Disbursements Summary'!$A:$A,"NYSIF")</f>
        <v>0</v>
      </c>
      <c r="EF61" s="55">
        <f>SUMIFS('Awards Summary'!$H:$H,'Awards Summary'!$B:$B,$C61,'Awards Summary'!$J:$J,"NYBREDS")</f>
        <v>0</v>
      </c>
      <c r="EG61" s="55">
        <f>SUMIFS('Disbursements Summary'!$E:$E,'Disbursements Summary'!$C:$C,$C61,'Disbursements Summary'!$A:$A,"NYBREDS")</f>
        <v>0</v>
      </c>
      <c r="EH61" s="55">
        <f>SUMIFS('Awards Summary'!$H:$H,'Awards Summary'!$B:$B,$C61,'Awards Summary'!$J:$J,"NYSTA")</f>
        <v>0</v>
      </c>
      <c r="EI61" s="55">
        <f>SUMIFS('Disbursements Summary'!$E:$E,'Disbursements Summary'!$C:$C,$C61,'Disbursements Summary'!$A:$A,"NYSTA")</f>
        <v>0</v>
      </c>
      <c r="EJ61" s="55">
        <f>SUMIFS('Awards Summary'!$H:$H,'Awards Summary'!$B:$B,$C61,'Awards Summary'!$J:$J,"NFWB")</f>
        <v>0</v>
      </c>
      <c r="EK61" s="55">
        <f>SUMIFS('Disbursements Summary'!$E:$E,'Disbursements Summary'!$C:$C,$C61,'Disbursements Summary'!$A:$A,"NFWB")</f>
        <v>0</v>
      </c>
      <c r="EL61" s="55">
        <f>SUMIFS('Awards Summary'!$H:$H,'Awards Summary'!$B:$B,$C61,'Awards Summary'!$J:$J,"NFTA")</f>
        <v>0</v>
      </c>
      <c r="EM61" s="55">
        <f>SUMIFS('Disbursements Summary'!$E:$E,'Disbursements Summary'!$C:$C,$C61,'Disbursements Summary'!$A:$A,"NFTA")</f>
        <v>0</v>
      </c>
      <c r="EN61" s="55">
        <f>SUMIFS('Awards Summary'!$H:$H,'Awards Summary'!$B:$B,$C61,'Awards Summary'!$J:$J,"OPWDD")</f>
        <v>0</v>
      </c>
      <c r="EO61" s="55">
        <f>SUMIFS('Disbursements Summary'!$E:$E,'Disbursements Summary'!$C:$C,$C61,'Disbursements Summary'!$A:$A,"OPWDD")</f>
        <v>0</v>
      </c>
      <c r="EP61" s="55">
        <f>SUMIFS('Awards Summary'!$H:$H,'Awards Summary'!$B:$B,$C61,'Awards Summary'!$J:$J,"AGING")</f>
        <v>0</v>
      </c>
      <c r="EQ61" s="55">
        <f>SUMIFS('Disbursements Summary'!$E:$E,'Disbursements Summary'!$C:$C,$C61,'Disbursements Summary'!$A:$A,"AGING")</f>
        <v>0</v>
      </c>
      <c r="ER61" s="55">
        <f>SUMIFS('Awards Summary'!$H:$H,'Awards Summary'!$B:$B,$C61,'Awards Summary'!$J:$J,"OPDV")</f>
        <v>0</v>
      </c>
      <c r="ES61" s="55">
        <f>SUMIFS('Disbursements Summary'!$E:$E,'Disbursements Summary'!$C:$C,$C61,'Disbursements Summary'!$A:$A,"OPDV")</f>
        <v>0</v>
      </c>
      <c r="ET61" s="55">
        <f>SUMIFS('Awards Summary'!$H:$H,'Awards Summary'!$B:$B,$C61,'Awards Summary'!$J:$J,"OVS")</f>
        <v>0</v>
      </c>
      <c r="EU61" s="55">
        <f>SUMIFS('Disbursements Summary'!$E:$E,'Disbursements Summary'!$C:$C,$C61,'Disbursements Summary'!$A:$A,"OVS")</f>
        <v>0</v>
      </c>
      <c r="EV61" s="55">
        <f>SUMIFS('Awards Summary'!$H:$H,'Awards Summary'!$B:$B,$C61,'Awards Summary'!$J:$J,"OASAS")</f>
        <v>0</v>
      </c>
      <c r="EW61" s="55">
        <f>SUMIFS('Disbursements Summary'!$E:$E,'Disbursements Summary'!$C:$C,$C61,'Disbursements Summary'!$A:$A,"OASAS")</f>
        <v>0</v>
      </c>
      <c r="EX61" s="55">
        <f>SUMIFS('Awards Summary'!$H:$H,'Awards Summary'!$B:$B,$C61,'Awards Summary'!$J:$J,"OCFS")</f>
        <v>0</v>
      </c>
      <c r="EY61" s="55">
        <f>SUMIFS('Disbursements Summary'!$E:$E,'Disbursements Summary'!$C:$C,$C61,'Disbursements Summary'!$A:$A,"OCFS")</f>
        <v>0</v>
      </c>
      <c r="EZ61" s="55">
        <f>SUMIFS('Awards Summary'!$H:$H,'Awards Summary'!$B:$B,$C61,'Awards Summary'!$J:$J,"OGS")</f>
        <v>0</v>
      </c>
      <c r="FA61" s="55">
        <f>SUMIFS('Disbursements Summary'!$E:$E,'Disbursements Summary'!$C:$C,$C61,'Disbursements Summary'!$A:$A,"OGS")</f>
        <v>0</v>
      </c>
      <c r="FB61" s="55">
        <f>SUMIFS('Awards Summary'!$H:$H,'Awards Summary'!$B:$B,$C61,'Awards Summary'!$J:$J,"OMH")</f>
        <v>0</v>
      </c>
      <c r="FC61" s="55">
        <f>SUMIFS('Disbursements Summary'!$E:$E,'Disbursements Summary'!$C:$C,$C61,'Disbursements Summary'!$A:$A,"OMH")</f>
        <v>0</v>
      </c>
      <c r="FD61" s="55">
        <f>SUMIFS('Awards Summary'!$H:$H,'Awards Summary'!$B:$B,$C61,'Awards Summary'!$J:$J,"PARKS")</f>
        <v>0</v>
      </c>
      <c r="FE61" s="55">
        <f>SUMIFS('Disbursements Summary'!$E:$E,'Disbursements Summary'!$C:$C,$C61,'Disbursements Summary'!$A:$A,"PARKS")</f>
        <v>0</v>
      </c>
      <c r="FF61" s="55">
        <f>SUMIFS('Awards Summary'!$H:$H,'Awards Summary'!$B:$B,$C61,'Awards Summary'!$J:$J,"OTDA")</f>
        <v>0</v>
      </c>
      <c r="FG61" s="55">
        <f>SUMIFS('Disbursements Summary'!$E:$E,'Disbursements Summary'!$C:$C,$C61,'Disbursements Summary'!$A:$A,"OTDA")</f>
        <v>0</v>
      </c>
      <c r="FH61" s="55">
        <f>SUMIFS('Awards Summary'!$H:$H,'Awards Summary'!$B:$B,$C61,'Awards Summary'!$J:$J,"OIG")</f>
        <v>0</v>
      </c>
      <c r="FI61" s="55">
        <f>SUMIFS('Disbursements Summary'!$E:$E,'Disbursements Summary'!$C:$C,$C61,'Disbursements Summary'!$A:$A,"OIG")</f>
        <v>0</v>
      </c>
      <c r="FJ61" s="55">
        <f>SUMIFS('Awards Summary'!$H:$H,'Awards Summary'!$B:$B,$C61,'Awards Summary'!$J:$J,"OMIG")</f>
        <v>0</v>
      </c>
      <c r="FK61" s="55">
        <f>SUMIFS('Disbursements Summary'!$E:$E,'Disbursements Summary'!$C:$C,$C61,'Disbursements Summary'!$A:$A,"OMIG")</f>
        <v>0</v>
      </c>
      <c r="FL61" s="55">
        <f>SUMIFS('Awards Summary'!$H:$H,'Awards Summary'!$B:$B,$C61,'Awards Summary'!$J:$J,"OSC")</f>
        <v>0</v>
      </c>
      <c r="FM61" s="55">
        <f>SUMIFS('Disbursements Summary'!$E:$E,'Disbursements Summary'!$C:$C,$C61,'Disbursements Summary'!$A:$A,"OSC")</f>
        <v>0</v>
      </c>
      <c r="FN61" s="55">
        <f>SUMIFS('Awards Summary'!$H:$H,'Awards Summary'!$B:$B,$C61,'Awards Summary'!$J:$J,"OWIG")</f>
        <v>0</v>
      </c>
      <c r="FO61" s="55">
        <f>SUMIFS('Disbursements Summary'!$E:$E,'Disbursements Summary'!$C:$C,$C61,'Disbursements Summary'!$A:$A,"OWIG")</f>
        <v>0</v>
      </c>
      <c r="FP61" s="55">
        <f>SUMIFS('Awards Summary'!$H:$H,'Awards Summary'!$B:$B,$C61,'Awards Summary'!$J:$J,"OGDEN")</f>
        <v>0</v>
      </c>
      <c r="FQ61" s="55">
        <f>SUMIFS('Disbursements Summary'!$E:$E,'Disbursements Summary'!$C:$C,$C61,'Disbursements Summary'!$A:$A,"OGDEN")</f>
        <v>0</v>
      </c>
      <c r="FR61" s="55">
        <f>SUMIFS('Awards Summary'!$H:$H,'Awards Summary'!$B:$B,$C61,'Awards Summary'!$J:$J,"ORDA")</f>
        <v>0</v>
      </c>
      <c r="FS61" s="55">
        <f>SUMIFS('Disbursements Summary'!$E:$E,'Disbursements Summary'!$C:$C,$C61,'Disbursements Summary'!$A:$A,"ORDA")</f>
        <v>0</v>
      </c>
      <c r="FT61" s="55">
        <f>SUMIFS('Awards Summary'!$H:$H,'Awards Summary'!$B:$B,$C61,'Awards Summary'!$J:$J,"OSWEGO")</f>
        <v>0</v>
      </c>
      <c r="FU61" s="55">
        <f>SUMIFS('Disbursements Summary'!$E:$E,'Disbursements Summary'!$C:$C,$C61,'Disbursements Summary'!$A:$A,"OSWEGO")</f>
        <v>0</v>
      </c>
      <c r="FV61" s="55">
        <f>SUMIFS('Awards Summary'!$H:$H,'Awards Summary'!$B:$B,$C61,'Awards Summary'!$J:$J,"PERB")</f>
        <v>0</v>
      </c>
      <c r="FW61" s="55">
        <f>SUMIFS('Disbursements Summary'!$E:$E,'Disbursements Summary'!$C:$C,$C61,'Disbursements Summary'!$A:$A,"PERB")</f>
        <v>0</v>
      </c>
      <c r="FX61" s="55">
        <f>SUMIFS('Awards Summary'!$H:$H,'Awards Summary'!$B:$B,$C61,'Awards Summary'!$J:$J,"RGRTA")</f>
        <v>0</v>
      </c>
      <c r="FY61" s="55">
        <f>SUMIFS('Disbursements Summary'!$E:$E,'Disbursements Summary'!$C:$C,$C61,'Disbursements Summary'!$A:$A,"RGRTA")</f>
        <v>0</v>
      </c>
      <c r="FZ61" s="55">
        <f>SUMIFS('Awards Summary'!$H:$H,'Awards Summary'!$B:$B,$C61,'Awards Summary'!$J:$J,"RIOC")</f>
        <v>0</v>
      </c>
      <c r="GA61" s="55">
        <f>SUMIFS('Disbursements Summary'!$E:$E,'Disbursements Summary'!$C:$C,$C61,'Disbursements Summary'!$A:$A,"RIOC")</f>
        <v>0</v>
      </c>
      <c r="GB61" s="55">
        <f>SUMIFS('Awards Summary'!$H:$H,'Awards Summary'!$B:$B,$C61,'Awards Summary'!$J:$J,"RPCI")</f>
        <v>0</v>
      </c>
      <c r="GC61" s="55">
        <f>SUMIFS('Disbursements Summary'!$E:$E,'Disbursements Summary'!$C:$C,$C61,'Disbursements Summary'!$A:$A,"RPCI")</f>
        <v>0</v>
      </c>
      <c r="GD61" s="55">
        <f>SUMIFS('Awards Summary'!$H:$H,'Awards Summary'!$B:$B,$C61,'Awards Summary'!$J:$J,"SMDA")</f>
        <v>0</v>
      </c>
      <c r="GE61" s="55">
        <f>SUMIFS('Disbursements Summary'!$E:$E,'Disbursements Summary'!$C:$C,$C61,'Disbursements Summary'!$A:$A,"SMDA")</f>
        <v>0</v>
      </c>
      <c r="GF61" s="55">
        <f>SUMIFS('Awards Summary'!$H:$H,'Awards Summary'!$B:$B,$C61,'Awards Summary'!$J:$J,"SCOC")</f>
        <v>0</v>
      </c>
      <c r="GG61" s="55">
        <f>SUMIFS('Disbursements Summary'!$E:$E,'Disbursements Summary'!$C:$C,$C61,'Disbursements Summary'!$A:$A,"SCOC")</f>
        <v>0</v>
      </c>
      <c r="GH61" s="55">
        <f>SUMIFS('Awards Summary'!$H:$H,'Awards Summary'!$B:$B,$C61,'Awards Summary'!$J:$J,"SUCF")</f>
        <v>0</v>
      </c>
      <c r="GI61" s="55">
        <f>SUMIFS('Disbursements Summary'!$E:$E,'Disbursements Summary'!$C:$C,$C61,'Disbursements Summary'!$A:$A,"SUCF")</f>
        <v>0</v>
      </c>
      <c r="GJ61" s="55">
        <f>SUMIFS('Awards Summary'!$H:$H,'Awards Summary'!$B:$B,$C61,'Awards Summary'!$J:$J,"SUNY")</f>
        <v>0</v>
      </c>
      <c r="GK61" s="55">
        <f>SUMIFS('Disbursements Summary'!$E:$E,'Disbursements Summary'!$C:$C,$C61,'Disbursements Summary'!$A:$A,"SUNY")</f>
        <v>0</v>
      </c>
      <c r="GL61" s="55">
        <f>SUMIFS('Awards Summary'!$H:$H,'Awards Summary'!$B:$B,$C61,'Awards Summary'!$J:$J,"SRAA")</f>
        <v>0</v>
      </c>
      <c r="GM61" s="55">
        <f>SUMIFS('Disbursements Summary'!$E:$E,'Disbursements Summary'!$C:$C,$C61,'Disbursements Summary'!$A:$A,"SRAA")</f>
        <v>0</v>
      </c>
      <c r="GN61" s="55">
        <f>SUMIFS('Awards Summary'!$H:$H,'Awards Summary'!$B:$B,$C61,'Awards Summary'!$J:$J,"UNDC")</f>
        <v>0</v>
      </c>
      <c r="GO61" s="55">
        <f>SUMIFS('Disbursements Summary'!$E:$E,'Disbursements Summary'!$C:$C,$C61,'Disbursements Summary'!$A:$A,"UNDC")</f>
        <v>0</v>
      </c>
      <c r="GP61" s="55">
        <f>SUMIFS('Awards Summary'!$H:$H,'Awards Summary'!$B:$B,$C61,'Awards Summary'!$J:$J,"MVWA")</f>
        <v>0</v>
      </c>
      <c r="GQ61" s="55">
        <f>SUMIFS('Disbursements Summary'!$E:$E,'Disbursements Summary'!$C:$C,$C61,'Disbursements Summary'!$A:$A,"MVWA")</f>
        <v>0</v>
      </c>
      <c r="GR61" s="55">
        <f>SUMIFS('Awards Summary'!$H:$H,'Awards Summary'!$B:$B,$C61,'Awards Summary'!$J:$J,"WMC")</f>
        <v>0</v>
      </c>
      <c r="GS61" s="55">
        <f>SUMIFS('Disbursements Summary'!$E:$E,'Disbursements Summary'!$C:$C,$C61,'Disbursements Summary'!$A:$A,"WMC")</f>
        <v>0</v>
      </c>
      <c r="GT61" s="55">
        <f>SUMIFS('Awards Summary'!$H:$H,'Awards Summary'!$B:$B,$C61,'Awards Summary'!$J:$J,"WCB")</f>
        <v>0</v>
      </c>
      <c r="GU61" s="55">
        <f>SUMIFS('Disbursements Summary'!$E:$E,'Disbursements Summary'!$C:$C,$C61,'Disbursements Summary'!$A:$A,"WCB")</f>
        <v>0</v>
      </c>
      <c r="GV61" s="32">
        <f t="shared" si="5"/>
        <v>0</v>
      </c>
      <c r="GW61" s="32">
        <f t="shared" si="6"/>
        <v>0</v>
      </c>
      <c r="GX61" s="30" t="b">
        <f t="shared" si="7"/>
        <v>1</v>
      </c>
      <c r="GY61" s="30" t="b">
        <f t="shared" si="8"/>
        <v>1</v>
      </c>
    </row>
    <row r="62" spans="1:207" s="30" customFormat="1">
      <c r="A62" s="22" t="str">
        <f t="shared" si="0"/>
        <v/>
      </c>
      <c r="B62" s="40" t="s">
        <v>119</v>
      </c>
      <c r="C62" s="16">
        <v>151112</v>
      </c>
      <c r="D62" s="26">
        <f>COUNTIF('Awards Summary'!B:B,"151112")</f>
        <v>0</v>
      </c>
      <c r="E62" s="45">
        <f>SUMIFS('Awards Summary'!H:H,'Awards Summary'!B:B,"151112")</f>
        <v>0</v>
      </c>
      <c r="F62" s="46">
        <f>SUMIFS('Disbursements Summary'!E:E,'Disbursements Summary'!C:C, "151112")</f>
        <v>0</v>
      </c>
      <c r="H62" s="55">
        <f>SUMIFS('Awards Summary'!$H:$H,'Awards Summary'!$B:$B,$C62,'Awards Summary'!$J:$J,"APA")</f>
        <v>0</v>
      </c>
      <c r="I62" s="55">
        <f>SUMIFS('Disbursements Summary'!$E:$E,'Disbursements Summary'!$C:$C,$C62,'Disbursements Summary'!$A:$A,"APA")</f>
        <v>0</v>
      </c>
      <c r="J62" s="55">
        <f>SUMIFS('Awards Summary'!$H:$H,'Awards Summary'!$B:$B,$C62,'Awards Summary'!$J:$J,"Ag&amp;Horse")</f>
        <v>0</v>
      </c>
      <c r="K62" s="55">
        <f>SUMIFS('Disbursements Summary'!$E:$E,'Disbursements Summary'!$C:$C,$C62,'Disbursements Summary'!$A:$A,"Ag&amp;Horse")</f>
        <v>0</v>
      </c>
      <c r="L62" s="55">
        <f>SUMIFS('Awards Summary'!$H:$H,'Awards Summary'!$B:$B,$C62,'Awards Summary'!$J:$J,"ACAA")</f>
        <v>0</v>
      </c>
      <c r="M62" s="55">
        <f>SUMIFS('Disbursements Summary'!$E:$E,'Disbursements Summary'!$C:$C,$C62,'Disbursements Summary'!$A:$A,"ACAA")</f>
        <v>0</v>
      </c>
      <c r="N62" s="55">
        <f>SUMIFS('Awards Summary'!$H:$H,'Awards Summary'!$B:$B,$C62,'Awards Summary'!$J:$J,"PortAlbany")</f>
        <v>0</v>
      </c>
      <c r="O62" s="55">
        <f>SUMIFS('Disbursements Summary'!$E:$E,'Disbursements Summary'!$C:$C,$C62,'Disbursements Summary'!$A:$A,"PortAlbany")</f>
        <v>0</v>
      </c>
      <c r="P62" s="55">
        <f>SUMIFS('Awards Summary'!$H:$H,'Awards Summary'!$B:$B,$C62,'Awards Summary'!$J:$J,"SLA")</f>
        <v>0</v>
      </c>
      <c r="Q62" s="55">
        <f>SUMIFS('Disbursements Summary'!$E:$E,'Disbursements Summary'!$C:$C,$C62,'Disbursements Summary'!$A:$A,"SLA")</f>
        <v>0</v>
      </c>
      <c r="R62" s="55">
        <f>SUMIFS('Awards Summary'!$H:$H,'Awards Summary'!$B:$B,$C62,'Awards Summary'!$J:$J,"BPCA")</f>
        <v>0</v>
      </c>
      <c r="S62" s="55">
        <f>SUMIFS('Disbursements Summary'!$E:$E,'Disbursements Summary'!$C:$C,$C62,'Disbursements Summary'!$A:$A,"BPCA")</f>
        <v>0</v>
      </c>
      <c r="T62" s="55">
        <f>SUMIFS('Awards Summary'!$H:$H,'Awards Summary'!$B:$B,$C62,'Awards Summary'!$J:$J,"ELECTIONS")</f>
        <v>0</v>
      </c>
      <c r="U62" s="55">
        <f>SUMIFS('Disbursements Summary'!$E:$E,'Disbursements Summary'!$C:$C,$C62,'Disbursements Summary'!$A:$A,"ELECTIONS")</f>
        <v>0</v>
      </c>
      <c r="V62" s="55">
        <f>SUMIFS('Awards Summary'!$H:$H,'Awards Summary'!$B:$B,$C62,'Awards Summary'!$J:$J,"BFSA")</f>
        <v>0</v>
      </c>
      <c r="W62" s="55">
        <f>SUMIFS('Disbursements Summary'!$E:$E,'Disbursements Summary'!$C:$C,$C62,'Disbursements Summary'!$A:$A,"BFSA")</f>
        <v>0</v>
      </c>
      <c r="X62" s="55">
        <f>SUMIFS('Awards Summary'!$H:$H,'Awards Summary'!$B:$B,$C62,'Awards Summary'!$J:$J,"CDTA")</f>
        <v>0</v>
      </c>
      <c r="Y62" s="55">
        <f>SUMIFS('Disbursements Summary'!$E:$E,'Disbursements Summary'!$C:$C,$C62,'Disbursements Summary'!$A:$A,"CDTA")</f>
        <v>0</v>
      </c>
      <c r="Z62" s="55">
        <f>SUMIFS('Awards Summary'!$H:$H,'Awards Summary'!$B:$B,$C62,'Awards Summary'!$J:$J,"CCWSA")</f>
        <v>0</v>
      </c>
      <c r="AA62" s="55">
        <f>SUMIFS('Disbursements Summary'!$E:$E,'Disbursements Summary'!$C:$C,$C62,'Disbursements Summary'!$A:$A,"CCWSA")</f>
        <v>0</v>
      </c>
      <c r="AB62" s="55">
        <f>SUMIFS('Awards Summary'!$H:$H,'Awards Summary'!$B:$B,$C62,'Awards Summary'!$J:$J,"CNYRTA")</f>
        <v>0</v>
      </c>
      <c r="AC62" s="55">
        <f>SUMIFS('Disbursements Summary'!$E:$E,'Disbursements Summary'!$C:$C,$C62,'Disbursements Summary'!$A:$A,"CNYRTA")</f>
        <v>0</v>
      </c>
      <c r="AD62" s="55">
        <f>SUMIFS('Awards Summary'!$H:$H,'Awards Summary'!$B:$B,$C62,'Awards Summary'!$J:$J,"CUCF")</f>
        <v>0</v>
      </c>
      <c r="AE62" s="55">
        <f>SUMIFS('Disbursements Summary'!$E:$E,'Disbursements Summary'!$C:$C,$C62,'Disbursements Summary'!$A:$A,"CUCF")</f>
        <v>0</v>
      </c>
      <c r="AF62" s="55">
        <f>SUMIFS('Awards Summary'!$H:$H,'Awards Summary'!$B:$B,$C62,'Awards Summary'!$J:$J,"CUNY")</f>
        <v>0</v>
      </c>
      <c r="AG62" s="55">
        <f>SUMIFS('Disbursements Summary'!$E:$E,'Disbursements Summary'!$C:$C,$C62,'Disbursements Summary'!$A:$A,"CUNY")</f>
        <v>0</v>
      </c>
      <c r="AH62" s="55">
        <f>SUMIFS('Awards Summary'!$H:$H,'Awards Summary'!$B:$B,$C62,'Awards Summary'!$J:$J,"ARTS")</f>
        <v>0</v>
      </c>
      <c r="AI62" s="55">
        <f>SUMIFS('Disbursements Summary'!$E:$E,'Disbursements Summary'!$C:$C,$C62,'Disbursements Summary'!$A:$A,"ARTS")</f>
        <v>0</v>
      </c>
      <c r="AJ62" s="55">
        <f>SUMIFS('Awards Summary'!$H:$H,'Awards Summary'!$B:$B,$C62,'Awards Summary'!$J:$J,"AG&amp;MKTS")</f>
        <v>0</v>
      </c>
      <c r="AK62" s="55">
        <f>SUMIFS('Disbursements Summary'!$E:$E,'Disbursements Summary'!$C:$C,$C62,'Disbursements Summary'!$A:$A,"AG&amp;MKTS")</f>
        <v>0</v>
      </c>
      <c r="AL62" s="55">
        <f>SUMIFS('Awards Summary'!$H:$H,'Awards Summary'!$B:$B,$C62,'Awards Summary'!$J:$J,"CS")</f>
        <v>0</v>
      </c>
      <c r="AM62" s="55">
        <f>SUMIFS('Disbursements Summary'!$E:$E,'Disbursements Summary'!$C:$C,$C62,'Disbursements Summary'!$A:$A,"CS")</f>
        <v>0</v>
      </c>
      <c r="AN62" s="55">
        <f>SUMIFS('Awards Summary'!$H:$H,'Awards Summary'!$B:$B,$C62,'Awards Summary'!$J:$J,"DOCCS")</f>
        <v>0</v>
      </c>
      <c r="AO62" s="55">
        <f>SUMIFS('Disbursements Summary'!$E:$E,'Disbursements Summary'!$C:$C,$C62,'Disbursements Summary'!$A:$A,"DOCCS")</f>
        <v>0</v>
      </c>
      <c r="AP62" s="55">
        <f>SUMIFS('Awards Summary'!$H:$H,'Awards Summary'!$B:$B,$C62,'Awards Summary'!$J:$J,"DED")</f>
        <v>0</v>
      </c>
      <c r="AQ62" s="55">
        <f>SUMIFS('Disbursements Summary'!$E:$E,'Disbursements Summary'!$C:$C,$C62,'Disbursements Summary'!$A:$A,"DED")</f>
        <v>0</v>
      </c>
      <c r="AR62" s="55">
        <f>SUMIFS('Awards Summary'!$H:$H,'Awards Summary'!$B:$B,$C62,'Awards Summary'!$J:$J,"DEC")</f>
        <v>0</v>
      </c>
      <c r="AS62" s="55">
        <f>SUMIFS('Disbursements Summary'!$E:$E,'Disbursements Summary'!$C:$C,$C62,'Disbursements Summary'!$A:$A,"DEC")</f>
        <v>0</v>
      </c>
      <c r="AT62" s="55">
        <f>SUMIFS('Awards Summary'!$H:$H,'Awards Summary'!$B:$B,$C62,'Awards Summary'!$J:$J,"DFS")</f>
        <v>0</v>
      </c>
      <c r="AU62" s="55">
        <f>SUMIFS('Disbursements Summary'!$E:$E,'Disbursements Summary'!$C:$C,$C62,'Disbursements Summary'!$A:$A,"DFS")</f>
        <v>0</v>
      </c>
      <c r="AV62" s="55">
        <f>SUMIFS('Awards Summary'!$H:$H,'Awards Summary'!$B:$B,$C62,'Awards Summary'!$J:$J,"DOH")</f>
        <v>0</v>
      </c>
      <c r="AW62" s="55">
        <f>SUMIFS('Disbursements Summary'!$E:$E,'Disbursements Summary'!$C:$C,$C62,'Disbursements Summary'!$A:$A,"DOH")</f>
        <v>0</v>
      </c>
      <c r="AX62" s="55">
        <f>SUMIFS('Awards Summary'!$H:$H,'Awards Summary'!$B:$B,$C62,'Awards Summary'!$J:$J,"DOL")</f>
        <v>0</v>
      </c>
      <c r="AY62" s="55">
        <f>SUMIFS('Disbursements Summary'!$E:$E,'Disbursements Summary'!$C:$C,$C62,'Disbursements Summary'!$A:$A,"DOL")</f>
        <v>0</v>
      </c>
      <c r="AZ62" s="55">
        <f>SUMIFS('Awards Summary'!$H:$H,'Awards Summary'!$B:$B,$C62,'Awards Summary'!$J:$J,"DMV")</f>
        <v>0</v>
      </c>
      <c r="BA62" s="55">
        <f>SUMIFS('Disbursements Summary'!$E:$E,'Disbursements Summary'!$C:$C,$C62,'Disbursements Summary'!$A:$A,"DMV")</f>
        <v>0</v>
      </c>
      <c r="BB62" s="55">
        <f>SUMIFS('Awards Summary'!$H:$H,'Awards Summary'!$B:$B,$C62,'Awards Summary'!$J:$J,"DPS")</f>
        <v>0</v>
      </c>
      <c r="BC62" s="55">
        <f>SUMIFS('Disbursements Summary'!$E:$E,'Disbursements Summary'!$C:$C,$C62,'Disbursements Summary'!$A:$A,"DPS")</f>
        <v>0</v>
      </c>
      <c r="BD62" s="55">
        <f>SUMIFS('Awards Summary'!$H:$H,'Awards Summary'!$B:$B,$C62,'Awards Summary'!$J:$J,"DOS")</f>
        <v>0</v>
      </c>
      <c r="BE62" s="55">
        <f>SUMIFS('Disbursements Summary'!$E:$E,'Disbursements Summary'!$C:$C,$C62,'Disbursements Summary'!$A:$A,"DOS")</f>
        <v>0</v>
      </c>
      <c r="BF62" s="55">
        <f>SUMIFS('Awards Summary'!$H:$H,'Awards Summary'!$B:$B,$C62,'Awards Summary'!$J:$J,"TAX")</f>
        <v>0</v>
      </c>
      <c r="BG62" s="55">
        <f>SUMIFS('Disbursements Summary'!$E:$E,'Disbursements Summary'!$C:$C,$C62,'Disbursements Summary'!$A:$A,"TAX")</f>
        <v>0</v>
      </c>
      <c r="BH62" s="55">
        <f>SUMIFS('Awards Summary'!$H:$H,'Awards Summary'!$B:$B,$C62,'Awards Summary'!$J:$J,"DOT")</f>
        <v>0</v>
      </c>
      <c r="BI62" s="55">
        <f>SUMIFS('Disbursements Summary'!$E:$E,'Disbursements Summary'!$C:$C,$C62,'Disbursements Summary'!$A:$A,"DOT")</f>
        <v>0</v>
      </c>
      <c r="BJ62" s="55">
        <f>SUMIFS('Awards Summary'!$H:$H,'Awards Summary'!$B:$B,$C62,'Awards Summary'!$J:$J,"DANC")</f>
        <v>0</v>
      </c>
      <c r="BK62" s="55">
        <f>SUMIFS('Disbursements Summary'!$E:$E,'Disbursements Summary'!$C:$C,$C62,'Disbursements Summary'!$A:$A,"DANC")</f>
        <v>0</v>
      </c>
      <c r="BL62" s="55">
        <f>SUMIFS('Awards Summary'!$H:$H,'Awards Summary'!$B:$B,$C62,'Awards Summary'!$J:$J,"DOB")</f>
        <v>0</v>
      </c>
      <c r="BM62" s="55">
        <f>SUMIFS('Disbursements Summary'!$E:$E,'Disbursements Summary'!$C:$C,$C62,'Disbursements Summary'!$A:$A,"DOB")</f>
        <v>0</v>
      </c>
      <c r="BN62" s="55">
        <f>SUMIFS('Awards Summary'!$H:$H,'Awards Summary'!$B:$B,$C62,'Awards Summary'!$J:$J,"DCJS")</f>
        <v>0</v>
      </c>
      <c r="BO62" s="55">
        <f>SUMIFS('Disbursements Summary'!$E:$E,'Disbursements Summary'!$C:$C,$C62,'Disbursements Summary'!$A:$A,"DCJS")</f>
        <v>0</v>
      </c>
      <c r="BP62" s="55">
        <f>SUMIFS('Awards Summary'!$H:$H,'Awards Summary'!$B:$B,$C62,'Awards Summary'!$J:$J,"DHSES")</f>
        <v>0</v>
      </c>
      <c r="BQ62" s="55">
        <f>SUMIFS('Disbursements Summary'!$E:$E,'Disbursements Summary'!$C:$C,$C62,'Disbursements Summary'!$A:$A,"DHSES")</f>
        <v>0</v>
      </c>
      <c r="BR62" s="55">
        <f>SUMIFS('Awards Summary'!$H:$H,'Awards Summary'!$B:$B,$C62,'Awards Summary'!$J:$J,"DHR")</f>
        <v>0</v>
      </c>
      <c r="BS62" s="55">
        <f>SUMIFS('Disbursements Summary'!$E:$E,'Disbursements Summary'!$C:$C,$C62,'Disbursements Summary'!$A:$A,"DHR")</f>
        <v>0</v>
      </c>
      <c r="BT62" s="55">
        <f>SUMIFS('Awards Summary'!$H:$H,'Awards Summary'!$B:$B,$C62,'Awards Summary'!$J:$J,"DMNA")</f>
        <v>0</v>
      </c>
      <c r="BU62" s="55">
        <f>SUMIFS('Disbursements Summary'!$E:$E,'Disbursements Summary'!$C:$C,$C62,'Disbursements Summary'!$A:$A,"DMNA")</f>
        <v>0</v>
      </c>
      <c r="BV62" s="55">
        <f>SUMIFS('Awards Summary'!$H:$H,'Awards Summary'!$B:$B,$C62,'Awards Summary'!$J:$J,"TROOPERS")</f>
        <v>0</v>
      </c>
      <c r="BW62" s="55">
        <f>SUMIFS('Disbursements Summary'!$E:$E,'Disbursements Summary'!$C:$C,$C62,'Disbursements Summary'!$A:$A,"TROOPERS")</f>
        <v>0</v>
      </c>
      <c r="BX62" s="55">
        <f>SUMIFS('Awards Summary'!$H:$H,'Awards Summary'!$B:$B,$C62,'Awards Summary'!$J:$J,"DVA")</f>
        <v>0</v>
      </c>
      <c r="BY62" s="55">
        <f>SUMIFS('Disbursements Summary'!$E:$E,'Disbursements Summary'!$C:$C,$C62,'Disbursements Summary'!$A:$A,"DVA")</f>
        <v>0</v>
      </c>
      <c r="BZ62" s="55">
        <f>SUMIFS('Awards Summary'!$H:$H,'Awards Summary'!$B:$B,$C62,'Awards Summary'!$J:$J,"DASNY")</f>
        <v>0</v>
      </c>
      <c r="CA62" s="55">
        <f>SUMIFS('Disbursements Summary'!$E:$E,'Disbursements Summary'!$C:$C,$C62,'Disbursements Summary'!$A:$A,"DASNY")</f>
        <v>0</v>
      </c>
      <c r="CB62" s="55">
        <f>SUMIFS('Awards Summary'!$H:$H,'Awards Summary'!$B:$B,$C62,'Awards Summary'!$J:$J,"EGG")</f>
        <v>0</v>
      </c>
      <c r="CC62" s="55">
        <f>SUMIFS('Disbursements Summary'!$E:$E,'Disbursements Summary'!$C:$C,$C62,'Disbursements Summary'!$A:$A,"EGG")</f>
        <v>0</v>
      </c>
      <c r="CD62" s="55">
        <f>SUMIFS('Awards Summary'!$H:$H,'Awards Summary'!$B:$B,$C62,'Awards Summary'!$J:$J,"ESD")</f>
        <v>0</v>
      </c>
      <c r="CE62" s="55">
        <f>SUMIFS('Disbursements Summary'!$E:$E,'Disbursements Summary'!$C:$C,$C62,'Disbursements Summary'!$A:$A,"ESD")</f>
        <v>0</v>
      </c>
      <c r="CF62" s="55">
        <f>SUMIFS('Awards Summary'!$H:$H,'Awards Summary'!$B:$B,$C62,'Awards Summary'!$J:$J,"EFC")</f>
        <v>0</v>
      </c>
      <c r="CG62" s="55">
        <f>SUMIFS('Disbursements Summary'!$E:$E,'Disbursements Summary'!$C:$C,$C62,'Disbursements Summary'!$A:$A,"EFC")</f>
        <v>0</v>
      </c>
      <c r="CH62" s="55">
        <f>SUMIFS('Awards Summary'!$H:$H,'Awards Summary'!$B:$B,$C62,'Awards Summary'!$J:$J,"ECFSA")</f>
        <v>0</v>
      </c>
      <c r="CI62" s="55">
        <f>SUMIFS('Disbursements Summary'!$E:$E,'Disbursements Summary'!$C:$C,$C62,'Disbursements Summary'!$A:$A,"ECFSA")</f>
        <v>0</v>
      </c>
      <c r="CJ62" s="55">
        <f>SUMIFS('Awards Summary'!$H:$H,'Awards Summary'!$B:$B,$C62,'Awards Summary'!$J:$J,"ECMC")</f>
        <v>0</v>
      </c>
      <c r="CK62" s="55">
        <f>SUMIFS('Disbursements Summary'!$E:$E,'Disbursements Summary'!$C:$C,$C62,'Disbursements Summary'!$A:$A,"ECMC")</f>
        <v>0</v>
      </c>
      <c r="CL62" s="55">
        <f>SUMIFS('Awards Summary'!$H:$H,'Awards Summary'!$B:$B,$C62,'Awards Summary'!$J:$J,"CHAMBER")</f>
        <v>0</v>
      </c>
      <c r="CM62" s="55">
        <f>SUMIFS('Disbursements Summary'!$E:$E,'Disbursements Summary'!$C:$C,$C62,'Disbursements Summary'!$A:$A,"CHAMBER")</f>
        <v>0</v>
      </c>
      <c r="CN62" s="55">
        <f>SUMIFS('Awards Summary'!$H:$H,'Awards Summary'!$B:$B,$C62,'Awards Summary'!$J:$J,"GAMING")</f>
        <v>0</v>
      </c>
      <c r="CO62" s="55">
        <f>SUMIFS('Disbursements Summary'!$E:$E,'Disbursements Summary'!$C:$C,$C62,'Disbursements Summary'!$A:$A,"GAMING")</f>
        <v>0</v>
      </c>
      <c r="CP62" s="55">
        <f>SUMIFS('Awards Summary'!$H:$H,'Awards Summary'!$B:$B,$C62,'Awards Summary'!$J:$J,"GOER")</f>
        <v>0</v>
      </c>
      <c r="CQ62" s="55">
        <f>SUMIFS('Disbursements Summary'!$E:$E,'Disbursements Summary'!$C:$C,$C62,'Disbursements Summary'!$A:$A,"GOER")</f>
        <v>0</v>
      </c>
      <c r="CR62" s="55">
        <f>SUMIFS('Awards Summary'!$H:$H,'Awards Summary'!$B:$B,$C62,'Awards Summary'!$J:$J,"HESC")</f>
        <v>0</v>
      </c>
      <c r="CS62" s="55">
        <f>SUMIFS('Disbursements Summary'!$E:$E,'Disbursements Summary'!$C:$C,$C62,'Disbursements Summary'!$A:$A,"HESC")</f>
        <v>0</v>
      </c>
      <c r="CT62" s="55">
        <f>SUMIFS('Awards Summary'!$H:$H,'Awards Summary'!$B:$B,$C62,'Awards Summary'!$J:$J,"GOSR")</f>
        <v>0</v>
      </c>
      <c r="CU62" s="55">
        <f>SUMIFS('Disbursements Summary'!$E:$E,'Disbursements Summary'!$C:$C,$C62,'Disbursements Summary'!$A:$A,"GOSR")</f>
        <v>0</v>
      </c>
      <c r="CV62" s="55">
        <f>SUMIFS('Awards Summary'!$H:$H,'Awards Summary'!$B:$B,$C62,'Awards Summary'!$J:$J,"HRPT")</f>
        <v>0</v>
      </c>
      <c r="CW62" s="55">
        <f>SUMIFS('Disbursements Summary'!$E:$E,'Disbursements Summary'!$C:$C,$C62,'Disbursements Summary'!$A:$A,"HRPT")</f>
        <v>0</v>
      </c>
      <c r="CX62" s="55">
        <f>SUMIFS('Awards Summary'!$H:$H,'Awards Summary'!$B:$B,$C62,'Awards Summary'!$J:$J,"HRBRRD")</f>
        <v>0</v>
      </c>
      <c r="CY62" s="55">
        <f>SUMIFS('Disbursements Summary'!$E:$E,'Disbursements Summary'!$C:$C,$C62,'Disbursements Summary'!$A:$A,"HRBRRD")</f>
        <v>0</v>
      </c>
      <c r="CZ62" s="55">
        <f>SUMIFS('Awards Summary'!$H:$H,'Awards Summary'!$B:$B,$C62,'Awards Summary'!$J:$J,"ITS")</f>
        <v>0</v>
      </c>
      <c r="DA62" s="55">
        <f>SUMIFS('Disbursements Summary'!$E:$E,'Disbursements Summary'!$C:$C,$C62,'Disbursements Summary'!$A:$A,"ITS")</f>
        <v>0</v>
      </c>
      <c r="DB62" s="55">
        <f>SUMIFS('Awards Summary'!$H:$H,'Awards Summary'!$B:$B,$C62,'Awards Summary'!$J:$J,"JAVITS")</f>
        <v>0</v>
      </c>
      <c r="DC62" s="55">
        <f>SUMIFS('Disbursements Summary'!$E:$E,'Disbursements Summary'!$C:$C,$C62,'Disbursements Summary'!$A:$A,"JAVITS")</f>
        <v>0</v>
      </c>
      <c r="DD62" s="55">
        <f>SUMIFS('Awards Summary'!$H:$H,'Awards Summary'!$B:$B,$C62,'Awards Summary'!$J:$J,"JCOPE")</f>
        <v>0</v>
      </c>
      <c r="DE62" s="55">
        <f>SUMIFS('Disbursements Summary'!$E:$E,'Disbursements Summary'!$C:$C,$C62,'Disbursements Summary'!$A:$A,"JCOPE")</f>
        <v>0</v>
      </c>
      <c r="DF62" s="55">
        <f>SUMIFS('Awards Summary'!$H:$H,'Awards Summary'!$B:$B,$C62,'Awards Summary'!$J:$J,"JUSTICE")</f>
        <v>0</v>
      </c>
      <c r="DG62" s="55">
        <f>SUMIFS('Disbursements Summary'!$E:$E,'Disbursements Summary'!$C:$C,$C62,'Disbursements Summary'!$A:$A,"JUSTICE")</f>
        <v>0</v>
      </c>
      <c r="DH62" s="55">
        <f>SUMIFS('Awards Summary'!$H:$H,'Awards Summary'!$B:$B,$C62,'Awards Summary'!$J:$J,"LCWSA")</f>
        <v>0</v>
      </c>
      <c r="DI62" s="55">
        <f>SUMIFS('Disbursements Summary'!$E:$E,'Disbursements Summary'!$C:$C,$C62,'Disbursements Summary'!$A:$A,"LCWSA")</f>
        <v>0</v>
      </c>
      <c r="DJ62" s="55">
        <f>SUMIFS('Awards Summary'!$H:$H,'Awards Summary'!$B:$B,$C62,'Awards Summary'!$J:$J,"LIPA")</f>
        <v>0</v>
      </c>
      <c r="DK62" s="55">
        <f>SUMIFS('Disbursements Summary'!$E:$E,'Disbursements Summary'!$C:$C,$C62,'Disbursements Summary'!$A:$A,"LIPA")</f>
        <v>0</v>
      </c>
      <c r="DL62" s="55">
        <f>SUMIFS('Awards Summary'!$H:$H,'Awards Summary'!$B:$B,$C62,'Awards Summary'!$J:$J,"MTA")</f>
        <v>0</v>
      </c>
      <c r="DM62" s="55">
        <f>SUMIFS('Disbursements Summary'!$E:$E,'Disbursements Summary'!$C:$C,$C62,'Disbursements Summary'!$A:$A,"MTA")</f>
        <v>0</v>
      </c>
      <c r="DN62" s="55">
        <f>SUMIFS('Awards Summary'!$H:$H,'Awards Summary'!$B:$B,$C62,'Awards Summary'!$J:$J,"NIFA")</f>
        <v>0</v>
      </c>
      <c r="DO62" s="55">
        <f>SUMIFS('Disbursements Summary'!$E:$E,'Disbursements Summary'!$C:$C,$C62,'Disbursements Summary'!$A:$A,"NIFA")</f>
        <v>0</v>
      </c>
      <c r="DP62" s="55">
        <f>SUMIFS('Awards Summary'!$H:$H,'Awards Summary'!$B:$B,$C62,'Awards Summary'!$J:$J,"NHCC")</f>
        <v>0</v>
      </c>
      <c r="DQ62" s="55">
        <f>SUMIFS('Disbursements Summary'!$E:$E,'Disbursements Summary'!$C:$C,$C62,'Disbursements Summary'!$A:$A,"NHCC")</f>
        <v>0</v>
      </c>
      <c r="DR62" s="55">
        <f>SUMIFS('Awards Summary'!$H:$H,'Awards Summary'!$B:$B,$C62,'Awards Summary'!$J:$J,"NHT")</f>
        <v>0</v>
      </c>
      <c r="DS62" s="55">
        <f>SUMIFS('Disbursements Summary'!$E:$E,'Disbursements Summary'!$C:$C,$C62,'Disbursements Summary'!$A:$A,"NHT")</f>
        <v>0</v>
      </c>
      <c r="DT62" s="55">
        <f>SUMIFS('Awards Summary'!$H:$H,'Awards Summary'!$B:$B,$C62,'Awards Summary'!$J:$J,"NYPA")</f>
        <v>0</v>
      </c>
      <c r="DU62" s="55">
        <f>SUMIFS('Disbursements Summary'!$E:$E,'Disbursements Summary'!$C:$C,$C62,'Disbursements Summary'!$A:$A,"NYPA")</f>
        <v>0</v>
      </c>
      <c r="DV62" s="55">
        <f>SUMIFS('Awards Summary'!$H:$H,'Awards Summary'!$B:$B,$C62,'Awards Summary'!$J:$J,"NYSBA")</f>
        <v>0</v>
      </c>
      <c r="DW62" s="55">
        <f>SUMIFS('Disbursements Summary'!$E:$E,'Disbursements Summary'!$C:$C,$C62,'Disbursements Summary'!$A:$A,"NYSBA")</f>
        <v>0</v>
      </c>
      <c r="DX62" s="55">
        <f>SUMIFS('Awards Summary'!$H:$H,'Awards Summary'!$B:$B,$C62,'Awards Summary'!$J:$J,"NYSERDA")</f>
        <v>0</v>
      </c>
      <c r="DY62" s="55">
        <f>SUMIFS('Disbursements Summary'!$E:$E,'Disbursements Summary'!$C:$C,$C62,'Disbursements Summary'!$A:$A,"NYSERDA")</f>
        <v>0</v>
      </c>
      <c r="DZ62" s="55">
        <f>SUMIFS('Awards Summary'!$H:$H,'Awards Summary'!$B:$B,$C62,'Awards Summary'!$J:$J,"DHCR")</f>
        <v>0</v>
      </c>
      <c r="EA62" s="55">
        <f>SUMIFS('Disbursements Summary'!$E:$E,'Disbursements Summary'!$C:$C,$C62,'Disbursements Summary'!$A:$A,"DHCR")</f>
        <v>0</v>
      </c>
      <c r="EB62" s="55">
        <f>SUMIFS('Awards Summary'!$H:$H,'Awards Summary'!$B:$B,$C62,'Awards Summary'!$J:$J,"HFA")</f>
        <v>0</v>
      </c>
      <c r="EC62" s="55">
        <f>SUMIFS('Disbursements Summary'!$E:$E,'Disbursements Summary'!$C:$C,$C62,'Disbursements Summary'!$A:$A,"HFA")</f>
        <v>0</v>
      </c>
      <c r="ED62" s="55">
        <f>SUMIFS('Awards Summary'!$H:$H,'Awards Summary'!$B:$B,$C62,'Awards Summary'!$J:$J,"NYSIF")</f>
        <v>0</v>
      </c>
      <c r="EE62" s="55">
        <f>SUMIFS('Disbursements Summary'!$E:$E,'Disbursements Summary'!$C:$C,$C62,'Disbursements Summary'!$A:$A,"NYSIF")</f>
        <v>0</v>
      </c>
      <c r="EF62" s="55">
        <f>SUMIFS('Awards Summary'!$H:$H,'Awards Summary'!$B:$B,$C62,'Awards Summary'!$J:$J,"NYBREDS")</f>
        <v>0</v>
      </c>
      <c r="EG62" s="55">
        <f>SUMIFS('Disbursements Summary'!$E:$E,'Disbursements Summary'!$C:$C,$C62,'Disbursements Summary'!$A:$A,"NYBREDS")</f>
        <v>0</v>
      </c>
      <c r="EH62" s="55">
        <f>SUMIFS('Awards Summary'!$H:$H,'Awards Summary'!$B:$B,$C62,'Awards Summary'!$J:$J,"NYSTA")</f>
        <v>0</v>
      </c>
      <c r="EI62" s="55">
        <f>SUMIFS('Disbursements Summary'!$E:$E,'Disbursements Summary'!$C:$C,$C62,'Disbursements Summary'!$A:$A,"NYSTA")</f>
        <v>0</v>
      </c>
      <c r="EJ62" s="55">
        <f>SUMIFS('Awards Summary'!$H:$H,'Awards Summary'!$B:$B,$C62,'Awards Summary'!$J:$J,"NFWB")</f>
        <v>0</v>
      </c>
      <c r="EK62" s="55">
        <f>SUMIFS('Disbursements Summary'!$E:$E,'Disbursements Summary'!$C:$C,$C62,'Disbursements Summary'!$A:$A,"NFWB")</f>
        <v>0</v>
      </c>
      <c r="EL62" s="55">
        <f>SUMIFS('Awards Summary'!$H:$H,'Awards Summary'!$B:$B,$C62,'Awards Summary'!$J:$J,"NFTA")</f>
        <v>0</v>
      </c>
      <c r="EM62" s="55">
        <f>SUMIFS('Disbursements Summary'!$E:$E,'Disbursements Summary'!$C:$C,$C62,'Disbursements Summary'!$A:$A,"NFTA")</f>
        <v>0</v>
      </c>
      <c r="EN62" s="55">
        <f>SUMIFS('Awards Summary'!$H:$H,'Awards Summary'!$B:$B,$C62,'Awards Summary'!$J:$J,"OPWDD")</f>
        <v>0</v>
      </c>
      <c r="EO62" s="55">
        <f>SUMIFS('Disbursements Summary'!$E:$E,'Disbursements Summary'!$C:$C,$C62,'Disbursements Summary'!$A:$A,"OPWDD")</f>
        <v>0</v>
      </c>
      <c r="EP62" s="55">
        <f>SUMIFS('Awards Summary'!$H:$H,'Awards Summary'!$B:$B,$C62,'Awards Summary'!$J:$J,"AGING")</f>
        <v>0</v>
      </c>
      <c r="EQ62" s="55">
        <f>SUMIFS('Disbursements Summary'!$E:$E,'Disbursements Summary'!$C:$C,$C62,'Disbursements Summary'!$A:$A,"AGING")</f>
        <v>0</v>
      </c>
      <c r="ER62" s="55">
        <f>SUMIFS('Awards Summary'!$H:$H,'Awards Summary'!$B:$B,$C62,'Awards Summary'!$J:$J,"OPDV")</f>
        <v>0</v>
      </c>
      <c r="ES62" s="55">
        <f>SUMIFS('Disbursements Summary'!$E:$E,'Disbursements Summary'!$C:$C,$C62,'Disbursements Summary'!$A:$A,"OPDV")</f>
        <v>0</v>
      </c>
      <c r="ET62" s="55">
        <f>SUMIFS('Awards Summary'!$H:$H,'Awards Summary'!$B:$B,$C62,'Awards Summary'!$J:$J,"OVS")</f>
        <v>0</v>
      </c>
      <c r="EU62" s="55">
        <f>SUMIFS('Disbursements Summary'!$E:$E,'Disbursements Summary'!$C:$C,$C62,'Disbursements Summary'!$A:$A,"OVS")</f>
        <v>0</v>
      </c>
      <c r="EV62" s="55">
        <f>SUMIFS('Awards Summary'!$H:$H,'Awards Summary'!$B:$B,$C62,'Awards Summary'!$J:$J,"OASAS")</f>
        <v>0</v>
      </c>
      <c r="EW62" s="55">
        <f>SUMIFS('Disbursements Summary'!$E:$E,'Disbursements Summary'!$C:$C,$C62,'Disbursements Summary'!$A:$A,"OASAS")</f>
        <v>0</v>
      </c>
      <c r="EX62" s="55">
        <f>SUMIFS('Awards Summary'!$H:$H,'Awards Summary'!$B:$B,$C62,'Awards Summary'!$J:$J,"OCFS")</f>
        <v>0</v>
      </c>
      <c r="EY62" s="55">
        <f>SUMIFS('Disbursements Summary'!$E:$E,'Disbursements Summary'!$C:$C,$C62,'Disbursements Summary'!$A:$A,"OCFS")</f>
        <v>0</v>
      </c>
      <c r="EZ62" s="55">
        <f>SUMIFS('Awards Summary'!$H:$H,'Awards Summary'!$B:$B,$C62,'Awards Summary'!$J:$J,"OGS")</f>
        <v>0</v>
      </c>
      <c r="FA62" s="55">
        <f>SUMIFS('Disbursements Summary'!$E:$E,'Disbursements Summary'!$C:$C,$C62,'Disbursements Summary'!$A:$A,"OGS")</f>
        <v>0</v>
      </c>
      <c r="FB62" s="55">
        <f>SUMIFS('Awards Summary'!$H:$H,'Awards Summary'!$B:$B,$C62,'Awards Summary'!$J:$J,"OMH")</f>
        <v>0</v>
      </c>
      <c r="FC62" s="55">
        <f>SUMIFS('Disbursements Summary'!$E:$E,'Disbursements Summary'!$C:$C,$C62,'Disbursements Summary'!$A:$A,"OMH")</f>
        <v>0</v>
      </c>
      <c r="FD62" s="55">
        <f>SUMIFS('Awards Summary'!$H:$H,'Awards Summary'!$B:$B,$C62,'Awards Summary'!$J:$J,"PARKS")</f>
        <v>0</v>
      </c>
      <c r="FE62" s="55">
        <f>SUMIFS('Disbursements Summary'!$E:$E,'Disbursements Summary'!$C:$C,$C62,'Disbursements Summary'!$A:$A,"PARKS")</f>
        <v>0</v>
      </c>
      <c r="FF62" s="55">
        <f>SUMIFS('Awards Summary'!$H:$H,'Awards Summary'!$B:$B,$C62,'Awards Summary'!$J:$J,"OTDA")</f>
        <v>0</v>
      </c>
      <c r="FG62" s="55">
        <f>SUMIFS('Disbursements Summary'!$E:$E,'Disbursements Summary'!$C:$C,$C62,'Disbursements Summary'!$A:$A,"OTDA")</f>
        <v>0</v>
      </c>
      <c r="FH62" s="55">
        <f>SUMIFS('Awards Summary'!$H:$H,'Awards Summary'!$B:$B,$C62,'Awards Summary'!$J:$J,"OIG")</f>
        <v>0</v>
      </c>
      <c r="FI62" s="55">
        <f>SUMIFS('Disbursements Summary'!$E:$E,'Disbursements Summary'!$C:$C,$C62,'Disbursements Summary'!$A:$A,"OIG")</f>
        <v>0</v>
      </c>
      <c r="FJ62" s="55">
        <f>SUMIFS('Awards Summary'!$H:$H,'Awards Summary'!$B:$B,$C62,'Awards Summary'!$J:$J,"OMIG")</f>
        <v>0</v>
      </c>
      <c r="FK62" s="55">
        <f>SUMIFS('Disbursements Summary'!$E:$E,'Disbursements Summary'!$C:$C,$C62,'Disbursements Summary'!$A:$A,"OMIG")</f>
        <v>0</v>
      </c>
      <c r="FL62" s="55">
        <f>SUMIFS('Awards Summary'!$H:$H,'Awards Summary'!$B:$B,$C62,'Awards Summary'!$J:$J,"OSC")</f>
        <v>0</v>
      </c>
      <c r="FM62" s="55">
        <f>SUMIFS('Disbursements Summary'!$E:$E,'Disbursements Summary'!$C:$C,$C62,'Disbursements Summary'!$A:$A,"OSC")</f>
        <v>0</v>
      </c>
      <c r="FN62" s="55">
        <f>SUMIFS('Awards Summary'!$H:$H,'Awards Summary'!$B:$B,$C62,'Awards Summary'!$J:$J,"OWIG")</f>
        <v>0</v>
      </c>
      <c r="FO62" s="55">
        <f>SUMIFS('Disbursements Summary'!$E:$E,'Disbursements Summary'!$C:$C,$C62,'Disbursements Summary'!$A:$A,"OWIG")</f>
        <v>0</v>
      </c>
      <c r="FP62" s="55">
        <f>SUMIFS('Awards Summary'!$H:$H,'Awards Summary'!$B:$B,$C62,'Awards Summary'!$J:$J,"OGDEN")</f>
        <v>0</v>
      </c>
      <c r="FQ62" s="55">
        <f>SUMIFS('Disbursements Summary'!$E:$E,'Disbursements Summary'!$C:$C,$C62,'Disbursements Summary'!$A:$A,"OGDEN")</f>
        <v>0</v>
      </c>
      <c r="FR62" s="55">
        <f>SUMIFS('Awards Summary'!$H:$H,'Awards Summary'!$B:$B,$C62,'Awards Summary'!$J:$J,"ORDA")</f>
        <v>0</v>
      </c>
      <c r="FS62" s="55">
        <f>SUMIFS('Disbursements Summary'!$E:$E,'Disbursements Summary'!$C:$C,$C62,'Disbursements Summary'!$A:$A,"ORDA")</f>
        <v>0</v>
      </c>
      <c r="FT62" s="55">
        <f>SUMIFS('Awards Summary'!$H:$H,'Awards Summary'!$B:$B,$C62,'Awards Summary'!$J:$J,"OSWEGO")</f>
        <v>0</v>
      </c>
      <c r="FU62" s="55">
        <f>SUMIFS('Disbursements Summary'!$E:$E,'Disbursements Summary'!$C:$C,$C62,'Disbursements Summary'!$A:$A,"OSWEGO")</f>
        <v>0</v>
      </c>
      <c r="FV62" s="55">
        <f>SUMIFS('Awards Summary'!$H:$H,'Awards Summary'!$B:$B,$C62,'Awards Summary'!$J:$J,"PERB")</f>
        <v>0</v>
      </c>
      <c r="FW62" s="55">
        <f>SUMIFS('Disbursements Summary'!$E:$E,'Disbursements Summary'!$C:$C,$C62,'Disbursements Summary'!$A:$A,"PERB")</f>
        <v>0</v>
      </c>
      <c r="FX62" s="55">
        <f>SUMIFS('Awards Summary'!$H:$H,'Awards Summary'!$B:$B,$C62,'Awards Summary'!$J:$J,"RGRTA")</f>
        <v>0</v>
      </c>
      <c r="FY62" s="55">
        <f>SUMIFS('Disbursements Summary'!$E:$E,'Disbursements Summary'!$C:$C,$C62,'Disbursements Summary'!$A:$A,"RGRTA")</f>
        <v>0</v>
      </c>
      <c r="FZ62" s="55">
        <f>SUMIFS('Awards Summary'!$H:$H,'Awards Summary'!$B:$B,$C62,'Awards Summary'!$J:$J,"RIOC")</f>
        <v>0</v>
      </c>
      <c r="GA62" s="55">
        <f>SUMIFS('Disbursements Summary'!$E:$E,'Disbursements Summary'!$C:$C,$C62,'Disbursements Summary'!$A:$A,"RIOC")</f>
        <v>0</v>
      </c>
      <c r="GB62" s="55">
        <f>SUMIFS('Awards Summary'!$H:$H,'Awards Summary'!$B:$B,$C62,'Awards Summary'!$J:$J,"RPCI")</f>
        <v>0</v>
      </c>
      <c r="GC62" s="55">
        <f>SUMIFS('Disbursements Summary'!$E:$E,'Disbursements Summary'!$C:$C,$C62,'Disbursements Summary'!$A:$A,"RPCI")</f>
        <v>0</v>
      </c>
      <c r="GD62" s="55">
        <f>SUMIFS('Awards Summary'!$H:$H,'Awards Summary'!$B:$B,$C62,'Awards Summary'!$J:$J,"SMDA")</f>
        <v>0</v>
      </c>
      <c r="GE62" s="55">
        <f>SUMIFS('Disbursements Summary'!$E:$E,'Disbursements Summary'!$C:$C,$C62,'Disbursements Summary'!$A:$A,"SMDA")</f>
        <v>0</v>
      </c>
      <c r="GF62" s="55">
        <f>SUMIFS('Awards Summary'!$H:$H,'Awards Summary'!$B:$B,$C62,'Awards Summary'!$J:$J,"SCOC")</f>
        <v>0</v>
      </c>
      <c r="GG62" s="55">
        <f>SUMIFS('Disbursements Summary'!$E:$E,'Disbursements Summary'!$C:$C,$C62,'Disbursements Summary'!$A:$A,"SCOC")</f>
        <v>0</v>
      </c>
      <c r="GH62" s="55">
        <f>SUMIFS('Awards Summary'!$H:$H,'Awards Summary'!$B:$B,$C62,'Awards Summary'!$J:$J,"SUCF")</f>
        <v>0</v>
      </c>
      <c r="GI62" s="55">
        <f>SUMIFS('Disbursements Summary'!$E:$E,'Disbursements Summary'!$C:$C,$C62,'Disbursements Summary'!$A:$A,"SUCF")</f>
        <v>0</v>
      </c>
      <c r="GJ62" s="55">
        <f>SUMIFS('Awards Summary'!$H:$H,'Awards Summary'!$B:$B,$C62,'Awards Summary'!$J:$J,"SUNY")</f>
        <v>0</v>
      </c>
      <c r="GK62" s="55">
        <f>SUMIFS('Disbursements Summary'!$E:$E,'Disbursements Summary'!$C:$C,$C62,'Disbursements Summary'!$A:$A,"SUNY")</f>
        <v>0</v>
      </c>
      <c r="GL62" s="55">
        <f>SUMIFS('Awards Summary'!$H:$H,'Awards Summary'!$B:$B,$C62,'Awards Summary'!$J:$J,"SRAA")</f>
        <v>0</v>
      </c>
      <c r="GM62" s="55">
        <f>SUMIFS('Disbursements Summary'!$E:$E,'Disbursements Summary'!$C:$C,$C62,'Disbursements Summary'!$A:$A,"SRAA")</f>
        <v>0</v>
      </c>
      <c r="GN62" s="55">
        <f>SUMIFS('Awards Summary'!$H:$H,'Awards Summary'!$B:$B,$C62,'Awards Summary'!$J:$J,"UNDC")</f>
        <v>0</v>
      </c>
      <c r="GO62" s="55">
        <f>SUMIFS('Disbursements Summary'!$E:$E,'Disbursements Summary'!$C:$C,$C62,'Disbursements Summary'!$A:$A,"UNDC")</f>
        <v>0</v>
      </c>
      <c r="GP62" s="55">
        <f>SUMIFS('Awards Summary'!$H:$H,'Awards Summary'!$B:$B,$C62,'Awards Summary'!$J:$J,"MVWA")</f>
        <v>0</v>
      </c>
      <c r="GQ62" s="55">
        <f>SUMIFS('Disbursements Summary'!$E:$E,'Disbursements Summary'!$C:$C,$C62,'Disbursements Summary'!$A:$A,"MVWA")</f>
        <v>0</v>
      </c>
      <c r="GR62" s="55">
        <f>SUMIFS('Awards Summary'!$H:$H,'Awards Summary'!$B:$B,$C62,'Awards Summary'!$J:$J,"WMC")</f>
        <v>0</v>
      </c>
      <c r="GS62" s="55">
        <f>SUMIFS('Disbursements Summary'!$E:$E,'Disbursements Summary'!$C:$C,$C62,'Disbursements Summary'!$A:$A,"WMC")</f>
        <v>0</v>
      </c>
      <c r="GT62" s="55">
        <f>SUMIFS('Awards Summary'!$H:$H,'Awards Summary'!$B:$B,$C62,'Awards Summary'!$J:$J,"WCB")</f>
        <v>0</v>
      </c>
      <c r="GU62" s="55">
        <f>SUMIFS('Disbursements Summary'!$E:$E,'Disbursements Summary'!$C:$C,$C62,'Disbursements Summary'!$A:$A,"WCB")</f>
        <v>0</v>
      </c>
      <c r="GV62" s="32">
        <f t="shared" si="5"/>
        <v>0</v>
      </c>
      <c r="GW62" s="32">
        <f t="shared" si="6"/>
        <v>0</v>
      </c>
      <c r="GX62" s="30" t="b">
        <f t="shared" si="7"/>
        <v>1</v>
      </c>
      <c r="GY62" s="30" t="b">
        <f t="shared" si="8"/>
        <v>1</v>
      </c>
    </row>
    <row r="63" spans="1:207" s="30" customFormat="1">
      <c r="A63" s="22" t="str">
        <f t="shared" si="0"/>
        <v/>
      </c>
      <c r="B63" s="40" t="s">
        <v>221</v>
      </c>
      <c r="C63" s="16">
        <v>151119</v>
      </c>
      <c r="D63" s="26">
        <f>COUNTIF('Awards Summary'!B:B,"151119")</f>
        <v>0</v>
      </c>
      <c r="E63" s="45">
        <f>SUMIFS('Awards Summary'!H:H,'Awards Summary'!B:B,"151119")</f>
        <v>0</v>
      </c>
      <c r="F63" s="46">
        <f>SUMIFS('Disbursements Summary'!E:E,'Disbursements Summary'!C:C, "151119")</f>
        <v>0</v>
      </c>
      <c r="H63" s="55">
        <f>SUMIFS('Awards Summary'!$H:$H,'Awards Summary'!$B:$B,$C63,'Awards Summary'!$J:$J,"APA")</f>
        <v>0</v>
      </c>
      <c r="I63" s="55">
        <f>SUMIFS('Disbursements Summary'!$E:$E,'Disbursements Summary'!$C:$C,$C63,'Disbursements Summary'!$A:$A,"APA")</f>
        <v>0</v>
      </c>
      <c r="J63" s="55">
        <f>SUMIFS('Awards Summary'!$H:$H,'Awards Summary'!$B:$B,$C63,'Awards Summary'!$J:$J,"Ag&amp;Horse")</f>
        <v>0</v>
      </c>
      <c r="K63" s="55">
        <f>SUMIFS('Disbursements Summary'!$E:$E,'Disbursements Summary'!$C:$C,$C63,'Disbursements Summary'!$A:$A,"Ag&amp;Horse")</f>
        <v>0</v>
      </c>
      <c r="L63" s="55">
        <f>SUMIFS('Awards Summary'!$H:$H,'Awards Summary'!$B:$B,$C63,'Awards Summary'!$J:$J,"ACAA")</f>
        <v>0</v>
      </c>
      <c r="M63" s="55">
        <f>SUMIFS('Disbursements Summary'!$E:$E,'Disbursements Summary'!$C:$C,$C63,'Disbursements Summary'!$A:$A,"ACAA")</f>
        <v>0</v>
      </c>
      <c r="N63" s="55">
        <f>SUMIFS('Awards Summary'!$H:$H,'Awards Summary'!$B:$B,$C63,'Awards Summary'!$J:$J,"PortAlbany")</f>
        <v>0</v>
      </c>
      <c r="O63" s="55">
        <f>SUMIFS('Disbursements Summary'!$E:$E,'Disbursements Summary'!$C:$C,$C63,'Disbursements Summary'!$A:$A,"PortAlbany")</f>
        <v>0</v>
      </c>
      <c r="P63" s="55">
        <f>SUMIFS('Awards Summary'!$H:$H,'Awards Summary'!$B:$B,$C63,'Awards Summary'!$J:$J,"SLA")</f>
        <v>0</v>
      </c>
      <c r="Q63" s="55">
        <f>SUMIFS('Disbursements Summary'!$E:$E,'Disbursements Summary'!$C:$C,$C63,'Disbursements Summary'!$A:$A,"SLA")</f>
        <v>0</v>
      </c>
      <c r="R63" s="55">
        <f>SUMIFS('Awards Summary'!$H:$H,'Awards Summary'!$B:$B,$C63,'Awards Summary'!$J:$J,"BPCA")</f>
        <v>0</v>
      </c>
      <c r="S63" s="55">
        <f>SUMIFS('Disbursements Summary'!$E:$E,'Disbursements Summary'!$C:$C,$C63,'Disbursements Summary'!$A:$A,"BPCA")</f>
        <v>0</v>
      </c>
      <c r="T63" s="55">
        <f>SUMIFS('Awards Summary'!$H:$H,'Awards Summary'!$B:$B,$C63,'Awards Summary'!$J:$J,"ELECTIONS")</f>
        <v>0</v>
      </c>
      <c r="U63" s="55">
        <f>SUMIFS('Disbursements Summary'!$E:$E,'Disbursements Summary'!$C:$C,$C63,'Disbursements Summary'!$A:$A,"ELECTIONS")</f>
        <v>0</v>
      </c>
      <c r="V63" s="55">
        <f>SUMIFS('Awards Summary'!$H:$H,'Awards Summary'!$B:$B,$C63,'Awards Summary'!$J:$J,"BFSA")</f>
        <v>0</v>
      </c>
      <c r="W63" s="55">
        <f>SUMIFS('Disbursements Summary'!$E:$E,'Disbursements Summary'!$C:$C,$C63,'Disbursements Summary'!$A:$A,"BFSA")</f>
        <v>0</v>
      </c>
      <c r="X63" s="55">
        <f>SUMIFS('Awards Summary'!$H:$H,'Awards Summary'!$B:$B,$C63,'Awards Summary'!$J:$J,"CDTA")</f>
        <v>0</v>
      </c>
      <c r="Y63" s="55">
        <f>SUMIFS('Disbursements Summary'!$E:$E,'Disbursements Summary'!$C:$C,$C63,'Disbursements Summary'!$A:$A,"CDTA")</f>
        <v>0</v>
      </c>
      <c r="Z63" s="55">
        <f>SUMIFS('Awards Summary'!$H:$H,'Awards Summary'!$B:$B,$C63,'Awards Summary'!$J:$J,"CCWSA")</f>
        <v>0</v>
      </c>
      <c r="AA63" s="55">
        <f>SUMIFS('Disbursements Summary'!$E:$E,'Disbursements Summary'!$C:$C,$C63,'Disbursements Summary'!$A:$A,"CCWSA")</f>
        <v>0</v>
      </c>
      <c r="AB63" s="55">
        <f>SUMIFS('Awards Summary'!$H:$H,'Awards Summary'!$B:$B,$C63,'Awards Summary'!$J:$J,"CNYRTA")</f>
        <v>0</v>
      </c>
      <c r="AC63" s="55">
        <f>SUMIFS('Disbursements Summary'!$E:$E,'Disbursements Summary'!$C:$C,$C63,'Disbursements Summary'!$A:$A,"CNYRTA")</f>
        <v>0</v>
      </c>
      <c r="AD63" s="55">
        <f>SUMIFS('Awards Summary'!$H:$H,'Awards Summary'!$B:$B,$C63,'Awards Summary'!$J:$J,"CUCF")</f>
        <v>0</v>
      </c>
      <c r="AE63" s="55">
        <f>SUMIFS('Disbursements Summary'!$E:$E,'Disbursements Summary'!$C:$C,$C63,'Disbursements Summary'!$A:$A,"CUCF")</f>
        <v>0</v>
      </c>
      <c r="AF63" s="55">
        <f>SUMIFS('Awards Summary'!$H:$H,'Awards Summary'!$B:$B,$C63,'Awards Summary'!$J:$J,"CUNY")</f>
        <v>0</v>
      </c>
      <c r="AG63" s="55">
        <f>SUMIFS('Disbursements Summary'!$E:$E,'Disbursements Summary'!$C:$C,$C63,'Disbursements Summary'!$A:$A,"CUNY")</f>
        <v>0</v>
      </c>
      <c r="AH63" s="55">
        <f>SUMIFS('Awards Summary'!$H:$H,'Awards Summary'!$B:$B,$C63,'Awards Summary'!$J:$J,"ARTS")</f>
        <v>0</v>
      </c>
      <c r="AI63" s="55">
        <f>SUMIFS('Disbursements Summary'!$E:$E,'Disbursements Summary'!$C:$C,$C63,'Disbursements Summary'!$A:$A,"ARTS")</f>
        <v>0</v>
      </c>
      <c r="AJ63" s="55">
        <f>SUMIFS('Awards Summary'!$H:$H,'Awards Summary'!$B:$B,$C63,'Awards Summary'!$J:$J,"AG&amp;MKTS")</f>
        <v>0</v>
      </c>
      <c r="AK63" s="55">
        <f>SUMIFS('Disbursements Summary'!$E:$E,'Disbursements Summary'!$C:$C,$C63,'Disbursements Summary'!$A:$A,"AG&amp;MKTS")</f>
        <v>0</v>
      </c>
      <c r="AL63" s="55">
        <f>SUMIFS('Awards Summary'!$H:$H,'Awards Summary'!$B:$B,$C63,'Awards Summary'!$J:$J,"CS")</f>
        <v>0</v>
      </c>
      <c r="AM63" s="55">
        <f>SUMIFS('Disbursements Summary'!$E:$E,'Disbursements Summary'!$C:$C,$C63,'Disbursements Summary'!$A:$A,"CS")</f>
        <v>0</v>
      </c>
      <c r="AN63" s="55">
        <f>SUMIFS('Awards Summary'!$H:$H,'Awards Summary'!$B:$B,$C63,'Awards Summary'!$J:$J,"DOCCS")</f>
        <v>0</v>
      </c>
      <c r="AO63" s="55">
        <f>SUMIFS('Disbursements Summary'!$E:$E,'Disbursements Summary'!$C:$C,$C63,'Disbursements Summary'!$A:$A,"DOCCS")</f>
        <v>0</v>
      </c>
      <c r="AP63" s="55">
        <f>SUMIFS('Awards Summary'!$H:$H,'Awards Summary'!$B:$B,$C63,'Awards Summary'!$J:$J,"DED")</f>
        <v>0</v>
      </c>
      <c r="AQ63" s="55">
        <f>SUMIFS('Disbursements Summary'!$E:$E,'Disbursements Summary'!$C:$C,$C63,'Disbursements Summary'!$A:$A,"DED")</f>
        <v>0</v>
      </c>
      <c r="AR63" s="55">
        <f>SUMIFS('Awards Summary'!$H:$H,'Awards Summary'!$B:$B,$C63,'Awards Summary'!$J:$J,"DEC")</f>
        <v>0</v>
      </c>
      <c r="AS63" s="55">
        <f>SUMIFS('Disbursements Summary'!$E:$E,'Disbursements Summary'!$C:$C,$C63,'Disbursements Summary'!$A:$A,"DEC")</f>
        <v>0</v>
      </c>
      <c r="AT63" s="55">
        <f>SUMIFS('Awards Summary'!$H:$H,'Awards Summary'!$B:$B,$C63,'Awards Summary'!$J:$J,"DFS")</f>
        <v>0</v>
      </c>
      <c r="AU63" s="55">
        <f>SUMIFS('Disbursements Summary'!$E:$E,'Disbursements Summary'!$C:$C,$C63,'Disbursements Summary'!$A:$A,"DFS")</f>
        <v>0</v>
      </c>
      <c r="AV63" s="55">
        <f>SUMIFS('Awards Summary'!$H:$H,'Awards Summary'!$B:$B,$C63,'Awards Summary'!$J:$J,"DOH")</f>
        <v>0</v>
      </c>
      <c r="AW63" s="55">
        <f>SUMIFS('Disbursements Summary'!$E:$E,'Disbursements Summary'!$C:$C,$C63,'Disbursements Summary'!$A:$A,"DOH")</f>
        <v>0</v>
      </c>
      <c r="AX63" s="55">
        <f>SUMIFS('Awards Summary'!$H:$H,'Awards Summary'!$B:$B,$C63,'Awards Summary'!$J:$J,"DOL")</f>
        <v>0</v>
      </c>
      <c r="AY63" s="55">
        <f>SUMIFS('Disbursements Summary'!$E:$E,'Disbursements Summary'!$C:$C,$C63,'Disbursements Summary'!$A:$A,"DOL")</f>
        <v>0</v>
      </c>
      <c r="AZ63" s="55">
        <f>SUMIFS('Awards Summary'!$H:$H,'Awards Summary'!$B:$B,$C63,'Awards Summary'!$J:$J,"DMV")</f>
        <v>0</v>
      </c>
      <c r="BA63" s="55">
        <f>SUMIFS('Disbursements Summary'!$E:$E,'Disbursements Summary'!$C:$C,$C63,'Disbursements Summary'!$A:$A,"DMV")</f>
        <v>0</v>
      </c>
      <c r="BB63" s="55">
        <f>SUMIFS('Awards Summary'!$H:$H,'Awards Summary'!$B:$B,$C63,'Awards Summary'!$J:$J,"DPS")</f>
        <v>0</v>
      </c>
      <c r="BC63" s="55">
        <f>SUMIFS('Disbursements Summary'!$E:$E,'Disbursements Summary'!$C:$C,$C63,'Disbursements Summary'!$A:$A,"DPS")</f>
        <v>0</v>
      </c>
      <c r="BD63" s="55">
        <f>SUMIFS('Awards Summary'!$H:$H,'Awards Summary'!$B:$B,$C63,'Awards Summary'!$J:$J,"DOS")</f>
        <v>0</v>
      </c>
      <c r="BE63" s="55">
        <f>SUMIFS('Disbursements Summary'!$E:$E,'Disbursements Summary'!$C:$C,$C63,'Disbursements Summary'!$A:$A,"DOS")</f>
        <v>0</v>
      </c>
      <c r="BF63" s="55">
        <f>SUMIFS('Awards Summary'!$H:$H,'Awards Summary'!$B:$B,$C63,'Awards Summary'!$J:$J,"TAX")</f>
        <v>0</v>
      </c>
      <c r="BG63" s="55">
        <f>SUMIFS('Disbursements Summary'!$E:$E,'Disbursements Summary'!$C:$C,$C63,'Disbursements Summary'!$A:$A,"TAX")</f>
        <v>0</v>
      </c>
      <c r="BH63" s="55">
        <f>SUMIFS('Awards Summary'!$H:$H,'Awards Summary'!$B:$B,$C63,'Awards Summary'!$J:$J,"DOT")</f>
        <v>0</v>
      </c>
      <c r="BI63" s="55">
        <f>SUMIFS('Disbursements Summary'!$E:$E,'Disbursements Summary'!$C:$C,$C63,'Disbursements Summary'!$A:$A,"DOT")</f>
        <v>0</v>
      </c>
      <c r="BJ63" s="55">
        <f>SUMIFS('Awards Summary'!$H:$H,'Awards Summary'!$B:$B,$C63,'Awards Summary'!$J:$J,"DANC")</f>
        <v>0</v>
      </c>
      <c r="BK63" s="55">
        <f>SUMIFS('Disbursements Summary'!$E:$E,'Disbursements Summary'!$C:$C,$C63,'Disbursements Summary'!$A:$A,"DANC")</f>
        <v>0</v>
      </c>
      <c r="BL63" s="55">
        <f>SUMIFS('Awards Summary'!$H:$H,'Awards Summary'!$B:$B,$C63,'Awards Summary'!$J:$J,"DOB")</f>
        <v>0</v>
      </c>
      <c r="BM63" s="55">
        <f>SUMIFS('Disbursements Summary'!$E:$E,'Disbursements Summary'!$C:$C,$C63,'Disbursements Summary'!$A:$A,"DOB")</f>
        <v>0</v>
      </c>
      <c r="BN63" s="55">
        <f>SUMIFS('Awards Summary'!$H:$H,'Awards Summary'!$B:$B,$C63,'Awards Summary'!$J:$J,"DCJS")</f>
        <v>0</v>
      </c>
      <c r="BO63" s="55">
        <f>SUMIFS('Disbursements Summary'!$E:$E,'Disbursements Summary'!$C:$C,$C63,'Disbursements Summary'!$A:$A,"DCJS")</f>
        <v>0</v>
      </c>
      <c r="BP63" s="55">
        <f>SUMIFS('Awards Summary'!$H:$H,'Awards Summary'!$B:$B,$C63,'Awards Summary'!$J:$J,"DHSES")</f>
        <v>0</v>
      </c>
      <c r="BQ63" s="55">
        <f>SUMIFS('Disbursements Summary'!$E:$E,'Disbursements Summary'!$C:$C,$C63,'Disbursements Summary'!$A:$A,"DHSES")</f>
        <v>0</v>
      </c>
      <c r="BR63" s="55">
        <f>SUMIFS('Awards Summary'!$H:$H,'Awards Summary'!$B:$B,$C63,'Awards Summary'!$J:$J,"DHR")</f>
        <v>0</v>
      </c>
      <c r="BS63" s="55">
        <f>SUMIFS('Disbursements Summary'!$E:$E,'Disbursements Summary'!$C:$C,$C63,'Disbursements Summary'!$A:$A,"DHR")</f>
        <v>0</v>
      </c>
      <c r="BT63" s="55">
        <f>SUMIFS('Awards Summary'!$H:$H,'Awards Summary'!$B:$B,$C63,'Awards Summary'!$J:$J,"DMNA")</f>
        <v>0</v>
      </c>
      <c r="BU63" s="55">
        <f>SUMIFS('Disbursements Summary'!$E:$E,'Disbursements Summary'!$C:$C,$C63,'Disbursements Summary'!$A:$A,"DMNA")</f>
        <v>0</v>
      </c>
      <c r="BV63" s="55">
        <f>SUMIFS('Awards Summary'!$H:$H,'Awards Summary'!$B:$B,$C63,'Awards Summary'!$J:$J,"TROOPERS")</f>
        <v>0</v>
      </c>
      <c r="BW63" s="55">
        <f>SUMIFS('Disbursements Summary'!$E:$E,'Disbursements Summary'!$C:$C,$C63,'Disbursements Summary'!$A:$A,"TROOPERS")</f>
        <v>0</v>
      </c>
      <c r="BX63" s="55">
        <f>SUMIFS('Awards Summary'!$H:$H,'Awards Summary'!$B:$B,$C63,'Awards Summary'!$J:$J,"DVA")</f>
        <v>0</v>
      </c>
      <c r="BY63" s="55">
        <f>SUMIFS('Disbursements Summary'!$E:$E,'Disbursements Summary'!$C:$C,$C63,'Disbursements Summary'!$A:$A,"DVA")</f>
        <v>0</v>
      </c>
      <c r="BZ63" s="55">
        <f>SUMIFS('Awards Summary'!$H:$H,'Awards Summary'!$B:$B,$C63,'Awards Summary'!$J:$J,"DASNY")</f>
        <v>0</v>
      </c>
      <c r="CA63" s="55">
        <f>SUMIFS('Disbursements Summary'!$E:$E,'Disbursements Summary'!$C:$C,$C63,'Disbursements Summary'!$A:$A,"DASNY")</f>
        <v>0</v>
      </c>
      <c r="CB63" s="55">
        <f>SUMIFS('Awards Summary'!$H:$H,'Awards Summary'!$B:$B,$C63,'Awards Summary'!$J:$J,"EGG")</f>
        <v>0</v>
      </c>
      <c r="CC63" s="55">
        <f>SUMIFS('Disbursements Summary'!$E:$E,'Disbursements Summary'!$C:$C,$C63,'Disbursements Summary'!$A:$A,"EGG")</f>
        <v>0</v>
      </c>
      <c r="CD63" s="55">
        <f>SUMIFS('Awards Summary'!$H:$H,'Awards Summary'!$B:$B,$C63,'Awards Summary'!$J:$J,"ESD")</f>
        <v>0</v>
      </c>
      <c r="CE63" s="55">
        <f>SUMIFS('Disbursements Summary'!$E:$E,'Disbursements Summary'!$C:$C,$C63,'Disbursements Summary'!$A:$A,"ESD")</f>
        <v>0</v>
      </c>
      <c r="CF63" s="55">
        <f>SUMIFS('Awards Summary'!$H:$H,'Awards Summary'!$B:$B,$C63,'Awards Summary'!$J:$J,"EFC")</f>
        <v>0</v>
      </c>
      <c r="CG63" s="55">
        <f>SUMIFS('Disbursements Summary'!$E:$E,'Disbursements Summary'!$C:$C,$C63,'Disbursements Summary'!$A:$A,"EFC")</f>
        <v>0</v>
      </c>
      <c r="CH63" s="55">
        <f>SUMIFS('Awards Summary'!$H:$H,'Awards Summary'!$B:$B,$C63,'Awards Summary'!$J:$J,"ECFSA")</f>
        <v>0</v>
      </c>
      <c r="CI63" s="55">
        <f>SUMIFS('Disbursements Summary'!$E:$E,'Disbursements Summary'!$C:$C,$C63,'Disbursements Summary'!$A:$A,"ECFSA")</f>
        <v>0</v>
      </c>
      <c r="CJ63" s="55">
        <f>SUMIFS('Awards Summary'!$H:$H,'Awards Summary'!$B:$B,$C63,'Awards Summary'!$J:$J,"ECMC")</f>
        <v>0</v>
      </c>
      <c r="CK63" s="55">
        <f>SUMIFS('Disbursements Summary'!$E:$E,'Disbursements Summary'!$C:$C,$C63,'Disbursements Summary'!$A:$A,"ECMC")</f>
        <v>0</v>
      </c>
      <c r="CL63" s="55">
        <f>SUMIFS('Awards Summary'!$H:$H,'Awards Summary'!$B:$B,$C63,'Awards Summary'!$J:$J,"CHAMBER")</f>
        <v>0</v>
      </c>
      <c r="CM63" s="55">
        <f>SUMIFS('Disbursements Summary'!$E:$E,'Disbursements Summary'!$C:$C,$C63,'Disbursements Summary'!$A:$A,"CHAMBER")</f>
        <v>0</v>
      </c>
      <c r="CN63" s="55">
        <f>SUMIFS('Awards Summary'!$H:$H,'Awards Summary'!$B:$B,$C63,'Awards Summary'!$J:$J,"GAMING")</f>
        <v>0</v>
      </c>
      <c r="CO63" s="55">
        <f>SUMIFS('Disbursements Summary'!$E:$E,'Disbursements Summary'!$C:$C,$C63,'Disbursements Summary'!$A:$A,"GAMING")</f>
        <v>0</v>
      </c>
      <c r="CP63" s="55">
        <f>SUMIFS('Awards Summary'!$H:$H,'Awards Summary'!$B:$B,$C63,'Awards Summary'!$J:$J,"GOER")</f>
        <v>0</v>
      </c>
      <c r="CQ63" s="55">
        <f>SUMIFS('Disbursements Summary'!$E:$E,'Disbursements Summary'!$C:$C,$C63,'Disbursements Summary'!$A:$A,"GOER")</f>
        <v>0</v>
      </c>
      <c r="CR63" s="55">
        <f>SUMIFS('Awards Summary'!$H:$H,'Awards Summary'!$B:$B,$C63,'Awards Summary'!$J:$J,"HESC")</f>
        <v>0</v>
      </c>
      <c r="CS63" s="55">
        <f>SUMIFS('Disbursements Summary'!$E:$E,'Disbursements Summary'!$C:$C,$C63,'Disbursements Summary'!$A:$A,"HESC")</f>
        <v>0</v>
      </c>
      <c r="CT63" s="55">
        <f>SUMIFS('Awards Summary'!$H:$H,'Awards Summary'!$B:$B,$C63,'Awards Summary'!$J:$J,"GOSR")</f>
        <v>0</v>
      </c>
      <c r="CU63" s="55">
        <f>SUMIFS('Disbursements Summary'!$E:$E,'Disbursements Summary'!$C:$C,$C63,'Disbursements Summary'!$A:$A,"GOSR")</f>
        <v>0</v>
      </c>
      <c r="CV63" s="55">
        <f>SUMIFS('Awards Summary'!$H:$H,'Awards Summary'!$B:$B,$C63,'Awards Summary'!$J:$J,"HRPT")</f>
        <v>0</v>
      </c>
      <c r="CW63" s="55">
        <f>SUMIFS('Disbursements Summary'!$E:$E,'Disbursements Summary'!$C:$C,$C63,'Disbursements Summary'!$A:$A,"HRPT")</f>
        <v>0</v>
      </c>
      <c r="CX63" s="55">
        <f>SUMIFS('Awards Summary'!$H:$H,'Awards Summary'!$B:$B,$C63,'Awards Summary'!$J:$J,"HRBRRD")</f>
        <v>0</v>
      </c>
      <c r="CY63" s="55">
        <f>SUMIFS('Disbursements Summary'!$E:$E,'Disbursements Summary'!$C:$C,$C63,'Disbursements Summary'!$A:$A,"HRBRRD")</f>
        <v>0</v>
      </c>
      <c r="CZ63" s="55">
        <f>SUMIFS('Awards Summary'!$H:$H,'Awards Summary'!$B:$B,$C63,'Awards Summary'!$J:$J,"ITS")</f>
        <v>0</v>
      </c>
      <c r="DA63" s="55">
        <f>SUMIFS('Disbursements Summary'!$E:$E,'Disbursements Summary'!$C:$C,$C63,'Disbursements Summary'!$A:$A,"ITS")</f>
        <v>0</v>
      </c>
      <c r="DB63" s="55">
        <f>SUMIFS('Awards Summary'!$H:$H,'Awards Summary'!$B:$B,$C63,'Awards Summary'!$J:$J,"JAVITS")</f>
        <v>0</v>
      </c>
      <c r="DC63" s="55">
        <f>SUMIFS('Disbursements Summary'!$E:$E,'Disbursements Summary'!$C:$C,$C63,'Disbursements Summary'!$A:$A,"JAVITS")</f>
        <v>0</v>
      </c>
      <c r="DD63" s="55">
        <f>SUMIFS('Awards Summary'!$H:$H,'Awards Summary'!$B:$B,$C63,'Awards Summary'!$J:$J,"JCOPE")</f>
        <v>0</v>
      </c>
      <c r="DE63" s="55">
        <f>SUMIFS('Disbursements Summary'!$E:$E,'Disbursements Summary'!$C:$C,$C63,'Disbursements Summary'!$A:$A,"JCOPE")</f>
        <v>0</v>
      </c>
      <c r="DF63" s="55">
        <f>SUMIFS('Awards Summary'!$H:$H,'Awards Summary'!$B:$B,$C63,'Awards Summary'!$J:$J,"JUSTICE")</f>
        <v>0</v>
      </c>
      <c r="DG63" s="55">
        <f>SUMIFS('Disbursements Summary'!$E:$E,'Disbursements Summary'!$C:$C,$C63,'Disbursements Summary'!$A:$A,"JUSTICE")</f>
        <v>0</v>
      </c>
      <c r="DH63" s="55">
        <f>SUMIFS('Awards Summary'!$H:$H,'Awards Summary'!$B:$B,$C63,'Awards Summary'!$J:$J,"LCWSA")</f>
        <v>0</v>
      </c>
      <c r="DI63" s="55">
        <f>SUMIFS('Disbursements Summary'!$E:$E,'Disbursements Summary'!$C:$C,$C63,'Disbursements Summary'!$A:$A,"LCWSA")</f>
        <v>0</v>
      </c>
      <c r="DJ63" s="55">
        <f>SUMIFS('Awards Summary'!$H:$H,'Awards Summary'!$B:$B,$C63,'Awards Summary'!$J:$J,"LIPA")</f>
        <v>0</v>
      </c>
      <c r="DK63" s="55">
        <f>SUMIFS('Disbursements Summary'!$E:$E,'Disbursements Summary'!$C:$C,$C63,'Disbursements Summary'!$A:$A,"LIPA")</f>
        <v>0</v>
      </c>
      <c r="DL63" s="55">
        <f>SUMIFS('Awards Summary'!$H:$H,'Awards Summary'!$B:$B,$C63,'Awards Summary'!$J:$J,"MTA")</f>
        <v>0</v>
      </c>
      <c r="DM63" s="55">
        <f>SUMIFS('Disbursements Summary'!$E:$E,'Disbursements Summary'!$C:$C,$C63,'Disbursements Summary'!$A:$A,"MTA")</f>
        <v>0</v>
      </c>
      <c r="DN63" s="55">
        <f>SUMIFS('Awards Summary'!$H:$H,'Awards Summary'!$B:$B,$C63,'Awards Summary'!$J:$J,"NIFA")</f>
        <v>0</v>
      </c>
      <c r="DO63" s="55">
        <f>SUMIFS('Disbursements Summary'!$E:$E,'Disbursements Summary'!$C:$C,$C63,'Disbursements Summary'!$A:$A,"NIFA")</f>
        <v>0</v>
      </c>
      <c r="DP63" s="55">
        <f>SUMIFS('Awards Summary'!$H:$H,'Awards Summary'!$B:$B,$C63,'Awards Summary'!$J:$J,"NHCC")</f>
        <v>0</v>
      </c>
      <c r="DQ63" s="55">
        <f>SUMIFS('Disbursements Summary'!$E:$E,'Disbursements Summary'!$C:$C,$C63,'Disbursements Summary'!$A:$A,"NHCC")</f>
        <v>0</v>
      </c>
      <c r="DR63" s="55">
        <f>SUMIFS('Awards Summary'!$H:$H,'Awards Summary'!$B:$B,$C63,'Awards Summary'!$J:$J,"NHT")</f>
        <v>0</v>
      </c>
      <c r="DS63" s="55">
        <f>SUMIFS('Disbursements Summary'!$E:$E,'Disbursements Summary'!$C:$C,$C63,'Disbursements Summary'!$A:$A,"NHT")</f>
        <v>0</v>
      </c>
      <c r="DT63" s="55">
        <f>SUMIFS('Awards Summary'!$H:$H,'Awards Summary'!$B:$B,$C63,'Awards Summary'!$J:$J,"NYPA")</f>
        <v>0</v>
      </c>
      <c r="DU63" s="55">
        <f>SUMIFS('Disbursements Summary'!$E:$E,'Disbursements Summary'!$C:$C,$C63,'Disbursements Summary'!$A:$A,"NYPA")</f>
        <v>0</v>
      </c>
      <c r="DV63" s="55">
        <f>SUMIFS('Awards Summary'!$H:$H,'Awards Summary'!$B:$B,$C63,'Awards Summary'!$J:$J,"NYSBA")</f>
        <v>0</v>
      </c>
      <c r="DW63" s="55">
        <f>SUMIFS('Disbursements Summary'!$E:$E,'Disbursements Summary'!$C:$C,$C63,'Disbursements Summary'!$A:$A,"NYSBA")</f>
        <v>0</v>
      </c>
      <c r="DX63" s="55">
        <f>SUMIFS('Awards Summary'!$H:$H,'Awards Summary'!$B:$B,$C63,'Awards Summary'!$J:$J,"NYSERDA")</f>
        <v>0</v>
      </c>
      <c r="DY63" s="55">
        <f>SUMIFS('Disbursements Summary'!$E:$E,'Disbursements Summary'!$C:$C,$C63,'Disbursements Summary'!$A:$A,"NYSERDA")</f>
        <v>0</v>
      </c>
      <c r="DZ63" s="55">
        <f>SUMIFS('Awards Summary'!$H:$H,'Awards Summary'!$B:$B,$C63,'Awards Summary'!$J:$J,"DHCR")</f>
        <v>0</v>
      </c>
      <c r="EA63" s="55">
        <f>SUMIFS('Disbursements Summary'!$E:$E,'Disbursements Summary'!$C:$C,$C63,'Disbursements Summary'!$A:$A,"DHCR")</f>
        <v>0</v>
      </c>
      <c r="EB63" s="55">
        <f>SUMIFS('Awards Summary'!$H:$H,'Awards Summary'!$B:$B,$C63,'Awards Summary'!$J:$J,"HFA")</f>
        <v>0</v>
      </c>
      <c r="EC63" s="55">
        <f>SUMIFS('Disbursements Summary'!$E:$E,'Disbursements Summary'!$C:$C,$C63,'Disbursements Summary'!$A:$A,"HFA")</f>
        <v>0</v>
      </c>
      <c r="ED63" s="55">
        <f>SUMIFS('Awards Summary'!$H:$H,'Awards Summary'!$B:$B,$C63,'Awards Summary'!$J:$J,"NYSIF")</f>
        <v>0</v>
      </c>
      <c r="EE63" s="55">
        <f>SUMIFS('Disbursements Summary'!$E:$E,'Disbursements Summary'!$C:$C,$C63,'Disbursements Summary'!$A:$A,"NYSIF")</f>
        <v>0</v>
      </c>
      <c r="EF63" s="55">
        <f>SUMIFS('Awards Summary'!$H:$H,'Awards Summary'!$B:$B,$C63,'Awards Summary'!$J:$J,"NYBREDS")</f>
        <v>0</v>
      </c>
      <c r="EG63" s="55">
        <f>SUMIFS('Disbursements Summary'!$E:$E,'Disbursements Summary'!$C:$C,$C63,'Disbursements Summary'!$A:$A,"NYBREDS")</f>
        <v>0</v>
      </c>
      <c r="EH63" s="55">
        <f>SUMIFS('Awards Summary'!$H:$H,'Awards Summary'!$B:$B,$C63,'Awards Summary'!$J:$J,"NYSTA")</f>
        <v>0</v>
      </c>
      <c r="EI63" s="55">
        <f>SUMIFS('Disbursements Summary'!$E:$E,'Disbursements Summary'!$C:$C,$C63,'Disbursements Summary'!$A:$A,"NYSTA")</f>
        <v>0</v>
      </c>
      <c r="EJ63" s="55">
        <f>SUMIFS('Awards Summary'!$H:$H,'Awards Summary'!$B:$B,$C63,'Awards Summary'!$J:$J,"NFWB")</f>
        <v>0</v>
      </c>
      <c r="EK63" s="55">
        <f>SUMIFS('Disbursements Summary'!$E:$E,'Disbursements Summary'!$C:$C,$C63,'Disbursements Summary'!$A:$A,"NFWB")</f>
        <v>0</v>
      </c>
      <c r="EL63" s="55">
        <f>SUMIFS('Awards Summary'!$H:$H,'Awards Summary'!$B:$B,$C63,'Awards Summary'!$J:$J,"NFTA")</f>
        <v>0</v>
      </c>
      <c r="EM63" s="55">
        <f>SUMIFS('Disbursements Summary'!$E:$E,'Disbursements Summary'!$C:$C,$C63,'Disbursements Summary'!$A:$A,"NFTA")</f>
        <v>0</v>
      </c>
      <c r="EN63" s="55">
        <f>SUMIFS('Awards Summary'!$H:$H,'Awards Summary'!$B:$B,$C63,'Awards Summary'!$J:$J,"OPWDD")</f>
        <v>0</v>
      </c>
      <c r="EO63" s="55">
        <f>SUMIFS('Disbursements Summary'!$E:$E,'Disbursements Summary'!$C:$C,$C63,'Disbursements Summary'!$A:$A,"OPWDD")</f>
        <v>0</v>
      </c>
      <c r="EP63" s="55">
        <f>SUMIFS('Awards Summary'!$H:$H,'Awards Summary'!$B:$B,$C63,'Awards Summary'!$J:$J,"AGING")</f>
        <v>0</v>
      </c>
      <c r="EQ63" s="55">
        <f>SUMIFS('Disbursements Summary'!$E:$E,'Disbursements Summary'!$C:$C,$C63,'Disbursements Summary'!$A:$A,"AGING")</f>
        <v>0</v>
      </c>
      <c r="ER63" s="55">
        <f>SUMIFS('Awards Summary'!$H:$H,'Awards Summary'!$B:$B,$C63,'Awards Summary'!$J:$J,"OPDV")</f>
        <v>0</v>
      </c>
      <c r="ES63" s="55">
        <f>SUMIFS('Disbursements Summary'!$E:$E,'Disbursements Summary'!$C:$C,$C63,'Disbursements Summary'!$A:$A,"OPDV")</f>
        <v>0</v>
      </c>
      <c r="ET63" s="55">
        <f>SUMIFS('Awards Summary'!$H:$H,'Awards Summary'!$B:$B,$C63,'Awards Summary'!$J:$J,"OVS")</f>
        <v>0</v>
      </c>
      <c r="EU63" s="55">
        <f>SUMIFS('Disbursements Summary'!$E:$E,'Disbursements Summary'!$C:$C,$C63,'Disbursements Summary'!$A:$A,"OVS")</f>
        <v>0</v>
      </c>
      <c r="EV63" s="55">
        <f>SUMIFS('Awards Summary'!$H:$H,'Awards Summary'!$B:$B,$C63,'Awards Summary'!$J:$J,"OASAS")</f>
        <v>0</v>
      </c>
      <c r="EW63" s="55">
        <f>SUMIFS('Disbursements Summary'!$E:$E,'Disbursements Summary'!$C:$C,$C63,'Disbursements Summary'!$A:$A,"OASAS")</f>
        <v>0</v>
      </c>
      <c r="EX63" s="55">
        <f>SUMIFS('Awards Summary'!$H:$H,'Awards Summary'!$B:$B,$C63,'Awards Summary'!$J:$J,"OCFS")</f>
        <v>0</v>
      </c>
      <c r="EY63" s="55">
        <f>SUMIFS('Disbursements Summary'!$E:$E,'Disbursements Summary'!$C:$C,$C63,'Disbursements Summary'!$A:$A,"OCFS")</f>
        <v>0</v>
      </c>
      <c r="EZ63" s="55">
        <f>SUMIFS('Awards Summary'!$H:$H,'Awards Summary'!$B:$B,$C63,'Awards Summary'!$J:$J,"OGS")</f>
        <v>0</v>
      </c>
      <c r="FA63" s="55">
        <f>SUMIFS('Disbursements Summary'!$E:$E,'Disbursements Summary'!$C:$C,$C63,'Disbursements Summary'!$A:$A,"OGS")</f>
        <v>0</v>
      </c>
      <c r="FB63" s="55">
        <f>SUMIFS('Awards Summary'!$H:$H,'Awards Summary'!$B:$B,$C63,'Awards Summary'!$J:$J,"OMH")</f>
        <v>0</v>
      </c>
      <c r="FC63" s="55">
        <f>SUMIFS('Disbursements Summary'!$E:$E,'Disbursements Summary'!$C:$C,$C63,'Disbursements Summary'!$A:$A,"OMH")</f>
        <v>0</v>
      </c>
      <c r="FD63" s="55">
        <f>SUMIFS('Awards Summary'!$H:$H,'Awards Summary'!$B:$B,$C63,'Awards Summary'!$J:$J,"PARKS")</f>
        <v>0</v>
      </c>
      <c r="FE63" s="55">
        <f>SUMIFS('Disbursements Summary'!$E:$E,'Disbursements Summary'!$C:$C,$C63,'Disbursements Summary'!$A:$A,"PARKS")</f>
        <v>0</v>
      </c>
      <c r="FF63" s="55">
        <f>SUMIFS('Awards Summary'!$H:$H,'Awards Summary'!$B:$B,$C63,'Awards Summary'!$J:$J,"OTDA")</f>
        <v>0</v>
      </c>
      <c r="FG63" s="55">
        <f>SUMIFS('Disbursements Summary'!$E:$E,'Disbursements Summary'!$C:$C,$C63,'Disbursements Summary'!$A:$A,"OTDA")</f>
        <v>0</v>
      </c>
      <c r="FH63" s="55">
        <f>SUMIFS('Awards Summary'!$H:$H,'Awards Summary'!$B:$B,$C63,'Awards Summary'!$J:$J,"OIG")</f>
        <v>0</v>
      </c>
      <c r="FI63" s="55">
        <f>SUMIFS('Disbursements Summary'!$E:$E,'Disbursements Summary'!$C:$C,$C63,'Disbursements Summary'!$A:$A,"OIG")</f>
        <v>0</v>
      </c>
      <c r="FJ63" s="55">
        <f>SUMIFS('Awards Summary'!$H:$H,'Awards Summary'!$B:$B,$C63,'Awards Summary'!$J:$J,"OMIG")</f>
        <v>0</v>
      </c>
      <c r="FK63" s="55">
        <f>SUMIFS('Disbursements Summary'!$E:$E,'Disbursements Summary'!$C:$C,$C63,'Disbursements Summary'!$A:$A,"OMIG")</f>
        <v>0</v>
      </c>
      <c r="FL63" s="55">
        <f>SUMIFS('Awards Summary'!$H:$H,'Awards Summary'!$B:$B,$C63,'Awards Summary'!$J:$J,"OSC")</f>
        <v>0</v>
      </c>
      <c r="FM63" s="55">
        <f>SUMIFS('Disbursements Summary'!$E:$E,'Disbursements Summary'!$C:$C,$C63,'Disbursements Summary'!$A:$A,"OSC")</f>
        <v>0</v>
      </c>
      <c r="FN63" s="55">
        <f>SUMIFS('Awards Summary'!$H:$H,'Awards Summary'!$B:$B,$C63,'Awards Summary'!$J:$J,"OWIG")</f>
        <v>0</v>
      </c>
      <c r="FO63" s="55">
        <f>SUMIFS('Disbursements Summary'!$E:$E,'Disbursements Summary'!$C:$C,$C63,'Disbursements Summary'!$A:$A,"OWIG")</f>
        <v>0</v>
      </c>
      <c r="FP63" s="55">
        <f>SUMIFS('Awards Summary'!$H:$H,'Awards Summary'!$B:$B,$C63,'Awards Summary'!$J:$J,"OGDEN")</f>
        <v>0</v>
      </c>
      <c r="FQ63" s="55">
        <f>SUMIFS('Disbursements Summary'!$E:$E,'Disbursements Summary'!$C:$C,$C63,'Disbursements Summary'!$A:$A,"OGDEN")</f>
        <v>0</v>
      </c>
      <c r="FR63" s="55">
        <f>SUMIFS('Awards Summary'!$H:$H,'Awards Summary'!$B:$B,$C63,'Awards Summary'!$J:$J,"ORDA")</f>
        <v>0</v>
      </c>
      <c r="FS63" s="55">
        <f>SUMIFS('Disbursements Summary'!$E:$E,'Disbursements Summary'!$C:$C,$C63,'Disbursements Summary'!$A:$A,"ORDA")</f>
        <v>0</v>
      </c>
      <c r="FT63" s="55">
        <f>SUMIFS('Awards Summary'!$H:$H,'Awards Summary'!$B:$B,$C63,'Awards Summary'!$J:$J,"OSWEGO")</f>
        <v>0</v>
      </c>
      <c r="FU63" s="55">
        <f>SUMIFS('Disbursements Summary'!$E:$E,'Disbursements Summary'!$C:$C,$C63,'Disbursements Summary'!$A:$A,"OSWEGO")</f>
        <v>0</v>
      </c>
      <c r="FV63" s="55">
        <f>SUMIFS('Awards Summary'!$H:$H,'Awards Summary'!$B:$B,$C63,'Awards Summary'!$J:$J,"PERB")</f>
        <v>0</v>
      </c>
      <c r="FW63" s="55">
        <f>SUMIFS('Disbursements Summary'!$E:$E,'Disbursements Summary'!$C:$C,$C63,'Disbursements Summary'!$A:$A,"PERB")</f>
        <v>0</v>
      </c>
      <c r="FX63" s="55">
        <f>SUMIFS('Awards Summary'!$H:$H,'Awards Summary'!$B:$B,$C63,'Awards Summary'!$J:$J,"RGRTA")</f>
        <v>0</v>
      </c>
      <c r="FY63" s="55">
        <f>SUMIFS('Disbursements Summary'!$E:$E,'Disbursements Summary'!$C:$C,$C63,'Disbursements Summary'!$A:$A,"RGRTA")</f>
        <v>0</v>
      </c>
      <c r="FZ63" s="55">
        <f>SUMIFS('Awards Summary'!$H:$H,'Awards Summary'!$B:$B,$C63,'Awards Summary'!$J:$J,"RIOC")</f>
        <v>0</v>
      </c>
      <c r="GA63" s="55">
        <f>SUMIFS('Disbursements Summary'!$E:$E,'Disbursements Summary'!$C:$C,$C63,'Disbursements Summary'!$A:$A,"RIOC")</f>
        <v>0</v>
      </c>
      <c r="GB63" s="55">
        <f>SUMIFS('Awards Summary'!$H:$H,'Awards Summary'!$B:$B,$C63,'Awards Summary'!$J:$J,"RPCI")</f>
        <v>0</v>
      </c>
      <c r="GC63" s="55">
        <f>SUMIFS('Disbursements Summary'!$E:$E,'Disbursements Summary'!$C:$C,$C63,'Disbursements Summary'!$A:$A,"RPCI")</f>
        <v>0</v>
      </c>
      <c r="GD63" s="55">
        <f>SUMIFS('Awards Summary'!$H:$H,'Awards Summary'!$B:$B,$C63,'Awards Summary'!$J:$J,"SMDA")</f>
        <v>0</v>
      </c>
      <c r="GE63" s="55">
        <f>SUMIFS('Disbursements Summary'!$E:$E,'Disbursements Summary'!$C:$C,$C63,'Disbursements Summary'!$A:$A,"SMDA")</f>
        <v>0</v>
      </c>
      <c r="GF63" s="55">
        <f>SUMIFS('Awards Summary'!$H:$H,'Awards Summary'!$B:$B,$C63,'Awards Summary'!$J:$J,"SCOC")</f>
        <v>0</v>
      </c>
      <c r="GG63" s="55">
        <f>SUMIFS('Disbursements Summary'!$E:$E,'Disbursements Summary'!$C:$C,$C63,'Disbursements Summary'!$A:$A,"SCOC")</f>
        <v>0</v>
      </c>
      <c r="GH63" s="55">
        <f>SUMIFS('Awards Summary'!$H:$H,'Awards Summary'!$B:$B,$C63,'Awards Summary'!$J:$J,"SUCF")</f>
        <v>0</v>
      </c>
      <c r="GI63" s="55">
        <f>SUMIFS('Disbursements Summary'!$E:$E,'Disbursements Summary'!$C:$C,$C63,'Disbursements Summary'!$A:$A,"SUCF")</f>
        <v>0</v>
      </c>
      <c r="GJ63" s="55">
        <f>SUMIFS('Awards Summary'!$H:$H,'Awards Summary'!$B:$B,$C63,'Awards Summary'!$J:$J,"SUNY")</f>
        <v>0</v>
      </c>
      <c r="GK63" s="55">
        <f>SUMIFS('Disbursements Summary'!$E:$E,'Disbursements Summary'!$C:$C,$C63,'Disbursements Summary'!$A:$A,"SUNY")</f>
        <v>0</v>
      </c>
      <c r="GL63" s="55">
        <f>SUMIFS('Awards Summary'!$H:$H,'Awards Summary'!$B:$B,$C63,'Awards Summary'!$J:$J,"SRAA")</f>
        <v>0</v>
      </c>
      <c r="GM63" s="55">
        <f>SUMIFS('Disbursements Summary'!$E:$E,'Disbursements Summary'!$C:$C,$C63,'Disbursements Summary'!$A:$A,"SRAA")</f>
        <v>0</v>
      </c>
      <c r="GN63" s="55">
        <f>SUMIFS('Awards Summary'!$H:$H,'Awards Summary'!$B:$B,$C63,'Awards Summary'!$J:$J,"UNDC")</f>
        <v>0</v>
      </c>
      <c r="GO63" s="55">
        <f>SUMIFS('Disbursements Summary'!$E:$E,'Disbursements Summary'!$C:$C,$C63,'Disbursements Summary'!$A:$A,"UNDC")</f>
        <v>0</v>
      </c>
      <c r="GP63" s="55">
        <f>SUMIFS('Awards Summary'!$H:$H,'Awards Summary'!$B:$B,$C63,'Awards Summary'!$J:$J,"MVWA")</f>
        <v>0</v>
      </c>
      <c r="GQ63" s="55">
        <f>SUMIFS('Disbursements Summary'!$E:$E,'Disbursements Summary'!$C:$C,$C63,'Disbursements Summary'!$A:$A,"MVWA")</f>
        <v>0</v>
      </c>
      <c r="GR63" s="55">
        <f>SUMIFS('Awards Summary'!$H:$H,'Awards Summary'!$B:$B,$C63,'Awards Summary'!$J:$J,"WMC")</f>
        <v>0</v>
      </c>
      <c r="GS63" s="55">
        <f>SUMIFS('Disbursements Summary'!$E:$E,'Disbursements Summary'!$C:$C,$C63,'Disbursements Summary'!$A:$A,"WMC")</f>
        <v>0</v>
      </c>
      <c r="GT63" s="55">
        <f>SUMIFS('Awards Summary'!$H:$H,'Awards Summary'!$B:$B,$C63,'Awards Summary'!$J:$J,"WCB")</f>
        <v>0</v>
      </c>
      <c r="GU63" s="55">
        <f>SUMIFS('Disbursements Summary'!$E:$E,'Disbursements Summary'!$C:$C,$C63,'Disbursements Summary'!$A:$A,"WCB")</f>
        <v>0</v>
      </c>
      <c r="GV63" s="32">
        <f t="shared" si="5"/>
        <v>0</v>
      </c>
      <c r="GW63" s="32">
        <f t="shared" si="6"/>
        <v>0</v>
      </c>
      <c r="GX63" s="30" t="b">
        <f t="shared" si="7"/>
        <v>1</v>
      </c>
      <c r="GY63" s="30" t="b">
        <f t="shared" si="8"/>
        <v>1</v>
      </c>
    </row>
    <row r="64" spans="1:207" s="30" customFormat="1">
      <c r="A64" s="22" t="str">
        <f t="shared" si="0"/>
        <v/>
      </c>
      <c r="B64" s="40" t="s">
        <v>112</v>
      </c>
      <c r="C64" s="16">
        <v>151120</v>
      </c>
      <c r="D64" s="26">
        <f>COUNTIF('Awards Summary'!B:B,"151120")</f>
        <v>0</v>
      </c>
      <c r="E64" s="45">
        <f>SUMIFS('Awards Summary'!H:H,'Awards Summary'!B:B,"151120")</f>
        <v>0</v>
      </c>
      <c r="F64" s="46">
        <f>SUMIFS('Disbursements Summary'!E:E,'Disbursements Summary'!C:C, "151120")</f>
        <v>0</v>
      </c>
      <c r="H64" s="55">
        <f>SUMIFS('Awards Summary'!$H:$H,'Awards Summary'!$B:$B,$C64,'Awards Summary'!$J:$J,"APA")</f>
        <v>0</v>
      </c>
      <c r="I64" s="55">
        <f>SUMIFS('Disbursements Summary'!$E:$E,'Disbursements Summary'!$C:$C,$C64,'Disbursements Summary'!$A:$A,"APA")</f>
        <v>0</v>
      </c>
      <c r="J64" s="55">
        <f>SUMIFS('Awards Summary'!$H:$H,'Awards Summary'!$B:$B,$C64,'Awards Summary'!$J:$J,"Ag&amp;Horse")</f>
        <v>0</v>
      </c>
      <c r="K64" s="55">
        <f>SUMIFS('Disbursements Summary'!$E:$E,'Disbursements Summary'!$C:$C,$C64,'Disbursements Summary'!$A:$A,"Ag&amp;Horse")</f>
        <v>0</v>
      </c>
      <c r="L64" s="55">
        <f>SUMIFS('Awards Summary'!$H:$H,'Awards Summary'!$B:$B,$C64,'Awards Summary'!$J:$J,"ACAA")</f>
        <v>0</v>
      </c>
      <c r="M64" s="55">
        <f>SUMIFS('Disbursements Summary'!$E:$E,'Disbursements Summary'!$C:$C,$C64,'Disbursements Summary'!$A:$A,"ACAA")</f>
        <v>0</v>
      </c>
      <c r="N64" s="55">
        <f>SUMIFS('Awards Summary'!$H:$H,'Awards Summary'!$B:$B,$C64,'Awards Summary'!$J:$J,"PortAlbany")</f>
        <v>0</v>
      </c>
      <c r="O64" s="55">
        <f>SUMIFS('Disbursements Summary'!$E:$E,'Disbursements Summary'!$C:$C,$C64,'Disbursements Summary'!$A:$A,"PortAlbany")</f>
        <v>0</v>
      </c>
      <c r="P64" s="55">
        <f>SUMIFS('Awards Summary'!$H:$H,'Awards Summary'!$B:$B,$C64,'Awards Summary'!$J:$J,"SLA")</f>
        <v>0</v>
      </c>
      <c r="Q64" s="55">
        <f>SUMIFS('Disbursements Summary'!$E:$E,'Disbursements Summary'!$C:$C,$C64,'Disbursements Summary'!$A:$A,"SLA")</f>
        <v>0</v>
      </c>
      <c r="R64" s="55">
        <f>SUMIFS('Awards Summary'!$H:$H,'Awards Summary'!$B:$B,$C64,'Awards Summary'!$J:$J,"BPCA")</f>
        <v>0</v>
      </c>
      <c r="S64" s="55">
        <f>SUMIFS('Disbursements Summary'!$E:$E,'Disbursements Summary'!$C:$C,$C64,'Disbursements Summary'!$A:$A,"BPCA")</f>
        <v>0</v>
      </c>
      <c r="T64" s="55">
        <f>SUMIFS('Awards Summary'!$H:$H,'Awards Summary'!$B:$B,$C64,'Awards Summary'!$J:$J,"ELECTIONS")</f>
        <v>0</v>
      </c>
      <c r="U64" s="55">
        <f>SUMIFS('Disbursements Summary'!$E:$E,'Disbursements Summary'!$C:$C,$C64,'Disbursements Summary'!$A:$A,"ELECTIONS")</f>
        <v>0</v>
      </c>
      <c r="V64" s="55">
        <f>SUMIFS('Awards Summary'!$H:$H,'Awards Summary'!$B:$B,$C64,'Awards Summary'!$J:$J,"BFSA")</f>
        <v>0</v>
      </c>
      <c r="W64" s="55">
        <f>SUMIFS('Disbursements Summary'!$E:$E,'Disbursements Summary'!$C:$C,$C64,'Disbursements Summary'!$A:$A,"BFSA")</f>
        <v>0</v>
      </c>
      <c r="X64" s="55">
        <f>SUMIFS('Awards Summary'!$H:$H,'Awards Summary'!$B:$B,$C64,'Awards Summary'!$J:$J,"CDTA")</f>
        <v>0</v>
      </c>
      <c r="Y64" s="55">
        <f>SUMIFS('Disbursements Summary'!$E:$E,'Disbursements Summary'!$C:$C,$C64,'Disbursements Summary'!$A:$A,"CDTA")</f>
        <v>0</v>
      </c>
      <c r="Z64" s="55">
        <f>SUMIFS('Awards Summary'!$H:$H,'Awards Summary'!$B:$B,$C64,'Awards Summary'!$J:$J,"CCWSA")</f>
        <v>0</v>
      </c>
      <c r="AA64" s="55">
        <f>SUMIFS('Disbursements Summary'!$E:$E,'Disbursements Summary'!$C:$C,$C64,'Disbursements Summary'!$A:$A,"CCWSA")</f>
        <v>0</v>
      </c>
      <c r="AB64" s="55">
        <f>SUMIFS('Awards Summary'!$H:$H,'Awards Summary'!$B:$B,$C64,'Awards Summary'!$J:$J,"CNYRTA")</f>
        <v>0</v>
      </c>
      <c r="AC64" s="55">
        <f>SUMIFS('Disbursements Summary'!$E:$E,'Disbursements Summary'!$C:$C,$C64,'Disbursements Summary'!$A:$A,"CNYRTA")</f>
        <v>0</v>
      </c>
      <c r="AD64" s="55">
        <f>SUMIFS('Awards Summary'!$H:$H,'Awards Summary'!$B:$B,$C64,'Awards Summary'!$J:$J,"CUCF")</f>
        <v>0</v>
      </c>
      <c r="AE64" s="55">
        <f>SUMIFS('Disbursements Summary'!$E:$E,'Disbursements Summary'!$C:$C,$C64,'Disbursements Summary'!$A:$A,"CUCF")</f>
        <v>0</v>
      </c>
      <c r="AF64" s="55">
        <f>SUMIFS('Awards Summary'!$H:$H,'Awards Summary'!$B:$B,$C64,'Awards Summary'!$J:$J,"CUNY")</f>
        <v>0</v>
      </c>
      <c r="AG64" s="55">
        <f>SUMIFS('Disbursements Summary'!$E:$E,'Disbursements Summary'!$C:$C,$C64,'Disbursements Summary'!$A:$A,"CUNY")</f>
        <v>0</v>
      </c>
      <c r="AH64" s="55">
        <f>SUMIFS('Awards Summary'!$H:$H,'Awards Summary'!$B:$B,$C64,'Awards Summary'!$J:$J,"ARTS")</f>
        <v>0</v>
      </c>
      <c r="AI64" s="55">
        <f>SUMIFS('Disbursements Summary'!$E:$E,'Disbursements Summary'!$C:$C,$C64,'Disbursements Summary'!$A:$A,"ARTS")</f>
        <v>0</v>
      </c>
      <c r="AJ64" s="55">
        <f>SUMIFS('Awards Summary'!$H:$H,'Awards Summary'!$B:$B,$C64,'Awards Summary'!$J:$J,"AG&amp;MKTS")</f>
        <v>0</v>
      </c>
      <c r="AK64" s="55">
        <f>SUMIFS('Disbursements Summary'!$E:$E,'Disbursements Summary'!$C:$C,$C64,'Disbursements Summary'!$A:$A,"AG&amp;MKTS")</f>
        <v>0</v>
      </c>
      <c r="AL64" s="55">
        <f>SUMIFS('Awards Summary'!$H:$H,'Awards Summary'!$B:$B,$C64,'Awards Summary'!$J:$J,"CS")</f>
        <v>0</v>
      </c>
      <c r="AM64" s="55">
        <f>SUMIFS('Disbursements Summary'!$E:$E,'Disbursements Summary'!$C:$C,$C64,'Disbursements Summary'!$A:$A,"CS")</f>
        <v>0</v>
      </c>
      <c r="AN64" s="55">
        <f>SUMIFS('Awards Summary'!$H:$H,'Awards Summary'!$B:$B,$C64,'Awards Summary'!$J:$J,"DOCCS")</f>
        <v>0</v>
      </c>
      <c r="AO64" s="55">
        <f>SUMIFS('Disbursements Summary'!$E:$E,'Disbursements Summary'!$C:$C,$C64,'Disbursements Summary'!$A:$A,"DOCCS")</f>
        <v>0</v>
      </c>
      <c r="AP64" s="55">
        <f>SUMIFS('Awards Summary'!$H:$H,'Awards Summary'!$B:$B,$C64,'Awards Summary'!$J:$J,"DED")</f>
        <v>0</v>
      </c>
      <c r="AQ64" s="55">
        <f>SUMIFS('Disbursements Summary'!$E:$E,'Disbursements Summary'!$C:$C,$C64,'Disbursements Summary'!$A:$A,"DED")</f>
        <v>0</v>
      </c>
      <c r="AR64" s="55">
        <f>SUMIFS('Awards Summary'!$H:$H,'Awards Summary'!$B:$B,$C64,'Awards Summary'!$J:$J,"DEC")</f>
        <v>0</v>
      </c>
      <c r="AS64" s="55">
        <f>SUMIFS('Disbursements Summary'!$E:$E,'Disbursements Summary'!$C:$C,$C64,'Disbursements Summary'!$A:$A,"DEC")</f>
        <v>0</v>
      </c>
      <c r="AT64" s="55">
        <f>SUMIFS('Awards Summary'!$H:$H,'Awards Summary'!$B:$B,$C64,'Awards Summary'!$J:$J,"DFS")</f>
        <v>0</v>
      </c>
      <c r="AU64" s="55">
        <f>SUMIFS('Disbursements Summary'!$E:$E,'Disbursements Summary'!$C:$C,$C64,'Disbursements Summary'!$A:$A,"DFS")</f>
        <v>0</v>
      </c>
      <c r="AV64" s="55">
        <f>SUMIFS('Awards Summary'!$H:$H,'Awards Summary'!$B:$B,$C64,'Awards Summary'!$J:$J,"DOH")</f>
        <v>0</v>
      </c>
      <c r="AW64" s="55">
        <f>SUMIFS('Disbursements Summary'!$E:$E,'Disbursements Summary'!$C:$C,$C64,'Disbursements Summary'!$A:$A,"DOH")</f>
        <v>0</v>
      </c>
      <c r="AX64" s="55">
        <f>SUMIFS('Awards Summary'!$H:$H,'Awards Summary'!$B:$B,$C64,'Awards Summary'!$J:$J,"DOL")</f>
        <v>0</v>
      </c>
      <c r="AY64" s="55">
        <f>SUMIFS('Disbursements Summary'!$E:$E,'Disbursements Summary'!$C:$C,$C64,'Disbursements Summary'!$A:$A,"DOL")</f>
        <v>0</v>
      </c>
      <c r="AZ64" s="55">
        <f>SUMIFS('Awards Summary'!$H:$H,'Awards Summary'!$B:$B,$C64,'Awards Summary'!$J:$J,"DMV")</f>
        <v>0</v>
      </c>
      <c r="BA64" s="55">
        <f>SUMIFS('Disbursements Summary'!$E:$E,'Disbursements Summary'!$C:$C,$C64,'Disbursements Summary'!$A:$A,"DMV")</f>
        <v>0</v>
      </c>
      <c r="BB64" s="55">
        <f>SUMIFS('Awards Summary'!$H:$H,'Awards Summary'!$B:$B,$C64,'Awards Summary'!$J:$J,"DPS")</f>
        <v>0</v>
      </c>
      <c r="BC64" s="55">
        <f>SUMIFS('Disbursements Summary'!$E:$E,'Disbursements Summary'!$C:$C,$C64,'Disbursements Summary'!$A:$A,"DPS")</f>
        <v>0</v>
      </c>
      <c r="BD64" s="55">
        <f>SUMIFS('Awards Summary'!$H:$H,'Awards Summary'!$B:$B,$C64,'Awards Summary'!$J:$J,"DOS")</f>
        <v>0</v>
      </c>
      <c r="BE64" s="55">
        <f>SUMIFS('Disbursements Summary'!$E:$E,'Disbursements Summary'!$C:$C,$C64,'Disbursements Summary'!$A:$A,"DOS")</f>
        <v>0</v>
      </c>
      <c r="BF64" s="55">
        <f>SUMIFS('Awards Summary'!$H:$H,'Awards Summary'!$B:$B,$C64,'Awards Summary'!$J:$J,"TAX")</f>
        <v>0</v>
      </c>
      <c r="BG64" s="55">
        <f>SUMIFS('Disbursements Summary'!$E:$E,'Disbursements Summary'!$C:$C,$C64,'Disbursements Summary'!$A:$A,"TAX")</f>
        <v>0</v>
      </c>
      <c r="BH64" s="55">
        <f>SUMIFS('Awards Summary'!$H:$H,'Awards Summary'!$B:$B,$C64,'Awards Summary'!$J:$J,"DOT")</f>
        <v>0</v>
      </c>
      <c r="BI64" s="55">
        <f>SUMIFS('Disbursements Summary'!$E:$E,'Disbursements Summary'!$C:$C,$C64,'Disbursements Summary'!$A:$A,"DOT")</f>
        <v>0</v>
      </c>
      <c r="BJ64" s="55">
        <f>SUMIFS('Awards Summary'!$H:$H,'Awards Summary'!$B:$B,$C64,'Awards Summary'!$J:$J,"DANC")</f>
        <v>0</v>
      </c>
      <c r="BK64" s="55">
        <f>SUMIFS('Disbursements Summary'!$E:$E,'Disbursements Summary'!$C:$C,$C64,'Disbursements Summary'!$A:$A,"DANC")</f>
        <v>0</v>
      </c>
      <c r="BL64" s="55">
        <f>SUMIFS('Awards Summary'!$H:$H,'Awards Summary'!$B:$B,$C64,'Awards Summary'!$J:$J,"DOB")</f>
        <v>0</v>
      </c>
      <c r="BM64" s="55">
        <f>SUMIFS('Disbursements Summary'!$E:$E,'Disbursements Summary'!$C:$C,$C64,'Disbursements Summary'!$A:$A,"DOB")</f>
        <v>0</v>
      </c>
      <c r="BN64" s="55">
        <f>SUMIFS('Awards Summary'!$H:$H,'Awards Summary'!$B:$B,$C64,'Awards Summary'!$J:$J,"DCJS")</f>
        <v>0</v>
      </c>
      <c r="BO64" s="55">
        <f>SUMIFS('Disbursements Summary'!$E:$E,'Disbursements Summary'!$C:$C,$C64,'Disbursements Summary'!$A:$A,"DCJS")</f>
        <v>0</v>
      </c>
      <c r="BP64" s="55">
        <f>SUMIFS('Awards Summary'!$H:$H,'Awards Summary'!$B:$B,$C64,'Awards Summary'!$J:$J,"DHSES")</f>
        <v>0</v>
      </c>
      <c r="BQ64" s="55">
        <f>SUMIFS('Disbursements Summary'!$E:$E,'Disbursements Summary'!$C:$C,$C64,'Disbursements Summary'!$A:$A,"DHSES")</f>
        <v>0</v>
      </c>
      <c r="BR64" s="55">
        <f>SUMIFS('Awards Summary'!$H:$H,'Awards Summary'!$B:$B,$C64,'Awards Summary'!$J:$J,"DHR")</f>
        <v>0</v>
      </c>
      <c r="BS64" s="55">
        <f>SUMIFS('Disbursements Summary'!$E:$E,'Disbursements Summary'!$C:$C,$C64,'Disbursements Summary'!$A:$A,"DHR")</f>
        <v>0</v>
      </c>
      <c r="BT64" s="55">
        <f>SUMIFS('Awards Summary'!$H:$H,'Awards Summary'!$B:$B,$C64,'Awards Summary'!$J:$J,"DMNA")</f>
        <v>0</v>
      </c>
      <c r="BU64" s="55">
        <f>SUMIFS('Disbursements Summary'!$E:$E,'Disbursements Summary'!$C:$C,$C64,'Disbursements Summary'!$A:$A,"DMNA")</f>
        <v>0</v>
      </c>
      <c r="BV64" s="55">
        <f>SUMIFS('Awards Summary'!$H:$H,'Awards Summary'!$B:$B,$C64,'Awards Summary'!$J:$J,"TROOPERS")</f>
        <v>0</v>
      </c>
      <c r="BW64" s="55">
        <f>SUMIFS('Disbursements Summary'!$E:$E,'Disbursements Summary'!$C:$C,$C64,'Disbursements Summary'!$A:$A,"TROOPERS")</f>
        <v>0</v>
      </c>
      <c r="BX64" s="55">
        <f>SUMIFS('Awards Summary'!$H:$H,'Awards Summary'!$B:$B,$C64,'Awards Summary'!$J:$J,"DVA")</f>
        <v>0</v>
      </c>
      <c r="BY64" s="55">
        <f>SUMIFS('Disbursements Summary'!$E:$E,'Disbursements Summary'!$C:$C,$C64,'Disbursements Summary'!$A:$A,"DVA")</f>
        <v>0</v>
      </c>
      <c r="BZ64" s="55">
        <f>SUMIFS('Awards Summary'!$H:$H,'Awards Summary'!$B:$B,$C64,'Awards Summary'!$J:$J,"DASNY")</f>
        <v>0</v>
      </c>
      <c r="CA64" s="55">
        <f>SUMIFS('Disbursements Summary'!$E:$E,'Disbursements Summary'!$C:$C,$C64,'Disbursements Summary'!$A:$A,"DASNY")</f>
        <v>0</v>
      </c>
      <c r="CB64" s="55">
        <f>SUMIFS('Awards Summary'!$H:$H,'Awards Summary'!$B:$B,$C64,'Awards Summary'!$J:$J,"EGG")</f>
        <v>0</v>
      </c>
      <c r="CC64" s="55">
        <f>SUMIFS('Disbursements Summary'!$E:$E,'Disbursements Summary'!$C:$C,$C64,'Disbursements Summary'!$A:$A,"EGG")</f>
        <v>0</v>
      </c>
      <c r="CD64" s="55">
        <f>SUMIFS('Awards Summary'!$H:$H,'Awards Summary'!$B:$B,$C64,'Awards Summary'!$J:$J,"ESD")</f>
        <v>0</v>
      </c>
      <c r="CE64" s="55">
        <f>SUMIFS('Disbursements Summary'!$E:$E,'Disbursements Summary'!$C:$C,$C64,'Disbursements Summary'!$A:$A,"ESD")</f>
        <v>0</v>
      </c>
      <c r="CF64" s="55">
        <f>SUMIFS('Awards Summary'!$H:$H,'Awards Summary'!$B:$B,$C64,'Awards Summary'!$J:$J,"EFC")</f>
        <v>0</v>
      </c>
      <c r="CG64" s="55">
        <f>SUMIFS('Disbursements Summary'!$E:$E,'Disbursements Summary'!$C:$C,$C64,'Disbursements Summary'!$A:$A,"EFC")</f>
        <v>0</v>
      </c>
      <c r="CH64" s="55">
        <f>SUMIFS('Awards Summary'!$H:$H,'Awards Summary'!$B:$B,$C64,'Awards Summary'!$J:$J,"ECFSA")</f>
        <v>0</v>
      </c>
      <c r="CI64" s="55">
        <f>SUMIFS('Disbursements Summary'!$E:$E,'Disbursements Summary'!$C:$C,$C64,'Disbursements Summary'!$A:$A,"ECFSA")</f>
        <v>0</v>
      </c>
      <c r="CJ64" s="55">
        <f>SUMIFS('Awards Summary'!$H:$H,'Awards Summary'!$B:$B,$C64,'Awards Summary'!$J:$J,"ECMC")</f>
        <v>0</v>
      </c>
      <c r="CK64" s="55">
        <f>SUMIFS('Disbursements Summary'!$E:$E,'Disbursements Summary'!$C:$C,$C64,'Disbursements Summary'!$A:$A,"ECMC")</f>
        <v>0</v>
      </c>
      <c r="CL64" s="55">
        <f>SUMIFS('Awards Summary'!$H:$H,'Awards Summary'!$B:$B,$C64,'Awards Summary'!$J:$J,"CHAMBER")</f>
        <v>0</v>
      </c>
      <c r="CM64" s="55">
        <f>SUMIFS('Disbursements Summary'!$E:$E,'Disbursements Summary'!$C:$C,$C64,'Disbursements Summary'!$A:$A,"CHAMBER")</f>
        <v>0</v>
      </c>
      <c r="CN64" s="55">
        <f>SUMIFS('Awards Summary'!$H:$H,'Awards Summary'!$B:$B,$C64,'Awards Summary'!$J:$J,"GAMING")</f>
        <v>0</v>
      </c>
      <c r="CO64" s="55">
        <f>SUMIFS('Disbursements Summary'!$E:$E,'Disbursements Summary'!$C:$C,$C64,'Disbursements Summary'!$A:$A,"GAMING")</f>
        <v>0</v>
      </c>
      <c r="CP64" s="55">
        <f>SUMIFS('Awards Summary'!$H:$H,'Awards Summary'!$B:$B,$C64,'Awards Summary'!$J:$J,"GOER")</f>
        <v>0</v>
      </c>
      <c r="CQ64" s="55">
        <f>SUMIFS('Disbursements Summary'!$E:$E,'Disbursements Summary'!$C:$C,$C64,'Disbursements Summary'!$A:$A,"GOER")</f>
        <v>0</v>
      </c>
      <c r="CR64" s="55">
        <f>SUMIFS('Awards Summary'!$H:$H,'Awards Summary'!$B:$B,$C64,'Awards Summary'!$J:$J,"HESC")</f>
        <v>0</v>
      </c>
      <c r="CS64" s="55">
        <f>SUMIFS('Disbursements Summary'!$E:$E,'Disbursements Summary'!$C:$C,$C64,'Disbursements Summary'!$A:$A,"HESC")</f>
        <v>0</v>
      </c>
      <c r="CT64" s="55">
        <f>SUMIFS('Awards Summary'!$H:$H,'Awards Summary'!$B:$B,$C64,'Awards Summary'!$J:$J,"GOSR")</f>
        <v>0</v>
      </c>
      <c r="CU64" s="55">
        <f>SUMIFS('Disbursements Summary'!$E:$E,'Disbursements Summary'!$C:$C,$C64,'Disbursements Summary'!$A:$A,"GOSR")</f>
        <v>0</v>
      </c>
      <c r="CV64" s="55">
        <f>SUMIFS('Awards Summary'!$H:$H,'Awards Summary'!$B:$B,$C64,'Awards Summary'!$J:$J,"HRPT")</f>
        <v>0</v>
      </c>
      <c r="CW64" s="55">
        <f>SUMIFS('Disbursements Summary'!$E:$E,'Disbursements Summary'!$C:$C,$C64,'Disbursements Summary'!$A:$A,"HRPT")</f>
        <v>0</v>
      </c>
      <c r="CX64" s="55">
        <f>SUMIFS('Awards Summary'!$H:$H,'Awards Summary'!$B:$B,$C64,'Awards Summary'!$J:$J,"HRBRRD")</f>
        <v>0</v>
      </c>
      <c r="CY64" s="55">
        <f>SUMIFS('Disbursements Summary'!$E:$E,'Disbursements Summary'!$C:$C,$C64,'Disbursements Summary'!$A:$A,"HRBRRD")</f>
        <v>0</v>
      </c>
      <c r="CZ64" s="55">
        <f>SUMIFS('Awards Summary'!$H:$H,'Awards Summary'!$B:$B,$C64,'Awards Summary'!$J:$J,"ITS")</f>
        <v>0</v>
      </c>
      <c r="DA64" s="55">
        <f>SUMIFS('Disbursements Summary'!$E:$E,'Disbursements Summary'!$C:$C,$C64,'Disbursements Summary'!$A:$A,"ITS")</f>
        <v>0</v>
      </c>
      <c r="DB64" s="55">
        <f>SUMIFS('Awards Summary'!$H:$H,'Awards Summary'!$B:$B,$C64,'Awards Summary'!$J:$J,"JAVITS")</f>
        <v>0</v>
      </c>
      <c r="DC64" s="55">
        <f>SUMIFS('Disbursements Summary'!$E:$E,'Disbursements Summary'!$C:$C,$C64,'Disbursements Summary'!$A:$A,"JAVITS")</f>
        <v>0</v>
      </c>
      <c r="DD64" s="55">
        <f>SUMIFS('Awards Summary'!$H:$H,'Awards Summary'!$B:$B,$C64,'Awards Summary'!$J:$J,"JCOPE")</f>
        <v>0</v>
      </c>
      <c r="DE64" s="55">
        <f>SUMIFS('Disbursements Summary'!$E:$E,'Disbursements Summary'!$C:$C,$C64,'Disbursements Summary'!$A:$A,"JCOPE")</f>
        <v>0</v>
      </c>
      <c r="DF64" s="55">
        <f>SUMIFS('Awards Summary'!$H:$H,'Awards Summary'!$B:$B,$C64,'Awards Summary'!$J:$J,"JUSTICE")</f>
        <v>0</v>
      </c>
      <c r="DG64" s="55">
        <f>SUMIFS('Disbursements Summary'!$E:$E,'Disbursements Summary'!$C:$C,$C64,'Disbursements Summary'!$A:$A,"JUSTICE")</f>
        <v>0</v>
      </c>
      <c r="DH64" s="55">
        <f>SUMIFS('Awards Summary'!$H:$H,'Awards Summary'!$B:$B,$C64,'Awards Summary'!$J:$J,"LCWSA")</f>
        <v>0</v>
      </c>
      <c r="DI64" s="55">
        <f>SUMIFS('Disbursements Summary'!$E:$E,'Disbursements Summary'!$C:$C,$C64,'Disbursements Summary'!$A:$A,"LCWSA")</f>
        <v>0</v>
      </c>
      <c r="DJ64" s="55">
        <f>SUMIFS('Awards Summary'!$H:$H,'Awards Summary'!$B:$B,$C64,'Awards Summary'!$J:$J,"LIPA")</f>
        <v>0</v>
      </c>
      <c r="DK64" s="55">
        <f>SUMIFS('Disbursements Summary'!$E:$E,'Disbursements Summary'!$C:$C,$C64,'Disbursements Summary'!$A:$A,"LIPA")</f>
        <v>0</v>
      </c>
      <c r="DL64" s="55">
        <f>SUMIFS('Awards Summary'!$H:$H,'Awards Summary'!$B:$B,$C64,'Awards Summary'!$J:$J,"MTA")</f>
        <v>0</v>
      </c>
      <c r="DM64" s="55">
        <f>SUMIFS('Disbursements Summary'!$E:$E,'Disbursements Summary'!$C:$C,$C64,'Disbursements Summary'!$A:$A,"MTA")</f>
        <v>0</v>
      </c>
      <c r="DN64" s="55">
        <f>SUMIFS('Awards Summary'!$H:$H,'Awards Summary'!$B:$B,$C64,'Awards Summary'!$J:$J,"NIFA")</f>
        <v>0</v>
      </c>
      <c r="DO64" s="55">
        <f>SUMIFS('Disbursements Summary'!$E:$E,'Disbursements Summary'!$C:$C,$C64,'Disbursements Summary'!$A:$A,"NIFA")</f>
        <v>0</v>
      </c>
      <c r="DP64" s="55">
        <f>SUMIFS('Awards Summary'!$H:$H,'Awards Summary'!$B:$B,$C64,'Awards Summary'!$J:$J,"NHCC")</f>
        <v>0</v>
      </c>
      <c r="DQ64" s="55">
        <f>SUMIFS('Disbursements Summary'!$E:$E,'Disbursements Summary'!$C:$C,$C64,'Disbursements Summary'!$A:$A,"NHCC")</f>
        <v>0</v>
      </c>
      <c r="DR64" s="55">
        <f>SUMIFS('Awards Summary'!$H:$H,'Awards Summary'!$B:$B,$C64,'Awards Summary'!$J:$J,"NHT")</f>
        <v>0</v>
      </c>
      <c r="DS64" s="55">
        <f>SUMIFS('Disbursements Summary'!$E:$E,'Disbursements Summary'!$C:$C,$C64,'Disbursements Summary'!$A:$A,"NHT")</f>
        <v>0</v>
      </c>
      <c r="DT64" s="55">
        <f>SUMIFS('Awards Summary'!$H:$H,'Awards Summary'!$B:$B,$C64,'Awards Summary'!$J:$J,"NYPA")</f>
        <v>0</v>
      </c>
      <c r="DU64" s="55">
        <f>SUMIFS('Disbursements Summary'!$E:$E,'Disbursements Summary'!$C:$C,$C64,'Disbursements Summary'!$A:$A,"NYPA")</f>
        <v>0</v>
      </c>
      <c r="DV64" s="55">
        <f>SUMIFS('Awards Summary'!$H:$H,'Awards Summary'!$B:$B,$C64,'Awards Summary'!$J:$J,"NYSBA")</f>
        <v>0</v>
      </c>
      <c r="DW64" s="55">
        <f>SUMIFS('Disbursements Summary'!$E:$E,'Disbursements Summary'!$C:$C,$C64,'Disbursements Summary'!$A:$A,"NYSBA")</f>
        <v>0</v>
      </c>
      <c r="DX64" s="55">
        <f>SUMIFS('Awards Summary'!$H:$H,'Awards Summary'!$B:$B,$C64,'Awards Summary'!$J:$J,"NYSERDA")</f>
        <v>0</v>
      </c>
      <c r="DY64" s="55">
        <f>SUMIFS('Disbursements Summary'!$E:$E,'Disbursements Summary'!$C:$C,$C64,'Disbursements Summary'!$A:$A,"NYSERDA")</f>
        <v>0</v>
      </c>
      <c r="DZ64" s="55">
        <f>SUMIFS('Awards Summary'!$H:$H,'Awards Summary'!$B:$B,$C64,'Awards Summary'!$J:$J,"DHCR")</f>
        <v>0</v>
      </c>
      <c r="EA64" s="55">
        <f>SUMIFS('Disbursements Summary'!$E:$E,'Disbursements Summary'!$C:$C,$C64,'Disbursements Summary'!$A:$A,"DHCR")</f>
        <v>0</v>
      </c>
      <c r="EB64" s="55">
        <f>SUMIFS('Awards Summary'!$H:$H,'Awards Summary'!$B:$B,$C64,'Awards Summary'!$J:$J,"HFA")</f>
        <v>0</v>
      </c>
      <c r="EC64" s="55">
        <f>SUMIFS('Disbursements Summary'!$E:$E,'Disbursements Summary'!$C:$C,$C64,'Disbursements Summary'!$A:$A,"HFA")</f>
        <v>0</v>
      </c>
      <c r="ED64" s="55">
        <f>SUMIFS('Awards Summary'!$H:$H,'Awards Summary'!$B:$B,$C64,'Awards Summary'!$J:$J,"NYSIF")</f>
        <v>0</v>
      </c>
      <c r="EE64" s="55">
        <f>SUMIFS('Disbursements Summary'!$E:$E,'Disbursements Summary'!$C:$C,$C64,'Disbursements Summary'!$A:$A,"NYSIF")</f>
        <v>0</v>
      </c>
      <c r="EF64" s="55">
        <f>SUMIFS('Awards Summary'!$H:$H,'Awards Summary'!$B:$B,$C64,'Awards Summary'!$J:$J,"NYBREDS")</f>
        <v>0</v>
      </c>
      <c r="EG64" s="55">
        <f>SUMIFS('Disbursements Summary'!$E:$E,'Disbursements Summary'!$C:$C,$C64,'Disbursements Summary'!$A:$A,"NYBREDS")</f>
        <v>0</v>
      </c>
      <c r="EH64" s="55">
        <f>SUMIFS('Awards Summary'!$H:$H,'Awards Summary'!$B:$B,$C64,'Awards Summary'!$J:$J,"NYSTA")</f>
        <v>0</v>
      </c>
      <c r="EI64" s="55">
        <f>SUMIFS('Disbursements Summary'!$E:$E,'Disbursements Summary'!$C:$C,$C64,'Disbursements Summary'!$A:$A,"NYSTA")</f>
        <v>0</v>
      </c>
      <c r="EJ64" s="55">
        <f>SUMIFS('Awards Summary'!$H:$H,'Awards Summary'!$B:$B,$C64,'Awards Summary'!$J:$J,"NFWB")</f>
        <v>0</v>
      </c>
      <c r="EK64" s="55">
        <f>SUMIFS('Disbursements Summary'!$E:$E,'Disbursements Summary'!$C:$C,$C64,'Disbursements Summary'!$A:$A,"NFWB")</f>
        <v>0</v>
      </c>
      <c r="EL64" s="55">
        <f>SUMIFS('Awards Summary'!$H:$H,'Awards Summary'!$B:$B,$C64,'Awards Summary'!$J:$J,"NFTA")</f>
        <v>0</v>
      </c>
      <c r="EM64" s="55">
        <f>SUMIFS('Disbursements Summary'!$E:$E,'Disbursements Summary'!$C:$C,$C64,'Disbursements Summary'!$A:$A,"NFTA")</f>
        <v>0</v>
      </c>
      <c r="EN64" s="55">
        <f>SUMIFS('Awards Summary'!$H:$H,'Awards Summary'!$B:$B,$C64,'Awards Summary'!$J:$J,"OPWDD")</f>
        <v>0</v>
      </c>
      <c r="EO64" s="55">
        <f>SUMIFS('Disbursements Summary'!$E:$E,'Disbursements Summary'!$C:$C,$C64,'Disbursements Summary'!$A:$A,"OPWDD")</f>
        <v>0</v>
      </c>
      <c r="EP64" s="55">
        <f>SUMIFS('Awards Summary'!$H:$H,'Awards Summary'!$B:$B,$C64,'Awards Summary'!$J:$J,"AGING")</f>
        <v>0</v>
      </c>
      <c r="EQ64" s="55">
        <f>SUMIFS('Disbursements Summary'!$E:$E,'Disbursements Summary'!$C:$C,$C64,'Disbursements Summary'!$A:$A,"AGING")</f>
        <v>0</v>
      </c>
      <c r="ER64" s="55">
        <f>SUMIFS('Awards Summary'!$H:$H,'Awards Summary'!$B:$B,$C64,'Awards Summary'!$J:$J,"OPDV")</f>
        <v>0</v>
      </c>
      <c r="ES64" s="55">
        <f>SUMIFS('Disbursements Summary'!$E:$E,'Disbursements Summary'!$C:$C,$C64,'Disbursements Summary'!$A:$A,"OPDV")</f>
        <v>0</v>
      </c>
      <c r="ET64" s="55">
        <f>SUMIFS('Awards Summary'!$H:$H,'Awards Summary'!$B:$B,$C64,'Awards Summary'!$J:$J,"OVS")</f>
        <v>0</v>
      </c>
      <c r="EU64" s="55">
        <f>SUMIFS('Disbursements Summary'!$E:$E,'Disbursements Summary'!$C:$C,$C64,'Disbursements Summary'!$A:$A,"OVS")</f>
        <v>0</v>
      </c>
      <c r="EV64" s="55">
        <f>SUMIFS('Awards Summary'!$H:$H,'Awards Summary'!$B:$B,$C64,'Awards Summary'!$J:$J,"OASAS")</f>
        <v>0</v>
      </c>
      <c r="EW64" s="55">
        <f>SUMIFS('Disbursements Summary'!$E:$E,'Disbursements Summary'!$C:$C,$C64,'Disbursements Summary'!$A:$A,"OASAS")</f>
        <v>0</v>
      </c>
      <c r="EX64" s="55">
        <f>SUMIFS('Awards Summary'!$H:$H,'Awards Summary'!$B:$B,$C64,'Awards Summary'!$J:$J,"OCFS")</f>
        <v>0</v>
      </c>
      <c r="EY64" s="55">
        <f>SUMIFS('Disbursements Summary'!$E:$E,'Disbursements Summary'!$C:$C,$C64,'Disbursements Summary'!$A:$A,"OCFS")</f>
        <v>0</v>
      </c>
      <c r="EZ64" s="55">
        <f>SUMIFS('Awards Summary'!$H:$H,'Awards Summary'!$B:$B,$C64,'Awards Summary'!$J:$J,"OGS")</f>
        <v>0</v>
      </c>
      <c r="FA64" s="55">
        <f>SUMIFS('Disbursements Summary'!$E:$E,'Disbursements Summary'!$C:$C,$C64,'Disbursements Summary'!$A:$A,"OGS")</f>
        <v>0</v>
      </c>
      <c r="FB64" s="55">
        <f>SUMIFS('Awards Summary'!$H:$H,'Awards Summary'!$B:$B,$C64,'Awards Summary'!$J:$J,"OMH")</f>
        <v>0</v>
      </c>
      <c r="FC64" s="55">
        <f>SUMIFS('Disbursements Summary'!$E:$E,'Disbursements Summary'!$C:$C,$C64,'Disbursements Summary'!$A:$A,"OMH")</f>
        <v>0</v>
      </c>
      <c r="FD64" s="55">
        <f>SUMIFS('Awards Summary'!$H:$H,'Awards Summary'!$B:$B,$C64,'Awards Summary'!$J:$J,"PARKS")</f>
        <v>0</v>
      </c>
      <c r="FE64" s="55">
        <f>SUMIFS('Disbursements Summary'!$E:$E,'Disbursements Summary'!$C:$C,$C64,'Disbursements Summary'!$A:$A,"PARKS")</f>
        <v>0</v>
      </c>
      <c r="FF64" s="55">
        <f>SUMIFS('Awards Summary'!$H:$H,'Awards Summary'!$B:$B,$C64,'Awards Summary'!$J:$J,"OTDA")</f>
        <v>0</v>
      </c>
      <c r="FG64" s="55">
        <f>SUMIFS('Disbursements Summary'!$E:$E,'Disbursements Summary'!$C:$C,$C64,'Disbursements Summary'!$A:$A,"OTDA")</f>
        <v>0</v>
      </c>
      <c r="FH64" s="55">
        <f>SUMIFS('Awards Summary'!$H:$H,'Awards Summary'!$B:$B,$C64,'Awards Summary'!$J:$J,"OIG")</f>
        <v>0</v>
      </c>
      <c r="FI64" s="55">
        <f>SUMIFS('Disbursements Summary'!$E:$E,'Disbursements Summary'!$C:$C,$C64,'Disbursements Summary'!$A:$A,"OIG")</f>
        <v>0</v>
      </c>
      <c r="FJ64" s="55">
        <f>SUMIFS('Awards Summary'!$H:$H,'Awards Summary'!$B:$B,$C64,'Awards Summary'!$J:$J,"OMIG")</f>
        <v>0</v>
      </c>
      <c r="FK64" s="55">
        <f>SUMIFS('Disbursements Summary'!$E:$E,'Disbursements Summary'!$C:$C,$C64,'Disbursements Summary'!$A:$A,"OMIG")</f>
        <v>0</v>
      </c>
      <c r="FL64" s="55">
        <f>SUMIFS('Awards Summary'!$H:$H,'Awards Summary'!$B:$B,$C64,'Awards Summary'!$J:$J,"OSC")</f>
        <v>0</v>
      </c>
      <c r="FM64" s="55">
        <f>SUMIFS('Disbursements Summary'!$E:$E,'Disbursements Summary'!$C:$C,$C64,'Disbursements Summary'!$A:$A,"OSC")</f>
        <v>0</v>
      </c>
      <c r="FN64" s="55">
        <f>SUMIFS('Awards Summary'!$H:$H,'Awards Summary'!$B:$B,$C64,'Awards Summary'!$J:$J,"OWIG")</f>
        <v>0</v>
      </c>
      <c r="FO64" s="55">
        <f>SUMIFS('Disbursements Summary'!$E:$E,'Disbursements Summary'!$C:$C,$C64,'Disbursements Summary'!$A:$A,"OWIG")</f>
        <v>0</v>
      </c>
      <c r="FP64" s="55">
        <f>SUMIFS('Awards Summary'!$H:$H,'Awards Summary'!$B:$B,$C64,'Awards Summary'!$J:$J,"OGDEN")</f>
        <v>0</v>
      </c>
      <c r="FQ64" s="55">
        <f>SUMIFS('Disbursements Summary'!$E:$E,'Disbursements Summary'!$C:$C,$C64,'Disbursements Summary'!$A:$A,"OGDEN")</f>
        <v>0</v>
      </c>
      <c r="FR64" s="55">
        <f>SUMIFS('Awards Summary'!$H:$H,'Awards Summary'!$B:$B,$C64,'Awards Summary'!$J:$J,"ORDA")</f>
        <v>0</v>
      </c>
      <c r="FS64" s="55">
        <f>SUMIFS('Disbursements Summary'!$E:$E,'Disbursements Summary'!$C:$C,$C64,'Disbursements Summary'!$A:$A,"ORDA")</f>
        <v>0</v>
      </c>
      <c r="FT64" s="55">
        <f>SUMIFS('Awards Summary'!$H:$H,'Awards Summary'!$B:$B,$C64,'Awards Summary'!$J:$J,"OSWEGO")</f>
        <v>0</v>
      </c>
      <c r="FU64" s="55">
        <f>SUMIFS('Disbursements Summary'!$E:$E,'Disbursements Summary'!$C:$C,$C64,'Disbursements Summary'!$A:$A,"OSWEGO")</f>
        <v>0</v>
      </c>
      <c r="FV64" s="55">
        <f>SUMIFS('Awards Summary'!$H:$H,'Awards Summary'!$B:$B,$C64,'Awards Summary'!$J:$J,"PERB")</f>
        <v>0</v>
      </c>
      <c r="FW64" s="55">
        <f>SUMIFS('Disbursements Summary'!$E:$E,'Disbursements Summary'!$C:$C,$C64,'Disbursements Summary'!$A:$A,"PERB")</f>
        <v>0</v>
      </c>
      <c r="FX64" s="55">
        <f>SUMIFS('Awards Summary'!$H:$H,'Awards Summary'!$B:$B,$C64,'Awards Summary'!$J:$J,"RGRTA")</f>
        <v>0</v>
      </c>
      <c r="FY64" s="55">
        <f>SUMIFS('Disbursements Summary'!$E:$E,'Disbursements Summary'!$C:$C,$C64,'Disbursements Summary'!$A:$A,"RGRTA")</f>
        <v>0</v>
      </c>
      <c r="FZ64" s="55">
        <f>SUMIFS('Awards Summary'!$H:$H,'Awards Summary'!$B:$B,$C64,'Awards Summary'!$J:$J,"RIOC")</f>
        <v>0</v>
      </c>
      <c r="GA64" s="55">
        <f>SUMIFS('Disbursements Summary'!$E:$E,'Disbursements Summary'!$C:$C,$C64,'Disbursements Summary'!$A:$A,"RIOC")</f>
        <v>0</v>
      </c>
      <c r="GB64" s="55">
        <f>SUMIFS('Awards Summary'!$H:$H,'Awards Summary'!$B:$B,$C64,'Awards Summary'!$J:$J,"RPCI")</f>
        <v>0</v>
      </c>
      <c r="GC64" s="55">
        <f>SUMIFS('Disbursements Summary'!$E:$E,'Disbursements Summary'!$C:$C,$C64,'Disbursements Summary'!$A:$A,"RPCI")</f>
        <v>0</v>
      </c>
      <c r="GD64" s="55">
        <f>SUMIFS('Awards Summary'!$H:$H,'Awards Summary'!$B:$B,$C64,'Awards Summary'!$J:$J,"SMDA")</f>
        <v>0</v>
      </c>
      <c r="GE64" s="55">
        <f>SUMIFS('Disbursements Summary'!$E:$E,'Disbursements Summary'!$C:$C,$C64,'Disbursements Summary'!$A:$A,"SMDA")</f>
        <v>0</v>
      </c>
      <c r="GF64" s="55">
        <f>SUMIFS('Awards Summary'!$H:$H,'Awards Summary'!$B:$B,$C64,'Awards Summary'!$J:$J,"SCOC")</f>
        <v>0</v>
      </c>
      <c r="GG64" s="55">
        <f>SUMIFS('Disbursements Summary'!$E:$E,'Disbursements Summary'!$C:$C,$C64,'Disbursements Summary'!$A:$A,"SCOC")</f>
        <v>0</v>
      </c>
      <c r="GH64" s="55">
        <f>SUMIFS('Awards Summary'!$H:$H,'Awards Summary'!$B:$B,$C64,'Awards Summary'!$J:$J,"SUCF")</f>
        <v>0</v>
      </c>
      <c r="GI64" s="55">
        <f>SUMIFS('Disbursements Summary'!$E:$E,'Disbursements Summary'!$C:$C,$C64,'Disbursements Summary'!$A:$A,"SUCF")</f>
        <v>0</v>
      </c>
      <c r="GJ64" s="55">
        <f>SUMIFS('Awards Summary'!$H:$H,'Awards Summary'!$B:$B,$C64,'Awards Summary'!$J:$J,"SUNY")</f>
        <v>0</v>
      </c>
      <c r="GK64" s="55">
        <f>SUMIFS('Disbursements Summary'!$E:$E,'Disbursements Summary'!$C:$C,$C64,'Disbursements Summary'!$A:$A,"SUNY")</f>
        <v>0</v>
      </c>
      <c r="GL64" s="55">
        <f>SUMIFS('Awards Summary'!$H:$H,'Awards Summary'!$B:$B,$C64,'Awards Summary'!$J:$J,"SRAA")</f>
        <v>0</v>
      </c>
      <c r="GM64" s="55">
        <f>SUMIFS('Disbursements Summary'!$E:$E,'Disbursements Summary'!$C:$C,$C64,'Disbursements Summary'!$A:$A,"SRAA")</f>
        <v>0</v>
      </c>
      <c r="GN64" s="55">
        <f>SUMIFS('Awards Summary'!$H:$H,'Awards Summary'!$B:$B,$C64,'Awards Summary'!$J:$J,"UNDC")</f>
        <v>0</v>
      </c>
      <c r="GO64" s="55">
        <f>SUMIFS('Disbursements Summary'!$E:$E,'Disbursements Summary'!$C:$C,$C64,'Disbursements Summary'!$A:$A,"UNDC")</f>
        <v>0</v>
      </c>
      <c r="GP64" s="55">
        <f>SUMIFS('Awards Summary'!$H:$H,'Awards Summary'!$B:$B,$C64,'Awards Summary'!$J:$J,"MVWA")</f>
        <v>0</v>
      </c>
      <c r="GQ64" s="55">
        <f>SUMIFS('Disbursements Summary'!$E:$E,'Disbursements Summary'!$C:$C,$C64,'Disbursements Summary'!$A:$A,"MVWA")</f>
        <v>0</v>
      </c>
      <c r="GR64" s="55">
        <f>SUMIFS('Awards Summary'!$H:$H,'Awards Summary'!$B:$B,$C64,'Awards Summary'!$J:$J,"WMC")</f>
        <v>0</v>
      </c>
      <c r="GS64" s="55">
        <f>SUMIFS('Disbursements Summary'!$E:$E,'Disbursements Summary'!$C:$C,$C64,'Disbursements Summary'!$A:$A,"WMC")</f>
        <v>0</v>
      </c>
      <c r="GT64" s="55">
        <f>SUMIFS('Awards Summary'!$H:$H,'Awards Summary'!$B:$B,$C64,'Awards Summary'!$J:$J,"WCB")</f>
        <v>0</v>
      </c>
      <c r="GU64" s="55">
        <f>SUMIFS('Disbursements Summary'!$E:$E,'Disbursements Summary'!$C:$C,$C64,'Disbursements Summary'!$A:$A,"WCB")</f>
        <v>0</v>
      </c>
      <c r="GV64" s="32">
        <f t="shared" si="5"/>
        <v>0</v>
      </c>
      <c r="GW64" s="32">
        <f t="shared" si="6"/>
        <v>0</v>
      </c>
      <c r="GX64" s="30" t="b">
        <f t="shared" si="7"/>
        <v>1</v>
      </c>
      <c r="GY64" s="30" t="b">
        <f t="shared" si="8"/>
        <v>1</v>
      </c>
    </row>
    <row r="65" spans="1:207" s="30" customFormat="1">
      <c r="A65" s="22" t="str">
        <f t="shared" si="0"/>
        <v/>
      </c>
      <c r="B65" s="40" t="s">
        <v>105</v>
      </c>
      <c r="C65" s="16">
        <v>151121</v>
      </c>
      <c r="D65" s="26">
        <f>COUNTIF('Awards Summary'!B:B,"151121")</f>
        <v>0</v>
      </c>
      <c r="E65" s="45">
        <f>SUMIFS('Awards Summary'!H:H,'Awards Summary'!B:B,"151121")</f>
        <v>0</v>
      </c>
      <c r="F65" s="46">
        <f>SUMIFS('Disbursements Summary'!E:E,'Disbursements Summary'!C:C, "151121")</f>
        <v>0</v>
      </c>
      <c r="H65" s="55">
        <f>SUMIFS('Awards Summary'!$H:$H,'Awards Summary'!$B:$B,$C65,'Awards Summary'!$J:$J,"APA")</f>
        <v>0</v>
      </c>
      <c r="I65" s="55">
        <f>SUMIFS('Disbursements Summary'!$E:$E,'Disbursements Summary'!$C:$C,$C65,'Disbursements Summary'!$A:$A,"APA")</f>
        <v>0</v>
      </c>
      <c r="J65" s="55">
        <f>SUMIFS('Awards Summary'!$H:$H,'Awards Summary'!$B:$B,$C65,'Awards Summary'!$J:$J,"Ag&amp;Horse")</f>
        <v>0</v>
      </c>
      <c r="K65" s="55">
        <f>SUMIFS('Disbursements Summary'!$E:$E,'Disbursements Summary'!$C:$C,$C65,'Disbursements Summary'!$A:$A,"Ag&amp;Horse")</f>
        <v>0</v>
      </c>
      <c r="L65" s="55">
        <f>SUMIFS('Awards Summary'!$H:$H,'Awards Summary'!$B:$B,$C65,'Awards Summary'!$J:$J,"ACAA")</f>
        <v>0</v>
      </c>
      <c r="M65" s="55">
        <f>SUMIFS('Disbursements Summary'!$E:$E,'Disbursements Summary'!$C:$C,$C65,'Disbursements Summary'!$A:$A,"ACAA")</f>
        <v>0</v>
      </c>
      <c r="N65" s="55">
        <f>SUMIFS('Awards Summary'!$H:$H,'Awards Summary'!$B:$B,$C65,'Awards Summary'!$J:$J,"PortAlbany")</f>
        <v>0</v>
      </c>
      <c r="O65" s="55">
        <f>SUMIFS('Disbursements Summary'!$E:$E,'Disbursements Summary'!$C:$C,$C65,'Disbursements Summary'!$A:$A,"PortAlbany")</f>
        <v>0</v>
      </c>
      <c r="P65" s="55">
        <f>SUMIFS('Awards Summary'!$H:$H,'Awards Summary'!$B:$B,$C65,'Awards Summary'!$J:$J,"SLA")</f>
        <v>0</v>
      </c>
      <c r="Q65" s="55">
        <f>SUMIFS('Disbursements Summary'!$E:$E,'Disbursements Summary'!$C:$C,$C65,'Disbursements Summary'!$A:$A,"SLA")</f>
        <v>0</v>
      </c>
      <c r="R65" s="55">
        <f>SUMIFS('Awards Summary'!$H:$H,'Awards Summary'!$B:$B,$C65,'Awards Summary'!$J:$J,"BPCA")</f>
        <v>0</v>
      </c>
      <c r="S65" s="55">
        <f>SUMIFS('Disbursements Summary'!$E:$E,'Disbursements Summary'!$C:$C,$C65,'Disbursements Summary'!$A:$A,"BPCA")</f>
        <v>0</v>
      </c>
      <c r="T65" s="55">
        <f>SUMIFS('Awards Summary'!$H:$H,'Awards Summary'!$B:$B,$C65,'Awards Summary'!$J:$J,"ELECTIONS")</f>
        <v>0</v>
      </c>
      <c r="U65" s="55">
        <f>SUMIFS('Disbursements Summary'!$E:$E,'Disbursements Summary'!$C:$C,$C65,'Disbursements Summary'!$A:$A,"ELECTIONS")</f>
        <v>0</v>
      </c>
      <c r="V65" s="55">
        <f>SUMIFS('Awards Summary'!$H:$H,'Awards Summary'!$B:$B,$C65,'Awards Summary'!$J:$J,"BFSA")</f>
        <v>0</v>
      </c>
      <c r="W65" s="55">
        <f>SUMIFS('Disbursements Summary'!$E:$E,'Disbursements Summary'!$C:$C,$C65,'Disbursements Summary'!$A:$A,"BFSA")</f>
        <v>0</v>
      </c>
      <c r="X65" s="55">
        <f>SUMIFS('Awards Summary'!$H:$H,'Awards Summary'!$B:$B,$C65,'Awards Summary'!$J:$J,"CDTA")</f>
        <v>0</v>
      </c>
      <c r="Y65" s="55">
        <f>SUMIFS('Disbursements Summary'!$E:$E,'Disbursements Summary'!$C:$C,$C65,'Disbursements Summary'!$A:$A,"CDTA")</f>
        <v>0</v>
      </c>
      <c r="Z65" s="55">
        <f>SUMIFS('Awards Summary'!$H:$H,'Awards Summary'!$B:$B,$C65,'Awards Summary'!$J:$J,"CCWSA")</f>
        <v>0</v>
      </c>
      <c r="AA65" s="55">
        <f>SUMIFS('Disbursements Summary'!$E:$E,'Disbursements Summary'!$C:$C,$C65,'Disbursements Summary'!$A:$A,"CCWSA")</f>
        <v>0</v>
      </c>
      <c r="AB65" s="55">
        <f>SUMIFS('Awards Summary'!$H:$H,'Awards Summary'!$B:$B,$C65,'Awards Summary'!$J:$J,"CNYRTA")</f>
        <v>0</v>
      </c>
      <c r="AC65" s="55">
        <f>SUMIFS('Disbursements Summary'!$E:$E,'Disbursements Summary'!$C:$C,$C65,'Disbursements Summary'!$A:$A,"CNYRTA")</f>
        <v>0</v>
      </c>
      <c r="AD65" s="55">
        <f>SUMIFS('Awards Summary'!$H:$H,'Awards Summary'!$B:$B,$C65,'Awards Summary'!$J:$J,"CUCF")</f>
        <v>0</v>
      </c>
      <c r="AE65" s="55">
        <f>SUMIFS('Disbursements Summary'!$E:$E,'Disbursements Summary'!$C:$C,$C65,'Disbursements Summary'!$A:$A,"CUCF")</f>
        <v>0</v>
      </c>
      <c r="AF65" s="55">
        <f>SUMIFS('Awards Summary'!$H:$H,'Awards Summary'!$B:$B,$C65,'Awards Summary'!$J:$J,"CUNY")</f>
        <v>0</v>
      </c>
      <c r="AG65" s="55">
        <f>SUMIFS('Disbursements Summary'!$E:$E,'Disbursements Summary'!$C:$C,$C65,'Disbursements Summary'!$A:$A,"CUNY")</f>
        <v>0</v>
      </c>
      <c r="AH65" s="55">
        <f>SUMIFS('Awards Summary'!$H:$H,'Awards Summary'!$B:$B,$C65,'Awards Summary'!$J:$J,"ARTS")</f>
        <v>0</v>
      </c>
      <c r="AI65" s="55">
        <f>SUMIFS('Disbursements Summary'!$E:$E,'Disbursements Summary'!$C:$C,$C65,'Disbursements Summary'!$A:$A,"ARTS")</f>
        <v>0</v>
      </c>
      <c r="AJ65" s="55">
        <f>SUMIFS('Awards Summary'!$H:$H,'Awards Summary'!$B:$B,$C65,'Awards Summary'!$J:$J,"AG&amp;MKTS")</f>
        <v>0</v>
      </c>
      <c r="AK65" s="55">
        <f>SUMIFS('Disbursements Summary'!$E:$E,'Disbursements Summary'!$C:$C,$C65,'Disbursements Summary'!$A:$A,"AG&amp;MKTS")</f>
        <v>0</v>
      </c>
      <c r="AL65" s="55">
        <f>SUMIFS('Awards Summary'!$H:$H,'Awards Summary'!$B:$B,$C65,'Awards Summary'!$J:$J,"CS")</f>
        <v>0</v>
      </c>
      <c r="AM65" s="55">
        <f>SUMIFS('Disbursements Summary'!$E:$E,'Disbursements Summary'!$C:$C,$C65,'Disbursements Summary'!$A:$A,"CS")</f>
        <v>0</v>
      </c>
      <c r="AN65" s="55">
        <f>SUMIFS('Awards Summary'!$H:$H,'Awards Summary'!$B:$B,$C65,'Awards Summary'!$J:$J,"DOCCS")</f>
        <v>0</v>
      </c>
      <c r="AO65" s="55">
        <f>SUMIFS('Disbursements Summary'!$E:$E,'Disbursements Summary'!$C:$C,$C65,'Disbursements Summary'!$A:$A,"DOCCS")</f>
        <v>0</v>
      </c>
      <c r="AP65" s="55">
        <f>SUMIFS('Awards Summary'!$H:$H,'Awards Summary'!$B:$B,$C65,'Awards Summary'!$J:$J,"DED")</f>
        <v>0</v>
      </c>
      <c r="AQ65" s="55">
        <f>SUMIFS('Disbursements Summary'!$E:$E,'Disbursements Summary'!$C:$C,$C65,'Disbursements Summary'!$A:$A,"DED")</f>
        <v>0</v>
      </c>
      <c r="AR65" s="55">
        <f>SUMIFS('Awards Summary'!$H:$H,'Awards Summary'!$B:$B,$C65,'Awards Summary'!$J:$J,"DEC")</f>
        <v>0</v>
      </c>
      <c r="AS65" s="55">
        <f>SUMIFS('Disbursements Summary'!$E:$E,'Disbursements Summary'!$C:$C,$C65,'Disbursements Summary'!$A:$A,"DEC")</f>
        <v>0</v>
      </c>
      <c r="AT65" s="55">
        <f>SUMIFS('Awards Summary'!$H:$H,'Awards Summary'!$B:$B,$C65,'Awards Summary'!$J:$J,"DFS")</f>
        <v>0</v>
      </c>
      <c r="AU65" s="55">
        <f>SUMIFS('Disbursements Summary'!$E:$E,'Disbursements Summary'!$C:$C,$C65,'Disbursements Summary'!$A:$A,"DFS")</f>
        <v>0</v>
      </c>
      <c r="AV65" s="55">
        <f>SUMIFS('Awards Summary'!$H:$H,'Awards Summary'!$B:$B,$C65,'Awards Summary'!$J:$J,"DOH")</f>
        <v>0</v>
      </c>
      <c r="AW65" s="55">
        <f>SUMIFS('Disbursements Summary'!$E:$E,'Disbursements Summary'!$C:$C,$C65,'Disbursements Summary'!$A:$A,"DOH")</f>
        <v>0</v>
      </c>
      <c r="AX65" s="55">
        <f>SUMIFS('Awards Summary'!$H:$H,'Awards Summary'!$B:$B,$C65,'Awards Summary'!$J:$J,"DOL")</f>
        <v>0</v>
      </c>
      <c r="AY65" s="55">
        <f>SUMIFS('Disbursements Summary'!$E:$E,'Disbursements Summary'!$C:$C,$C65,'Disbursements Summary'!$A:$A,"DOL")</f>
        <v>0</v>
      </c>
      <c r="AZ65" s="55">
        <f>SUMIFS('Awards Summary'!$H:$H,'Awards Summary'!$B:$B,$C65,'Awards Summary'!$J:$J,"DMV")</f>
        <v>0</v>
      </c>
      <c r="BA65" s="55">
        <f>SUMIFS('Disbursements Summary'!$E:$E,'Disbursements Summary'!$C:$C,$C65,'Disbursements Summary'!$A:$A,"DMV")</f>
        <v>0</v>
      </c>
      <c r="BB65" s="55">
        <f>SUMIFS('Awards Summary'!$H:$H,'Awards Summary'!$B:$B,$C65,'Awards Summary'!$J:$J,"DPS")</f>
        <v>0</v>
      </c>
      <c r="BC65" s="55">
        <f>SUMIFS('Disbursements Summary'!$E:$E,'Disbursements Summary'!$C:$C,$C65,'Disbursements Summary'!$A:$A,"DPS")</f>
        <v>0</v>
      </c>
      <c r="BD65" s="55">
        <f>SUMIFS('Awards Summary'!$H:$H,'Awards Summary'!$B:$B,$C65,'Awards Summary'!$J:$J,"DOS")</f>
        <v>0</v>
      </c>
      <c r="BE65" s="55">
        <f>SUMIFS('Disbursements Summary'!$E:$E,'Disbursements Summary'!$C:$C,$C65,'Disbursements Summary'!$A:$A,"DOS")</f>
        <v>0</v>
      </c>
      <c r="BF65" s="55">
        <f>SUMIFS('Awards Summary'!$H:$H,'Awards Summary'!$B:$B,$C65,'Awards Summary'!$J:$J,"TAX")</f>
        <v>0</v>
      </c>
      <c r="BG65" s="55">
        <f>SUMIFS('Disbursements Summary'!$E:$E,'Disbursements Summary'!$C:$C,$C65,'Disbursements Summary'!$A:$A,"TAX")</f>
        <v>0</v>
      </c>
      <c r="BH65" s="55">
        <f>SUMIFS('Awards Summary'!$H:$H,'Awards Summary'!$B:$B,$C65,'Awards Summary'!$J:$J,"DOT")</f>
        <v>0</v>
      </c>
      <c r="BI65" s="55">
        <f>SUMIFS('Disbursements Summary'!$E:$E,'Disbursements Summary'!$C:$C,$C65,'Disbursements Summary'!$A:$A,"DOT")</f>
        <v>0</v>
      </c>
      <c r="BJ65" s="55">
        <f>SUMIFS('Awards Summary'!$H:$H,'Awards Summary'!$B:$B,$C65,'Awards Summary'!$J:$J,"DANC")</f>
        <v>0</v>
      </c>
      <c r="BK65" s="55">
        <f>SUMIFS('Disbursements Summary'!$E:$E,'Disbursements Summary'!$C:$C,$C65,'Disbursements Summary'!$A:$A,"DANC")</f>
        <v>0</v>
      </c>
      <c r="BL65" s="55">
        <f>SUMIFS('Awards Summary'!$H:$H,'Awards Summary'!$B:$B,$C65,'Awards Summary'!$J:$J,"DOB")</f>
        <v>0</v>
      </c>
      <c r="BM65" s="55">
        <f>SUMIFS('Disbursements Summary'!$E:$E,'Disbursements Summary'!$C:$C,$C65,'Disbursements Summary'!$A:$A,"DOB")</f>
        <v>0</v>
      </c>
      <c r="BN65" s="55">
        <f>SUMIFS('Awards Summary'!$H:$H,'Awards Summary'!$B:$B,$C65,'Awards Summary'!$J:$J,"DCJS")</f>
        <v>0</v>
      </c>
      <c r="BO65" s="55">
        <f>SUMIFS('Disbursements Summary'!$E:$E,'Disbursements Summary'!$C:$C,$C65,'Disbursements Summary'!$A:$A,"DCJS")</f>
        <v>0</v>
      </c>
      <c r="BP65" s="55">
        <f>SUMIFS('Awards Summary'!$H:$H,'Awards Summary'!$B:$B,$C65,'Awards Summary'!$J:$J,"DHSES")</f>
        <v>0</v>
      </c>
      <c r="BQ65" s="55">
        <f>SUMIFS('Disbursements Summary'!$E:$E,'Disbursements Summary'!$C:$C,$C65,'Disbursements Summary'!$A:$A,"DHSES")</f>
        <v>0</v>
      </c>
      <c r="BR65" s="55">
        <f>SUMIFS('Awards Summary'!$H:$H,'Awards Summary'!$B:$B,$C65,'Awards Summary'!$J:$J,"DHR")</f>
        <v>0</v>
      </c>
      <c r="BS65" s="55">
        <f>SUMIFS('Disbursements Summary'!$E:$E,'Disbursements Summary'!$C:$C,$C65,'Disbursements Summary'!$A:$A,"DHR")</f>
        <v>0</v>
      </c>
      <c r="BT65" s="55">
        <f>SUMIFS('Awards Summary'!$H:$H,'Awards Summary'!$B:$B,$C65,'Awards Summary'!$J:$J,"DMNA")</f>
        <v>0</v>
      </c>
      <c r="BU65" s="55">
        <f>SUMIFS('Disbursements Summary'!$E:$E,'Disbursements Summary'!$C:$C,$C65,'Disbursements Summary'!$A:$A,"DMNA")</f>
        <v>0</v>
      </c>
      <c r="BV65" s="55">
        <f>SUMIFS('Awards Summary'!$H:$H,'Awards Summary'!$B:$B,$C65,'Awards Summary'!$J:$J,"TROOPERS")</f>
        <v>0</v>
      </c>
      <c r="BW65" s="55">
        <f>SUMIFS('Disbursements Summary'!$E:$E,'Disbursements Summary'!$C:$C,$C65,'Disbursements Summary'!$A:$A,"TROOPERS")</f>
        <v>0</v>
      </c>
      <c r="BX65" s="55">
        <f>SUMIFS('Awards Summary'!$H:$H,'Awards Summary'!$B:$B,$C65,'Awards Summary'!$J:$J,"DVA")</f>
        <v>0</v>
      </c>
      <c r="BY65" s="55">
        <f>SUMIFS('Disbursements Summary'!$E:$E,'Disbursements Summary'!$C:$C,$C65,'Disbursements Summary'!$A:$A,"DVA")</f>
        <v>0</v>
      </c>
      <c r="BZ65" s="55">
        <f>SUMIFS('Awards Summary'!$H:$H,'Awards Summary'!$B:$B,$C65,'Awards Summary'!$J:$J,"DASNY")</f>
        <v>0</v>
      </c>
      <c r="CA65" s="55">
        <f>SUMIFS('Disbursements Summary'!$E:$E,'Disbursements Summary'!$C:$C,$C65,'Disbursements Summary'!$A:$A,"DASNY")</f>
        <v>0</v>
      </c>
      <c r="CB65" s="55">
        <f>SUMIFS('Awards Summary'!$H:$H,'Awards Summary'!$B:$B,$C65,'Awards Summary'!$J:$J,"EGG")</f>
        <v>0</v>
      </c>
      <c r="CC65" s="55">
        <f>SUMIFS('Disbursements Summary'!$E:$E,'Disbursements Summary'!$C:$C,$C65,'Disbursements Summary'!$A:$A,"EGG")</f>
        <v>0</v>
      </c>
      <c r="CD65" s="55">
        <f>SUMIFS('Awards Summary'!$H:$H,'Awards Summary'!$B:$B,$C65,'Awards Summary'!$J:$J,"ESD")</f>
        <v>0</v>
      </c>
      <c r="CE65" s="55">
        <f>SUMIFS('Disbursements Summary'!$E:$E,'Disbursements Summary'!$C:$C,$C65,'Disbursements Summary'!$A:$A,"ESD")</f>
        <v>0</v>
      </c>
      <c r="CF65" s="55">
        <f>SUMIFS('Awards Summary'!$H:$H,'Awards Summary'!$B:$B,$C65,'Awards Summary'!$J:$J,"EFC")</f>
        <v>0</v>
      </c>
      <c r="CG65" s="55">
        <f>SUMIFS('Disbursements Summary'!$E:$E,'Disbursements Summary'!$C:$C,$C65,'Disbursements Summary'!$A:$A,"EFC")</f>
        <v>0</v>
      </c>
      <c r="CH65" s="55">
        <f>SUMIFS('Awards Summary'!$H:$H,'Awards Summary'!$B:$B,$C65,'Awards Summary'!$J:$J,"ECFSA")</f>
        <v>0</v>
      </c>
      <c r="CI65" s="55">
        <f>SUMIFS('Disbursements Summary'!$E:$E,'Disbursements Summary'!$C:$C,$C65,'Disbursements Summary'!$A:$A,"ECFSA")</f>
        <v>0</v>
      </c>
      <c r="CJ65" s="55">
        <f>SUMIFS('Awards Summary'!$H:$H,'Awards Summary'!$B:$B,$C65,'Awards Summary'!$J:$J,"ECMC")</f>
        <v>0</v>
      </c>
      <c r="CK65" s="55">
        <f>SUMIFS('Disbursements Summary'!$E:$E,'Disbursements Summary'!$C:$C,$C65,'Disbursements Summary'!$A:$A,"ECMC")</f>
        <v>0</v>
      </c>
      <c r="CL65" s="55">
        <f>SUMIFS('Awards Summary'!$H:$H,'Awards Summary'!$B:$B,$C65,'Awards Summary'!$J:$J,"CHAMBER")</f>
        <v>0</v>
      </c>
      <c r="CM65" s="55">
        <f>SUMIFS('Disbursements Summary'!$E:$E,'Disbursements Summary'!$C:$C,$C65,'Disbursements Summary'!$A:$A,"CHAMBER")</f>
        <v>0</v>
      </c>
      <c r="CN65" s="55">
        <f>SUMIFS('Awards Summary'!$H:$H,'Awards Summary'!$B:$B,$C65,'Awards Summary'!$J:$J,"GAMING")</f>
        <v>0</v>
      </c>
      <c r="CO65" s="55">
        <f>SUMIFS('Disbursements Summary'!$E:$E,'Disbursements Summary'!$C:$C,$C65,'Disbursements Summary'!$A:$A,"GAMING")</f>
        <v>0</v>
      </c>
      <c r="CP65" s="55">
        <f>SUMIFS('Awards Summary'!$H:$H,'Awards Summary'!$B:$B,$C65,'Awards Summary'!$J:$J,"GOER")</f>
        <v>0</v>
      </c>
      <c r="CQ65" s="55">
        <f>SUMIFS('Disbursements Summary'!$E:$E,'Disbursements Summary'!$C:$C,$C65,'Disbursements Summary'!$A:$A,"GOER")</f>
        <v>0</v>
      </c>
      <c r="CR65" s="55">
        <f>SUMIFS('Awards Summary'!$H:$H,'Awards Summary'!$B:$B,$C65,'Awards Summary'!$J:$J,"HESC")</f>
        <v>0</v>
      </c>
      <c r="CS65" s="55">
        <f>SUMIFS('Disbursements Summary'!$E:$E,'Disbursements Summary'!$C:$C,$C65,'Disbursements Summary'!$A:$A,"HESC")</f>
        <v>0</v>
      </c>
      <c r="CT65" s="55">
        <f>SUMIFS('Awards Summary'!$H:$H,'Awards Summary'!$B:$B,$C65,'Awards Summary'!$J:$J,"GOSR")</f>
        <v>0</v>
      </c>
      <c r="CU65" s="55">
        <f>SUMIFS('Disbursements Summary'!$E:$E,'Disbursements Summary'!$C:$C,$C65,'Disbursements Summary'!$A:$A,"GOSR")</f>
        <v>0</v>
      </c>
      <c r="CV65" s="55">
        <f>SUMIFS('Awards Summary'!$H:$H,'Awards Summary'!$B:$B,$C65,'Awards Summary'!$J:$J,"HRPT")</f>
        <v>0</v>
      </c>
      <c r="CW65" s="55">
        <f>SUMIFS('Disbursements Summary'!$E:$E,'Disbursements Summary'!$C:$C,$C65,'Disbursements Summary'!$A:$A,"HRPT")</f>
        <v>0</v>
      </c>
      <c r="CX65" s="55">
        <f>SUMIFS('Awards Summary'!$H:$H,'Awards Summary'!$B:$B,$C65,'Awards Summary'!$J:$J,"HRBRRD")</f>
        <v>0</v>
      </c>
      <c r="CY65" s="55">
        <f>SUMIFS('Disbursements Summary'!$E:$E,'Disbursements Summary'!$C:$C,$C65,'Disbursements Summary'!$A:$A,"HRBRRD")</f>
        <v>0</v>
      </c>
      <c r="CZ65" s="55">
        <f>SUMIFS('Awards Summary'!$H:$H,'Awards Summary'!$B:$B,$C65,'Awards Summary'!$J:$J,"ITS")</f>
        <v>0</v>
      </c>
      <c r="DA65" s="55">
        <f>SUMIFS('Disbursements Summary'!$E:$E,'Disbursements Summary'!$C:$C,$C65,'Disbursements Summary'!$A:$A,"ITS")</f>
        <v>0</v>
      </c>
      <c r="DB65" s="55">
        <f>SUMIFS('Awards Summary'!$H:$H,'Awards Summary'!$B:$B,$C65,'Awards Summary'!$J:$J,"JAVITS")</f>
        <v>0</v>
      </c>
      <c r="DC65" s="55">
        <f>SUMIFS('Disbursements Summary'!$E:$E,'Disbursements Summary'!$C:$C,$C65,'Disbursements Summary'!$A:$A,"JAVITS")</f>
        <v>0</v>
      </c>
      <c r="DD65" s="55">
        <f>SUMIFS('Awards Summary'!$H:$H,'Awards Summary'!$B:$B,$C65,'Awards Summary'!$J:$J,"JCOPE")</f>
        <v>0</v>
      </c>
      <c r="DE65" s="55">
        <f>SUMIFS('Disbursements Summary'!$E:$E,'Disbursements Summary'!$C:$C,$C65,'Disbursements Summary'!$A:$A,"JCOPE")</f>
        <v>0</v>
      </c>
      <c r="DF65" s="55">
        <f>SUMIFS('Awards Summary'!$H:$H,'Awards Summary'!$B:$B,$C65,'Awards Summary'!$J:$J,"JUSTICE")</f>
        <v>0</v>
      </c>
      <c r="DG65" s="55">
        <f>SUMIFS('Disbursements Summary'!$E:$E,'Disbursements Summary'!$C:$C,$C65,'Disbursements Summary'!$A:$A,"JUSTICE")</f>
        <v>0</v>
      </c>
      <c r="DH65" s="55">
        <f>SUMIFS('Awards Summary'!$H:$H,'Awards Summary'!$B:$B,$C65,'Awards Summary'!$J:$J,"LCWSA")</f>
        <v>0</v>
      </c>
      <c r="DI65" s="55">
        <f>SUMIFS('Disbursements Summary'!$E:$E,'Disbursements Summary'!$C:$C,$C65,'Disbursements Summary'!$A:$A,"LCWSA")</f>
        <v>0</v>
      </c>
      <c r="DJ65" s="55">
        <f>SUMIFS('Awards Summary'!$H:$H,'Awards Summary'!$B:$B,$C65,'Awards Summary'!$J:$J,"LIPA")</f>
        <v>0</v>
      </c>
      <c r="DK65" s="55">
        <f>SUMIFS('Disbursements Summary'!$E:$E,'Disbursements Summary'!$C:$C,$C65,'Disbursements Summary'!$A:$A,"LIPA")</f>
        <v>0</v>
      </c>
      <c r="DL65" s="55">
        <f>SUMIFS('Awards Summary'!$H:$H,'Awards Summary'!$B:$B,$C65,'Awards Summary'!$J:$J,"MTA")</f>
        <v>0</v>
      </c>
      <c r="DM65" s="55">
        <f>SUMIFS('Disbursements Summary'!$E:$E,'Disbursements Summary'!$C:$C,$C65,'Disbursements Summary'!$A:$A,"MTA")</f>
        <v>0</v>
      </c>
      <c r="DN65" s="55">
        <f>SUMIFS('Awards Summary'!$H:$H,'Awards Summary'!$B:$B,$C65,'Awards Summary'!$J:$J,"NIFA")</f>
        <v>0</v>
      </c>
      <c r="DO65" s="55">
        <f>SUMIFS('Disbursements Summary'!$E:$E,'Disbursements Summary'!$C:$C,$C65,'Disbursements Summary'!$A:$A,"NIFA")</f>
        <v>0</v>
      </c>
      <c r="DP65" s="55">
        <f>SUMIFS('Awards Summary'!$H:$H,'Awards Summary'!$B:$B,$C65,'Awards Summary'!$J:$J,"NHCC")</f>
        <v>0</v>
      </c>
      <c r="DQ65" s="55">
        <f>SUMIFS('Disbursements Summary'!$E:$E,'Disbursements Summary'!$C:$C,$C65,'Disbursements Summary'!$A:$A,"NHCC")</f>
        <v>0</v>
      </c>
      <c r="DR65" s="55">
        <f>SUMIFS('Awards Summary'!$H:$H,'Awards Summary'!$B:$B,$C65,'Awards Summary'!$J:$J,"NHT")</f>
        <v>0</v>
      </c>
      <c r="DS65" s="55">
        <f>SUMIFS('Disbursements Summary'!$E:$E,'Disbursements Summary'!$C:$C,$C65,'Disbursements Summary'!$A:$A,"NHT")</f>
        <v>0</v>
      </c>
      <c r="DT65" s="55">
        <f>SUMIFS('Awards Summary'!$H:$H,'Awards Summary'!$B:$B,$C65,'Awards Summary'!$J:$J,"NYPA")</f>
        <v>0</v>
      </c>
      <c r="DU65" s="55">
        <f>SUMIFS('Disbursements Summary'!$E:$E,'Disbursements Summary'!$C:$C,$C65,'Disbursements Summary'!$A:$A,"NYPA")</f>
        <v>0</v>
      </c>
      <c r="DV65" s="55">
        <f>SUMIFS('Awards Summary'!$H:$H,'Awards Summary'!$B:$B,$C65,'Awards Summary'!$J:$J,"NYSBA")</f>
        <v>0</v>
      </c>
      <c r="DW65" s="55">
        <f>SUMIFS('Disbursements Summary'!$E:$E,'Disbursements Summary'!$C:$C,$C65,'Disbursements Summary'!$A:$A,"NYSBA")</f>
        <v>0</v>
      </c>
      <c r="DX65" s="55">
        <f>SUMIFS('Awards Summary'!$H:$H,'Awards Summary'!$B:$B,$C65,'Awards Summary'!$J:$J,"NYSERDA")</f>
        <v>0</v>
      </c>
      <c r="DY65" s="55">
        <f>SUMIFS('Disbursements Summary'!$E:$E,'Disbursements Summary'!$C:$C,$C65,'Disbursements Summary'!$A:$A,"NYSERDA")</f>
        <v>0</v>
      </c>
      <c r="DZ65" s="55">
        <f>SUMIFS('Awards Summary'!$H:$H,'Awards Summary'!$B:$B,$C65,'Awards Summary'!$J:$J,"DHCR")</f>
        <v>0</v>
      </c>
      <c r="EA65" s="55">
        <f>SUMIFS('Disbursements Summary'!$E:$E,'Disbursements Summary'!$C:$C,$C65,'Disbursements Summary'!$A:$A,"DHCR")</f>
        <v>0</v>
      </c>
      <c r="EB65" s="55">
        <f>SUMIFS('Awards Summary'!$H:$H,'Awards Summary'!$B:$B,$C65,'Awards Summary'!$J:$J,"HFA")</f>
        <v>0</v>
      </c>
      <c r="EC65" s="55">
        <f>SUMIFS('Disbursements Summary'!$E:$E,'Disbursements Summary'!$C:$C,$C65,'Disbursements Summary'!$A:$A,"HFA")</f>
        <v>0</v>
      </c>
      <c r="ED65" s="55">
        <f>SUMIFS('Awards Summary'!$H:$H,'Awards Summary'!$B:$B,$C65,'Awards Summary'!$J:$J,"NYSIF")</f>
        <v>0</v>
      </c>
      <c r="EE65" s="55">
        <f>SUMIFS('Disbursements Summary'!$E:$E,'Disbursements Summary'!$C:$C,$C65,'Disbursements Summary'!$A:$A,"NYSIF")</f>
        <v>0</v>
      </c>
      <c r="EF65" s="55">
        <f>SUMIFS('Awards Summary'!$H:$H,'Awards Summary'!$B:$B,$C65,'Awards Summary'!$J:$J,"NYBREDS")</f>
        <v>0</v>
      </c>
      <c r="EG65" s="55">
        <f>SUMIFS('Disbursements Summary'!$E:$E,'Disbursements Summary'!$C:$C,$C65,'Disbursements Summary'!$A:$A,"NYBREDS")</f>
        <v>0</v>
      </c>
      <c r="EH65" s="55">
        <f>SUMIFS('Awards Summary'!$H:$H,'Awards Summary'!$B:$B,$C65,'Awards Summary'!$J:$J,"NYSTA")</f>
        <v>0</v>
      </c>
      <c r="EI65" s="55">
        <f>SUMIFS('Disbursements Summary'!$E:$E,'Disbursements Summary'!$C:$C,$C65,'Disbursements Summary'!$A:$A,"NYSTA")</f>
        <v>0</v>
      </c>
      <c r="EJ65" s="55">
        <f>SUMIFS('Awards Summary'!$H:$H,'Awards Summary'!$B:$B,$C65,'Awards Summary'!$J:$J,"NFWB")</f>
        <v>0</v>
      </c>
      <c r="EK65" s="55">
        <f>SUMIFS('Disbursements Summary'!$E:$E,'Disbursements Summary'!$C:$C,$C65,'Disbursements Summary'!$A:$A,"NFWB")</f>
        <v>0</v>
      </c>
      <c r="EL65" s="55">
        <f>SUMIFS('Awards Summary'!$H:$H,'Awards Summary'!$B:$B,$C65,'Awards Summary'!$J:$J,"NFTA")</f>
        <v>0</v>
      </c>
      <c r="EM65" s="55">
        <f>SUMIFS('Disbursements Summary'!$E:$E,'Disbursements Summary'!$C:$C,$C65,'Disbursements Summary'!$A:$A,"NFTA")</f>
        <v>0</v>
      </c>
      <c r="EN65" s="55">
        <f>SUMIFS('Awards Summary'!$H:$H,'Awards Summary'!$B:$B,$C65,'Awards Summary'!$J:$J,"OPWDD")</f>
        <v>0</v>
      </c>
      <c r="EO65" s="55">
        <f>SUMIFS('Disbursements Summary'!$E:$E,'Disbursements Summary'!$C:$C,$C65,'Disbursements Summary'!$A:$A,"OPWDD")</f>
        <v>0</v>
      </c>
      <c r="EP65" s="55">
        <f>SUMIFS('Awards Summary'!$H:$H,'Awards Summary'!$B:$B,$C65,'Awards Summary'!$J:$J,"AGING")</f>
        <v>0</v>
      </c>
      <c r="EQ65" s="55">
        <f>SUMIFS('Disbursements Summary'!$E:$E,'Disbursements Summary'!$C:$C,$C65,'Disbursements Summary'!$A:$A,"AGING")</f>
        <v>0</v>
      </c>
      <c r="ER65" s="55">
        <f>SUMIFS('Awards Summary'!$H:$H,'Awards Summary'!$B:$B,$C65,'Awards Summary'!$J:$J,"OPDV")</f>
        <v>0</v>
      </c>
      <c r="ES65" s="55">
        <f>SUMIFS('Disbursements Summary'!$E:$E,'Disbursements Summary'!$C:$C,$C65,'Disbursements Summary'!$A:$A,"OPDV")</f>
        <v>0</v>
      </c>
      <c r="ET65" s="55">
        <f>SUMIFS('Awards Summary'!$H:$H,'Awards Summary'!$B:$B,$C65,'Awards Summary'!$J:$J,"OVS")</f>
        <v>0</v>
      </c>
      <c r="EU65" s="55">
        <f>SUMIFS('Disbursements Summary'!$E:$E,'Disbursements Summary'!$C:$C,$C65,'Disbursements Summary'!$A:$A,"OVS")</f>
        <v>0</v>
      </c>
      <c r="EV65" s="55">
        <f>SUMIFS('Awards Summary'!$H:$H,'Awards Summary'!$B:$B,$C65,'Awards Summary'!$J:$J,"OASAS")</f>
        <v>0</v>
      </c>
      <c r="EW65" s="55">
        <f>SUMIFS('Disbursements Summary'!$E:$E,'Disbursements Summary'!$C:$C,$C65,'Disbursements Summary'!$A:$A,"OASAS")</f>
        <v>0</v>
      </c>
      <c r="EX65" s="55">
        <f>SUMIFS('Awards Summary'!$H:$H,'Awards Summary'!$B:$B,$C65,'Awards Summary'!$J:$J,"OCFS")</f>
        <v>0</v>
      </c>
      <c r="EY65" s="55">
        <f>SUMIFS('Disbursements Summary'!$E:$E,'Disbursements Summary'!$C:$C,$C65,'Disbursements Summary'!$A:$A,"OCFS")</f>
        <v>0</v>
      </c>
      <c r="EZ65" s="55">
        <f>SUMIFS('Awards Summary'!$H:$H,'Awards Summary'!$B:$B,$C65,'Awards Summary'!$J:$J,"OGS")</f>
        <v>0</v>
      </c>
      <c r="FA65" s="55">
        <f>SUMIFS('Disbursements Summary'!$E:$E,'Disbursements Summary'!$C:$C,$C65,'Disbursements Summary'!$A:$A,"OGS")</f>
        <v>0</v>
      </c>
      <c r="FB65" s="55">
        <f>SUMIFS('Awards Summary'!$H:$H,'Awards Summary'!$B:$B,$C65,'Awards Summary'!$J:$J,"OMH")</f>
        <v>0</v>
      </c>
      <c r="FC65" s="55">
        <f>SUMIFS('Disbursements Summary'!$E:$E,'Disbursements Summary'!$C:$C,$C65,'Disbursements Summary'!$A:$A,"OMH")</f>
        <v>0</v>
      </c>
      <c r="FD65" s="55">
        <f>SUMIFS('Awards Summary'!$H:$H,'Awards Summary'!$B:$B,$C65,'Awards Summary'!$J:$J,"PARKS")</f>
        <v>0</v>
      </c>
      <c r="FE65" s="55">
        <f>SUMIFS('Disbursements Summary'!$E:$E,'Disbursements Summary'!$C:$C,$C65,'Disbursements Summary'!$A:$A,"PARKS")</f>
        <v>0</v>
      </c>
      <c r="FF65" s="55">
        <f>SUMIFS('Awards Summary'!$H:$H,'Awards Summary'!$B:$B,$C65,'Awards Summary'!$J:$J,"OTDA")</f>
        <v>0</v>
      </c>
      <c r="FG65" s="55">
        <f>SUMIFS('Disbursements Summary'!$E:$E,'Disbursements Summary'!$C:$C,$C65,'Disbursements Summary'!$A:$A,"OTDA")</f>
        <v>0</v>
      </c>
      <c r="FH65" s="55">
        <f>SUMIFS('Awards Summary'!$H:$H,'Awards Summary'!$B:$B,$C65,'Awards Summary'!$J:$J,"OIG")</f>
        <v>0</v>
      </c>
      <c r="FI65" s="55">
        <f>SUMIFS('Disbursements Summary'!$E:$E,'Disbursements Summary'!$C:$C,$C65,'Disbursements Summary'!$A:$A,"OIG")</f>
        <v>0</v>
      </c>
      <c r="FJ65" s="55">
        <f>SUMIFS('Awards Summary'!$H:$H,'Awards Summary'!$B:$B,$C65,'Awards Summary'!$J:$J,"OMIG")</f>
        <v>0</v>
      </c>
      <c r="FK65" s="55">
        <f>SUMIFS('Disbursements Summary'!$E:$E,'Disbursements Summary'!$C:$C,$C65,'Disbursements Summary'!$A:$A,"OMIG")</f>
        <v>0</v>
      </c>
      <c r="FL65" s="55">
        <f>SUMIFS('Awards Summary'!$H:$H,'Awards Summary'!$B:$B,$C65,'Awards Summary'!$J:$J,"OSC")</f>
        <v>0</v>
      </c>
      <c r="FM65" s="55">
        <f>SUMIFS('Disbursements Summary'!$E:$E,'Disbursements Summary'!$C:$C,$C65,'Disbursements Summary'!$A:$A,"OSC")</f>
        <v>0</v>
      </c>
      <c r="FN65" s="55">
        <f>SUMIFS('Awards Summary'!$H:$H,'Awards Summary'!$B:$B,$C65,'Awards Summary'!$J:$J,"OWIG")</f>
        <v>0</v>
      </c>
      <c r="FO65" s="55">
        <f>SUMIFS('Disbursements Summary'!$E:$E,'Disbursements Summary'!$C:$C,$C65,'Disbursements Summary'!$A:$A,"OWIG")</f>
        <v>0</v>
      </c>
      <c r="FP65" s="55">
        <f>SUMIFS('Awards Summary'!$H:$H,'Awards Summary'!$B:$B,$C65,'Awards Summary'!$J:$J,"OGDEN")</f>
        <v>0</v>
      </c>
      <c r="FQ65" s="55">
        <f>SUMIFS('Disbursements Summary'!$E:$E,'Disbursements Summary'!$C:$C,$C65,'Disbursements Summary'!$A:$A,"OGDEN")</f>
        <v>0</v>
      </c>
      <c r="FR65" s="55">
        <f>SUMIFS('Awards Summary'!$H:$H,'Awards Summary'!$B:$B,$C65,'Awards Summary'!$J:$J,"ORDA")</f>
        <v>0</v>
      </c>
      <c r="FS65" s="55">
        <f>SUMIFS('Disbursements Summary'!$E:$E,'Disbursements Summary'!$C:$C,$C65,'Disbursements Summary'!$A:$A,"ORDA")</f>
        <v>0</v>
      </c>
      <c r="FT65" s="55">
        <f>SUMIFS('Awards Summary'!$H:$H,'Awards Summary'!$B:$B,$C65,'Awards Summary'!$J:$J,"OSWEGO")</f>
        <v>0</v>
      </c>
      <c r="FU65" s="55">
        <f>SUMIFS('Disbursements Summary'!$E:$E,'Disbursements Summary'!$C:$C,$C65,'Disbursements Summary'!$A:$A,"OSWEGO")</f>
        <v>0</v>
      </c>
      <c r="FV65" s="55">
        <f>SUMIFS('Awards Summary'!$H:$H,'Awards Summary'!$B:$B,$C65,'Awards Summary'!$J:$J,"PERB")</f>
        <v>0</v>
      </c>
      <c r="FW65" s="55">
        <f>SUMIFS('Disbursements Summary'!$E:$E,'Disbursements Summary'!$C:$C,$C65,'Disbursements Summary'!$A:$A,"PERB")</f>
        <v>0</v>
      </c>
      <c r="FX65" s="55">
        <f>SUMIFS('Awards Summary'!$H:$H,'Awards Summary'!$B:$B,$C65,'Awards Summary'!$J:$J,"RGRTA")</f>
        <v>0</v>
      </c>
      <c r="FY65" s="55">
        <f>SUMIFS('Disbursements Summary'!$E:$E,'Disbursements Summary'!$C:$C,$C65,'Disbursements Summary'!$A:$A,"RGRTA")</f>
        <v>0</v>
      </c>
      <c r="FZ65" s="55">
        <f>SUMIFS('Awards Summary'!$H:$H,'Awards Summary'!$B:$B,$C65,'Awards Summary'!$J:$J,"RIOC")</f>
        <v>0</v>
      </c>
      <c r="GA65" s="55">
        <f>SUMIFS('Disbursements Summary'!$E:$E,'Disbursements Summary'!$C:$C,$C65,'Disbursements Summary'!$A:$A,"RIOC")</f>
        <v>0</v>
      </c>
      <c r="GB65" s="55">
        <f>SUMIFS('Awards Summary'!$H:$H,'Awards Summary'!$B:$B,$C65,'Awards Summary'!$J:$J,"RPCI")</f>
        <v>0</v>
      </c>
      <c r="GC65" s="55">
        <f>SUMIFS('Disbursements Summary'!$E:$E,'Disbursements Summary'!$C:$C,$C65,'Disbursements Summary'!$A:$A,"RPCI")</f>
        <v>0</v>
      </c>
      <c r="GD65" s="55">
        <f>SUMIFS('Awards Summary'!$H:$H,'Awards Summary'!$B:$B,$C65,'Awards Summary'!$J:$J,"SMDA")</f>
        <v>0</v>
      </c>
      <c r="GE65" s="55">
        <f>SUMIFS('Disbursements Summary'!$E:$E,'Disbursements Summary'!$C:$C,$C65,'Disbursements Summary'!$A:$A,"SMDA")</f>
        <v>0</v>
      </c>
      <c r="GF65" s="55">
        <f>SUMIFS('Awards Summary'!$H:$H,'Awards Summary'!$B:$B,$C65,'Awards Summary'!$J:$J,"SCOC")</f>
        <v>0</v>
      </c>
      <c r="GG65" s="55">
        <f>SUMIFS('Disbursements Summary'!$E:$E,'Disbursements Summary'!$C:$C,$C65,'Disbursements Summary'!$A:$A,"SCOC")</f>
        <v>0</v>
      </c>
      <c r="GH65" s="55">
        <f>SUMIFS('Awards Summary'!$H:$H,'Awards Summary'!$B:$B,$C65,'Awards Summary'!$J:$J,"SUCF")</f>
        <v>0</v>
      </c>
      <c r="GI65" s="55">
        <f>SUMIFS('Disbursements Summary'!$E:$E,'Disbursements Summary'!$C:$C,$C65,'Disbursements Summary'!$A:$A,"SUCF")</f>
        <v>0</v>
      </c>
      <c r="GJ65" s="55">
        <f>SUMIFS('Awards Summary'!$H:$H,'Awards Summary'!$B:$B,$C65,'Awards Summary'!$J:$J,"SUNY")</f>
        <v>0</v>
      </c>
      <c r="GK65" s="55">
        <f>SUMIFS('Disbursements Summary'!$E:$E,'Disbursements Summary'!$C:$C,$C65,'Disbursements Summary'!$A:$A,"SUNY")</f>
        <v>0</v>
      </c>
      <c r="GL65" s="55">
        <f>SUMIFS('Awards Summary'!$H:$H,'Awards Summary'!$B:$B,$C65,'Awards Summary'!$J:$J,"SRAA")</f>
        <v>0</v>
      </c>
      <c r="GM65" s="55">
        <f>SUMIFS('Disbursements Summary'!$E:$E,'Disbursements Summary'!$C:$C,$C65,'Disbursements Summary'!$A:$A,"SRAA")</f>
        <v>0</v>
      </c>
      <c r="GN65" s="55">
        <f>SUMIFS('Awards Summary'!$H:$H,'Awards Summary'!$B:$B,$C65,'Awards Summary'!$J:$J,"UNDC")</f>
        <v>0</v>
      </c>
      <c r="GO65" s="55">
        <f>SUMIFS('Disbursements Summary'!$E:$E,'Disbursements Summary'!$C:$C,$C65,'Disbursements Summary'!$A:$A,"UNDC")</f>
        <v>0</v>
      </c>
      <c r="GP65" s="55">
        <f>SUMIFS('Awards Summary'!$H:$H,'Awards Summary'!$B:$B,$C65,'Awards Summary'!$J:$J,"MVWA")</f>
        <v>0</v>
      </c>
      <c r="GQ65" s="55">
        <f>SUMIFS('Disbursements Summary'!$E:$E,'Disbursements Summary'!$C:$C,$C65,'Disbursements Summary'!$A:$A,"MVWA")</f>
        <v>0</v>
      </c>
      <c r="GR65" s="55">
        <f>SUMIFS('Awards Summary'!$H:$H,'Awards Summary'!$B:$B,$C65,'Awards Summary'!$J:$J,"WMC")</f>
        <v>0</v>
      </c>
      <c r="GS65" s="55">
        <f>SUMIFS('Disbursements Summary'!$E:$E,'Disbursements Summary'!$C:$C,$C65,'Disbursements Summary'!$A:$A,"WMC")</f>
        <v>0</v>
      </c>
      <c r="GT65" s="55">
        <f>SUMIFS('Awards Summary'!$H:$H,'Awards Summary'!$B:$B,$C65,'Awards Summary'!$J:$J,"WCB")</f>
        <v>0</v>
      </c>
      <c r="GU65" s="55">
        <f>SUMIFS('Disbursements Summary'!$E:$E,'Disbursements Summary'!$C:$C,$C65,'Disbursements Summary'!$A:$A,"WCB")</f>
        <v>0</v>
      </c>
      <c r="GV65" s="32">
        <f t="shared" si="5"/>
        <v>0</v>
      </c>
      <c r="GW65" s="32">
        <f t="shared" si="6"/>
        <v>0</v>
      </c>
      <c r="GX65" s="30" t="b">
        <f t="shared" si="7"/>
        <v>1</v>
      </c>
      <c r="GY65" s="30" t="b">
        <f t="shared" si="8"/>
        <v>1</v>
      </c>
    </row>
    <row r="66" spans="1:207" s="30" customFormat="1">
      <c r="A66" s="22" t="str">
        <f t="shared" si="0"/>
        <v/>
      </c>
      <c r="B66" s="40" t="s">
        <v>113</v>
      </c>
      <c r="C66" s="16">
        <v>151129</v>
      </c>
      <c r="D66" s="26">
        <f>COUNTIF('Awards Summary'!B:B,"151129")</f>
        <v>0</v>
      </c>
      <c r="E66" s="45">
        <f>SUMIFS('Awards Summary'!H:H,'Awards Summary'!B:B,"151129")</f>
        <v>0</v>
      </c>
      <c r="F66" s="46">
        <f>SUMIFS('Disbursements Summary'!E:E,'Disbursements Summary'!C:C, "151129")</f>
        <v>0</v>
      </c>
      <c r="H66" s="55">
        <f>SUMIFS('Awards Summary'!$H:$H,'Awards Summary'!$B:$B,$C66,'Awards Summary'!$J:$J,"APA")</f>
        <v>0</v>
      </c>
      <c r="I66" s="55">
        <f>SUMIFS('Disbursements Summary'!$E:$E,'Disbursements Summary'!$C:$C,$C66,'Disbursements Summary'!$A:$A,"APA")</f>
        <v>0</v>
      </c>
      <c r="J66" s="55">
        <f>SUMIFS('Awards Summary'!$H:$H,'Awards Summary'!$B:$B,$C66,'Awards Summary'!$J:$J,"Ag&amp;Horse")</f>
        <v>0</v>
      </c>
      <c r="K66" s="55">
        <f>SUMIFS('Disbursements Summary'!$E:$E,'Disbursements Summary'!$C:$C,$C66,'Disbursements Summary'!$A:$A,"Ag&amp;Horse")</f>
        <v>0</v>
      </c>
      <c r="L66" s="55">
        <f>SUMIFS('Awards Summary'!$H:$H,'Awards Summary'!$B:$B,$C66,'Awards Summary'!$J:$J,"ACAA")</f>
        <v>0</v>
      </c>
      <c r="M66" s="55">
        <f>SUMIFS('Disbursements Summary'!$E:$E,'Disbursements Summary'!$C:$C,$C66,'Disbursements Summary'!$A:$A,"ACAA")</f>
        <v>0</v>
      </c>
      <c r="N66" s="55">
        <f>SUMIFS('Awards Summary'!$H:$H,'Awards Summary'!$B:$B,$C66,'Awards Summary'!$J:$J,"PortAlbany")</f>
        <v>0</v>
      </c>
      <c r="O66" s="55">
        <f>SUMIFS('Disbursements Summary'!$E:$E,'Disbursements Summary'!$C:$C,$C66,'Disbursements Summary'!$A:$A,"PortAlbany")</f>
        <v>0</v>
      </c>
      <c r="P66" s="55">
        <f>SUMIFS('Awards Summary'!$H:$H,'Awards Summary'!$B:$B,$C66,'Awards Summary'!$J:$J,"SLA")</f>
        <v>0</v>
      </c>
      <c r="Q66" s="55">
        <f>SUMIFS('Disbursements Summary'!$E:$E,'Disbursements Summary'!$C:$C,$C66,'Disbursements Summary'!$A:$A,"SLA")</f>
        <v>0</v>
      </c>
      <c r="R66" s="55">
        <f>SUMIFS('Awards Summary'!$H:$H,'Awards Summary'!$B:$B,$C66,'Awards Summary'!$J:$J,"BPCA")</f>
        <v>0</v>
      </c>
      <c r="S66" s="55">
        <f>SUMIFS('Disbursements Summary'!$E:$E,'Disbursements Summary'!$C:$C,$C66,'Disbursements Summary'!$A:$A,"BPCA")</f>
        <v>0</v>
      </c>
      <c r="T66" s="55">
        <f>SUMIFS('Awards Summary'!$H:$H,'Awards Summary'!$B:$B,$C66,'Awards Summary'!$J:$J,"ELECTIONS")</f>
        <v>0</v>
      </c>
      <c r="U66" s="55">
        <f>SUMIFS('Disbursements Summary'!$E:$E,'Disbursements Summary'!$C:$C,$C66,'Disbursements Summary'!$A:$A,"ELECTIONS")</f>
        <v>0</v>
      </c>
      <c r="V66" s="55">
        <f>SUMIFS('Awards Summary'!$H:$H,'Awards Summary'!$B:$B,$C66,'Awards Summary'!$J:$J,"BFSA")</f>
        <v>0</v>
      </c>
      <c r="W66" s="55">
        <f>SUMIFS('Disbursements Summary'!$E:$E,'Disbursements Summary'!$C:$C,$C66,'Disbursements Summary'!$A:$A,"BFSA")</f>
        <v>0</v>
      </c>
      <c r="X66" s="55">
        <f>SUMIFS('Awards Summary'!$H:$H,'Awards Summary'!$B:$B,$C66,'Awards Summary'!$J:$J,"CDTA")</f>
        <v>0</v>
      </c>
      <c r="Y66" s="55">
        <f>SUMIFS('Disbursements Summary'!$E:$E,'Disbursements Summary'!$C:$C,$C66,'Disbursements Summary'!$A:$A,"CDTA")</f>
        <v>0</v>
      </c>
      <c r="Z66" s="55">
        <f>SUMIFS('Awards Summary'!$H:$H,'Awards Summary'!$B:$B,$C66,'Awards Summary'!$J:$J,"CCWSA")</f>
        <v>0</v>
      </c>
      <c r="AA66" s="55">
        <f>SUMIFS('Disbursements Summary'!$E:$E,'Disbursements Summary'!$C:$C,$C66,'Disbursements Summary'!$A:$A,"CCWSA")</f>
        <v>0</v>
      </c>
      <c r="AB66" s="55">
        <f>SUMIFS('Awards Summary'!$H:$H,'Awards Summary'!$B:$B,$C66,'Awards Summary'!$J:$J,"CNYRTA")</f>
        <v>0</v>
      </c>
      <c r="AC66" s="55">
        <f>SUMIFS('Disbursements Summary'!$E:$E,'Disbursements Summary'!$C:$C,$C66,'Disbursements Summary'!$A:$A,"CNYRTA")</f>
        <v>0</v>
      </c>
      <c r="AD66" s="55">
        <f>SUMIFS('Awards Summary'!$H:$H,'Awards Summary'!$B:$B,$C66,'Awards Summary'!$J:$J,"CUCF")</f>
        <v>0</v>
      </c>
      <c r="AE66" s="55">
        <f>SUMIFS('Disbursements Summary'!$E:$E,'Disbursements Summary'!$C:$C,$C66,'Disbursements Summary'!$A:$A,"CUCF")</f>
        <v>0</v>
      </c>
      <c r="AF66" s="55">
        <f>SUMIFS('Awards Summary'!$H:$H,'Awards Summary'!$B:$B,$C66,'Awards Summary'!$J:$J,"CUNY")</f>
        <v>0</v>
      </c>
      <c r="AG66" s="55">
        <f>SUMIFS('Disbursements Summary'!$E:$E,'Disbursements Summary'!$C:$C,$C66,'Disbursements Summary'!$A:$A,"CUNY")</f>
        <v>0</v>
      </c>
      <c r="AH66" s="55">
        <f>SUMIFS('Awards Summary'!$H:$H,'Awards Summary'!$B:$B,$C66,'Awards Summary'!$J:$J,"ARTS")</f>
        <v>0</v>
      </c>
      <c r="AI66" s="55">
        <f>SUMIFS('Disbursements Summary'!$E:$E,'Disbursements Summary'!$C:$C,$C66,'Disbursements Summary'!$A:$A,"ARTS")</f>
        <v>0</v>
      </c>
      <c r="AJ66" s="55">
        <f>SUMIFS('Awards Summary'!$H:$H,'Awards Summary'!$B:$B,$C66,'Awards Summary'!$J:$J,"AG&amp;MKTS")</f>
        <v>0</v>
      </c>
      <c r="AK66" s="55">
        <f>SUMIFS('Disbursements Summary'!$E:$E,'Disbursements Summary'!$C:$C,$C66,'Disbursements Summary'!$A:$A,"AG&amp;MKTS")</f>
        <v>0</v>
      </c>
      <c r="AL66" s="55">
        <f>SUMIFS('Awards Summary'!$H:$H,'Awards Summary'!$B:$B,$C66,'Awards Summary'!$J:$J,"CS")</f>
        <v>0</v>
      </c>
      <c r="AM66" s="55">
        <f>SUMIFS('Disbursements Summary'!$E:$E,'Disbursements Summary'!$C:$C,$C66,'Disbursements Summary'!$A:$A,"CS")</f>
        <v>0</v>
      </c>
      <c r="AN66" s="55">
        <f>SUMIFS('Awards Summary'!$H:$H,'Awards Summary'!$B:$B,$C66,'Awards Summary'!$J:$J,"DOCCS")</f>
        <v>0</v>
      </c>
      <c r="AO66" s="55">
        <f>SUMIFS('Disbursements Summary'!$E:$E,'Disbursements Summary'!$C:$C,$C66,'Disbursements Summary'!$A:$A,"DOCCS")</f>
        <v>0</v>
      </c>
      <c r="AP66" s="55">
        <f>SUMIFS('Awards Summary'!$H:$H,'Awards Summary'!$B:$B,$C66,'Awards Summary'!$J:$J,"DED")</f>
        <v>0</v>
      </c>
      <c r="AQ66" s="55">
        <f>SUMIFS('Disbursements Summary'!$E:$E,'Disbursements Summary'!$C:$C,$C66,'Disbursements Summary'!$A:$A,"DED")</f>
        <v>0</v>
      </c>
      <c r="AR66" s="55">
        <f>SUMIFS('Awards Summary'!$H:$H,'Awards Summary'!$B:$B,$C66,'Awards Summary'!$J:$J,"DEC")</f>
        <v>0</v>
      </c>
      <c r="AS66" s="55">
        <f>SUMIFS('Disbursements Summary'!$E:$E,'Disbursements Summary'!$C:$C,$C66,'Disbursements Summary'!$A:$A,"DEC")</f>
        <v>0</v>
      </c>
      <c r="AT66" s="55">
        <f>SUMIFS('Awards Summary'!$H:$H,'Awards Summary'!$B:$B,$C66,'Awards Summary'!$J:$J,"DFS")</f>
        <v>0</v>
      </c>
      <c r="AU66" s="55">
        <f>SUMIFS('Disbursements Summary'!$E:$E,'Disbursements Summary'!$C:$C,$C66,'Disbursements Summary'!$A:$A,"DFS")</f>
        <v>0</v>
      </c>
      <c r="AV66" s="55">
        <f>SUMIFS('Awards Summary'!$H:$H,'Awards Summary'!$B:$B,$C66,'Awards Summary'!$J:$J,"DOH")</f>
        <v>0</v>
      </c>
      <c r="AW66" s="55">
        <f>SUMIFS('Disbursements Summary'!$E:$E,'Disbursements Summary'!$C:$C,$C66,'Disbursements Summary'!$A:$A,"DOH")</f>
        <v>0</v>
      </c>
      <c r="AX66" s="55">
        <f>SUMIFS('Awards Summary'!$H:$H,'Awards Summary'!$B:$B,$C66,'Awards Summary'!$J:$J,"DOL")</f>
        <v>0</v>
      </c>
      <c r="AY66" s="55">
        <f>SUMIFS('Disbursements Summary'!$E:$E,'Disbursements Summary'!$C:$C,$C66,'Disbursements Summary'!$A:$A,"DOL")</f>
        <v>0</v>
      </c>
      <c r="AZ66" s="55">
        <f>SUMIFS('Awards Summary'!$H:$H,'Awards Summary'!$B:$B,$C66,'Awards Summary'!$J:$J,"DMV")</f>
        <v>0</v>
      </c>
      <c r="BA66" s="55">
        <f>SUMIFS('Disbursements Summary'!$E:$E,'Disbursements Summary'!$C:$C,$C66,'Disbursements Summary'!$A:$A,"DMV")</f>
        <v>0</v>
      </c>
      <c r="BB66" s="55">
        <f>SUMIFS('Awards Summary'!$H:$H,'Awards Summary'!$B:$B,$C66,'Awards Summary'!$J:$J,"DPS")</f>
        <v>0</v>
      </c>
      <c r="BC66" s="55">
        <f>SUMIFS('Disbursements Summary'!$E:$E,'Disbursements Summary'!$C:$C,$C66,'Disbursements Summary'!$A:$A,"DPS")</f>
        <v>0</v>
      </c>
      <c r="BD66" s="55">
        <f>SUMIFS('Awards Summary'!$H:$H,'Awards Summary'!$B:$B,$C66,'Awards Summary'!$J:$J,"DOS")</f>
        <v>0</v>
      </c>
      <c r="BE66" s="55">
        <f>SUMIFS('Disbursements Summary'!$E:$E,'Disbursements Summary'!$C:$C,$C66,'Disbursements Summary'!$A:$A,"DOS")</f>
        <v>0</v>
      </c>
      <c r="BF66" s="55">
        <f>SUMIFS('Awards Summary'!$H:$H,'Awards Summary'!$B:$B,$C66,'Awards Summary'!$J:$J,"TAX")</f>
        <v>0</v>
      </c>
      <c r="BG66" s="55">
        <f>SUMIFS('Disbursements Summary'!$E:$E,'Disbursements Summary'!$C:$C,$C66,'Disbursements Summary'!$A:$A,"TAX")</f>
        <v>0</v>
      </c>
      <c r="BH66" s="55">
        <f>SUMIFS('Awards Summary'!$H:$H,'Awards Summary'!$B:$B,$C66,'Awards Summary'!$J:$J,"DOT")</f>
        <v>0</v>
      </c>
      <c r="BI66" s="55">
        <f>SUMIFS('Disbursements Summary'!$E:$E,'Disbursements Summary'!$C:$C,$C66,'Disbursements Summary'!$A:$A,"DOT")</f>
        <v>0</v>
      </c>
      <c r="BJ66" s="55">
        <f>SUMIFS('Awards Summary'!$H:$H,'Awards Summary'!$B:$B,$C66,'Awards Summary'!$J:$J,"DANC")</f>
        <v>0</v>
      </c>
      <c r="BK66" s="55">
        <f>SUMIFS('Disbursements Summary'!$E:$E,'Disbursements Summary'!$C:$C,$C66,'Disbursements Summary'!$A:$A,"DANC")</f>
        <v>0</v>
      </c>
      <c r="BL66" s="55">
        <f>SUMIFS('Awards Summary'!$H:$H,'Awards Summary'!$B:$B,$C66,'Awards Summary'!$J:$J,"DOB")</f>
        <v>0</v>
      </c>
      <c r="BM66" s="55">
        <f>SUMIFS('Disbursements Summary'!$E:$E,'Disbursements Summary'!$C:$C,$C66,'Disbursements Summary'!$A:$A,"DOB")</f>
        <v>0</v>
      </c>
      <c r="BN66" s="55">
        <f>SUMIFS('Awards Summary'!$H:$H,'Awards Summary'!$B:$B,$C66,'Awards Summary'!$J:$J,"DCJS")</f>
        <v>0</v>
      </c>
      <c r="BO66" s="55">
        <f>SUMIFS('Disbursements Summary'!$E:$E,'Disbursements Summary'!$C:$C,$C66,'Disbursements Summary'!$A:$A,"DCJS")</f>
        <v>0</v>
      </c>
      <c r="BP66" s="55">
        <f>SUMIFS('Awards Summary'!$H:$H,'Awards Summary'!$B:$B,$C66,'Awards Summary'!$J:$J,"DHSES")</f>
        <v>0</v>
      </c>
      <c r="BQ66" s="55">
        <f>SUMIFS('Disbursements Summary'!$E:$E,'Disbursements Summary'!$C:$C,$C66,'Disbursements Summary'!$A:$A,"DHSES")</f>
        <v>0</v>
      </c>
      <c r="BR66" s="55">
        <f>SUMIFS('Awards Summary'!$H:$H,'Awards Summary'!$B:$B,$C66,'Awards Summary'!$J:$J,"DHR")</f>
        <v>0</v>
      </c>
      <c r="BS66" s="55">
        <f>SUMIFS('Disbursements Summary'!$E:$E,'Disbursements Summary'!$C:$C,$C66,'Disbursements Summary'!$A:$A,"DHR")</f>
        <v>0</v>
      </c>
      <c r="BT66" s="55">
        <f>SUMIFS('Awards Summary'!$H:$H,'Awards Summary'!$B:$B,$C66,'Awards Summary'!$J:$J,"DMNA")</f>
        <v>0</v>
      </c>
      <c r="BU66" s="55">
        <f>SUMIFS('Disbursements Summary'!$E:$E,'Disbursements Summary'!$C:$C,$C66,'Disbursements Summary'!$A:$A,"DMNA")</f>
        <v>0</v>
      </c>
      <c r="BV66" s="55">
        <f>SUMIFS('Awards Summary'!$H:$H,'Awards Summary'!$B:$B,$C66,'Awards Summary'!$J:$J,"TROOPERS")</f>
        <v>0</v>
      </c>
      <c r="BW66" s="55">
        <f>SUMIFS('Disbursements Summary'!$E:$E,'Disbursements Summary'!$C:$C,$C66,'Disbursements Summary'!$A:$A,"TROOPERS")</f>
        <v>0</v>
      </c>
      <c r="BX66" s="55">
        <f>SUMIFS('Awards Summary'!$H:$H,'Awards Summary'!$B:$B,$C66,'Awards Summary'!$J:$J,"DVA")</f>
        <v>0</v>
      </c>
      <c r="BY66" s="55">
        <f>SUMIFS('Disbursements Summary'!$E:$E,'Disbursements Summary'!$C:$C,$C66,'Disbursements Summary'!$A:$A,"DVA")</f>
        <v>0</v>
      </c>
      <c r="BZ66" s="55">
        <f>SUMIFS('Awards Summary'!$H:$H,'Awards Summary'!$B:$B,$C66,'Awards Summary'!$J:$J,"DASNY")</f>
        <v>0</v>
      </c>
      <c r="CA66" s="55">
        <f>SUMIFS('Disbursements Summary'!$E:$E,'Disbursements Summary'!$C:$C,$C66,'Disbursements Summary'!$A:$A,"DASNY")</f>
        <v>0</v>
      </c>
      <c r="CB66" s="55">
        <f>SUMIFS('Awards Summary'!$H:$H,'Awards Summary'!$B:$B,$C66,'Awards Summary'!$J:$J,"EGG")</f>
        <v>0</v>
      </c>
      <c r="CC66" s="55">
        <f>SUMIFS('Disbursements Summary'!$E:$E,'Disbursements Summary'!$C:$C,$C66,'Disbursements Summary'!$A:$A,"EGG")</f>
        <v>0</v>
      </c>
      <c r="CD66" s="55">
        <f>SUMIFS('Awards Summary'!$H:$H,'Awards Summary'!$B:$B,$C66,'Awards Summary'!$J:$J,"ESD")</f>
        <v>0</v>
      </c>
      <c r="CE66" s="55">
        <f>SUMIFS('Disbursements Summary'!$E:$E,'Disbursements Summary'!$C:$C,$C66,'Disbursements Summary'!$A:$A,"ESD")</f>
        <v>0</v>
      </c>
      <c r="CF66" s="55">
        <f>SUMIFS('Awards Summary'!$H:$H,'Awards Summary'!$B:$B,$C66,'Awards Summary'!$J:$J,"EFC")</f>
        <v>0</v>
      </c>
      <c r="CG66" s="55">
        <f>SUMIFS('Disbursements Summary'!$E:$E,'Disbursements Summary'!$C:$C,$C66,'Disbursements Summary'!$A:$A,"EFC")</f>
        <v>0</v>
      </c>
      <c r="CH66" s="55">
        <f>SUMIFS('Awards Summary'!$H:$H,'Awards Summary'!$B:$B,$C66,'Awards Summary'!$J:$J,"ECFSA")</f>
        <v>0</v>
      </c>
      <c r="CI66" s="55">
        <f>SUMIFS('Disbursements Summary'!$E:$E,'Disbursements Summary'!$C:$C,$C66,'Disbursements Summary'!$A:$A,"ECFSA")</f>
        <v>0</v>
      </c>
      <c r="CJ66" s="55">
        <f>SUMIFS('Awards Summary'!$H:$H,'Awards Summary'!$B:$B,$C66,'Awards Summary'!$J:$J,"ECMC")</f>
        <v>0</v>
      </c>
      <c r="CK66" s="55">
        <f>SUMIFS('Disbursements Summary'!$E:$E,'Disbursements Summary'!$C:$C,$C66,'Disbursements Summary'!$A:$A,"ECMC")</f>
        <v>0</v>
      </c>
      <c r="CL66" s="55">
        <f>SUMIFS('Awards Summary'!$H:$H,'Awards Summary'!$B:$B,$C66,'Awards Summary'!$J:$J,"CHAMBER")</f>
        <v>0</v>
      </c>
      <c r="CM66" s="55">
        <f>SUMIFS('Disbursements Summary'!$E:$E,'Disbursements Summary'!$C:$C,$C66,'Disbursements Summary'!$A:$A,"CHAMBER")</f>
        <v>0</v>
      </c>
      <c r="CN66" s="55">
        <f>SUMIFS('Awards Summary'!$H:$H,'Awards Summary'!$B:$B,$C66,'Awards Summary'!$J:$J,"GAMING")</f>
        <v>0</v>
      </c>
      <c r="CO66" s="55">
        <f>SUMIFS('Disbursements Summary'!$E:$E,'Disbursements Summary'!$C:$C,$C66,'Disbursements Summary'!$A:$A,"GAMING")</f>
        <v>0</v>
      </c>
      <c r="CP66" s="55">
        <f>SUMIFS('Awards Summary'!$H:$H,'Awards Summary'!$B:$B,$C66,'Awards Summary'!$J:$J,"GOER")</f>
        <v>0</v>
      </c>
      <c r="CQ66" s="55">
        <f>SUMIFS('Disbursements Summary'!$E:$E,'Disbursements Summary'!$C:$C,$C66,'Disbursements Summary'!$A:$A,"GOER")</f>
        <v>0</v>
      </c>
      <c r="CR66" s="55">
        <f>SUMIFS('Awards Summary'!$H:$H,'Awards Summary'!$B:$B,$C66,'Awards Summary'!$J:$J,"HESC")</f>
        <v>0</v>
      </c>
      <c r="CS66" s="55">
        <f>SUMIFS('Disbursements Summary'!$E:$E,'Disbursements Summary'!$C:$C,$C66,'Disbursements Summary'!$A:$A,"HESC")</f>
        <v>0</v>
      </c>
      <c r="CT66" s="55">
        <f>SUMIFS('Awards Summary'!$H:$H,'Awards Summary'!$B:$B,$C66,'Awards Summary'!$J:$J,"GOSR")</f>
        <v>0</v>
      </c>
      <c r="CU66" s="55">
        <f>SUMIFS('Disbursements Summary'!$E:$E,'Disbursements Summary'!$C:$C,$C66,'Disbursements Summary'!$A:$A,"GOSR")</f>
        <v>0</v>
      </c>
      <c r="CV66" s="55">
        <f>SUMIFS('Awards Summary'!$H:$H,'Awards Summary'!$B:$B,$C66,'Awards Summary'!$J:$J,"HRPT")</f>
        <v>0</v>
      </c>
      <c r="CW66" s="55">
        <f>SUMIFS('Disbursements Summary'!$E:$E,'Disbursements Summary'!$C:$C,$C66,'Disbursements Summary'!$A:$A,"HRPT")</f>
        <v>0</v>
      </c>
      <c r="CX66" s="55">
        <f>SUMIFS('Awards Summary'!$H:$H,'Awards Summary'!$B:$B,$C66,'Awards Summary'!$J:$J,"HRBRRD")</f>
        <v>0</v>
      </c>
      <c r="CY66" s="55">
        <f>SUMIFS('Disbursements Summary'!$E:$E,'Disbursements Summary'!$C:$C,$C66,'Disbursements Summary'!$A:$A,"HRBRRD")</f>
        <v>0</v>
      </c>
      <c r="CZ66" s="55">
        <f>SUMIFS('Awards Summary'!$H:$H,'Awards Summary'!$B:$B,$C66,'Awards Summary'!$J:$J,"ITS")</f>
        <v>0</v>
      </c>
      <c r="DA66" s="55">
        <f>SUMIFS('Disbursements Summary'!$E:$E,'Disbursements Summary'!$C:$C,$C66,'Disbursements Summary'!$A:$A,"ITS")</f>
        <v>0</v>
      </c>
      <c r="DB66" s="55">
        <f>SUMIFS('Awards Summary'!$H:$H,'Awards Summary'!$B:$B,$C66,'Awards Summary'!$J:$J,"JAVITS")</f>
        <v>0</v>
      </c>
      <c r="DC66" s="55">
        <f>SUMIFS('Disbursements Summary'!$E:$E,'Disbursements Summary'!$C:$C,$C66,'Disbursements Summary'!$A:$A,"JAVITS")</f>
        <v>0</v>
      </c>
      <c r="DD66" s="55">
        <f>SUMIFS('Awards Summary'!$H:$H,'Awards Summary'!$B:$B,$C66,'Awards Summary'!$J:$J,"JCOPE")</f>
        <v>0</v>
      </c>
      <c r="DE66" s="55">
        <f>SUMIFS('Disbursements Summary'!$E:$E,'Disbursements Summary'!$C:$C,$C66,'Disbursements Summary'!$A:$A,"JCOPE")</f>
        <v>0</v>
      </c>
      <c r="DF66" s="55">
        <f>SUMIFS('Awards Summary'!$H:$H,'Awards Summary'!$B:$B,$C66,'Awards Summary'!$J:$J,"JUSTICE")</f>
        <v>0</v>
      </c>
      <c r="DG66" s="55">
        <f>SUMIFS('Disbursements Summary'!$E:$E,'Disbursements Summary'!$C:$C,$C66,'Disbursements Summary'!$A:$A,"JUSTICE")</f>
        <v>0</v>
      </c>
      <c r="DH66" s="55">
        <f>SUMIFS('Awards Summary'!$H:$H,'Awards Summary'!$B:$B,$C66,'Awards Summary'!$J:$J,"LCWSA")</f>
        <v>0</v>
      </c>
      <c r="DI66" s="55">
        <f>SUMIFS('Disbursements Summary'!$E:$E,'Disbursements Summary'!$C:$C,$C66,'Disbursements Summary'!$A:$A,"LCWSA")</f>
        <v>0</v>
      </c>
      <c r="DJ66" s="55">
        <f>SUMIFS('Awards Summary'!$H:$H,'Awards Summary'!$B:$B,$C66,'Awards Summary'!$J:$J,"LIPA")</f>
        <v>0</v>
      </c>
      <c r="DK66" s="55">
        <f>SUMIFS('Disbursements Summary'!$E:$E,'Disbursements Summary'!$C:$C,$C66,'Disbursements Summary'!$A:$A,"LIPA")</f>
        <v>0</v>
      </c>
      <c r="DL66" s="55">
        <f>SUMIFS('Awards Summary'!$H:$H,'Awards Summary'!$B:$B,$C66,'Awards Summary'!$J:$J,"MTA")</f>
        <v>0</v>
      </c>
      <c r="DM66" s="55">
        <f>SUMIFS('Disbursements Summary'!$E:$E,'Disbursements Summary'!$C:$C,$C66,'Disbursements Summary'!$A:$A,"MTA")</f>
        <v>0</v>
      </c>
      <c r="DN66" s="55">
        <f>SUMIFS('Awards Summary'!$H:$H,'Awards Summary'!$B:$B,$C66,'Awards Summary'!$J:$J,"NIFA")</f>
        <v>0</v>
      </c>
      <c r="DO66" s="55">
        <f>SUMIFS('Disbursements Summary'!$E:$E,'Disbursements Summary'!$C:$C,$C66,'Disbursements Summary'!$A:$A,"NIFA")</f>
        <v>0</v>
      </c>
      <c r="DP66" s="55">
        <f>SUMIFS('Awards Summary'!$H:$H,'Awards Summary'!$B:$B,$C66,'Awards Summary'!$J:$J,"NHCC")</f>
        <v>0</v>
      </c>
      <c r="DQ66" s="55">
        <f>SUMIFS('Disbursements Summary'!$E:$E,'Disbursements Summary'!$C:$C,$C66,'Disbursements Summary'!$A:$A,"NHCC")</f>
        <v>0</v>
      </c>
      <c r="DR66" s="55">
        <f>SUMIFS('Awards Summary'!$H:$H,'Awards Summary'!$B:$B,$C66,'Awards Summary'!$J:$J,"NHT")</f>
        <v>0</v>
      </c>
      <c r="DS66" s="55">
        <f>SUMIFS('Disbursements Summary'!$E:$E,'Disbursements Summary'!$C:$C,$C66,'Disbursements Summary'!$A:$A,"NHT")</f>
        <v>0</v>
      </c>
      <c r="DT66" s="55">
        <f>SUMIFS('Awards Summary'!$H:$H,'Awards Summary'!$B:$B,$C66,'Awards Summary'!$J:$J,"NYPA")</f>
        <v>0</v>
      </c>
      <c r="DU66" s="55">
        <f>SUMIFS('Disbursements Summary'!$E:$E,'Disbursements Summary'!$C:$C,$C66,'Disbursements Summary'!$A:$A,"NYPA")</f>
        <v>0</v>
      </c>
      <c r="DV66" s="55">
        <f>SUMIFS('Awards Summary'!$H:$H,'Awards Summary'!$B:$B,$C66,'Awards Summary'!$J:$J,"NYSBA")</f>
        <v>0</v>
      </c>
      <c r="DW66" s="55">
        <f>SUMIFS('Disbursements Summary'!$E:$E,'Disbursements Summary'!$C:$C,$C66,'Disbursements Summary'!$A:$A,"NYSBA")</f>
        <v>0</v>
      </c>
      <c r="DX66" s="55">
        <f>SUMIFS('Awards Summary'!$H:$H,'Awards Summary'!$B:$B,$C66,'Awards Summary'!$J:$J,"NYSERDA")</f>
        <v>0</v>
      </c>
      <c r="DY66" s="55">
        <f>SUMIFS('Disbursements Summary'!$E:$E,'Disbursements Summary'!$C:$C,$C66,'Disbursements Summary'!$A:$A,"NYSERDA")</f>
        <v>0</v>
      </c>
      <c r="DZ66" s="55">
        <f>SUMIFS('Awards Summary'!$H:$H,'Awards Summary'!$B:$B,$C66,'Awards Summary'!$J:$J,"DHCR")</f>
        <v>0</v>
      </c>
      <c r="EA66" s="55">
        <f>SUMIFS('Disbursements Summary'!$E:$E,'Disbursements Summary'!$C:$C,$C66,'Disbursements Summary'!$A:$A,"DHCR")</f>
        <v>0</v>
      </c>
      <c r="EB66" s="55">
        <f>SUMIFS('Awards Summary'!$H:$H,'Awards Summary'!$B:$B,$C66,'Awards Summary'!$J:$J,"HFA")</f>
        <v>0</v>
      </c>
      <c r="EC66" s="55">
        <f>SUMIFS('Disbursements Summary'!$E:$E,'Disbursements Summary'!$C:$C,$C66,'Disbursements Summary'!$A:$A,"HFA")</f>
        <v>0</v>
      </c>
      <c r="ED66" s="55">
        <f>SUMIFS('Awards Summary'!$H:$H,'Awards Summary'!$B:$B,$C66,'Awards Summary'!$J:$J,"NYSIF")</f>
        <v>0</v>
      </c>
      <c r="EE66" s="55">
        <f>SUMIFS('Disbursements Summary'!$E:$E,'Disbursements Summary'!$C:$C,$C66,'Disbursements Summary'!$A:$A,"NYSIF")</f>
        <v>0</v>
      </c>
      <c r="EF66" s="55">
        <f>SUMIFS('Awards Summary'!$H:$H,'Awards Summary'!$B:$B,$C66,'Awards Summary'!$J:$J,"NYBREDS")</f>
        <v>0</v>
      </c>
      <c r="EG66" s="55">
        <f>SUMIFS('Disbursements Summary'!$E:$E,'Disbursements Summary'!$C:$C,$C66,'Disbursements Summary'!$A:$A,"NYBREDS")</f>
        <v>0</v>
      </c>
      <c r="EH66" s="55">
        <f>SUMIFS('Awards Summary'!$H:$H,'Awards Summary'!$B:$B,$C66,'Awards Summary'!$J:$J,"NYSTA")</f>
        <v>0</v>
      </c>
      <c r="EI66" s="55">
        <f>SUMIFS('Disbursements Summary'!$E:$E,'Disbursements Summary'!$C:$C,$C66,'Disbursements Summary'!$A:$A,"NYSTA")</f>
        <v>0</v>
      </c>
      <c r="EJ66" s="55">
        <f>SUMIFS('Awards Summary'!$H:$H,'Awards Summary'!$B:$B,$C66,'Awards Summary'!$J:$J,"NFWB")</f>
        <v>0</v>
      </c>
      <c r="EK66" s="55">
        <f>SUMIFS('Disbursements Summary'!$E:$E,'Disbursements Summary'!$C:$C,$C66,'Disbursements Summary'!$A:$A,"NFWB")</f>
        <v>0</v>
      </c>
      <c r="EL66" s="55">
        <f>SUMIFS('Awards Summary'!$H:$H,'Awards Summary'!$B:$B,$C66,'Awards Summary'!$J:$J,"NFTA")</f>
        <v>0</v>
      </c>
      <c r="EM66" s="55">
        <f>SUMIFS('Disbursements Summary'!$E:$E,'Disbursements Summary'!$C:$C,$C66,'Disbursements Summary'!$A:$A,"NFTA")</f>
        <v>0</v>
      </c>
      <c r="EN66" s="55">
        <f>SUMIFS('Awards Summary'!$H:$H,'Awards Summary'!$B:$B,$C66,'Awards Summary'!$J:$J,"OPWDD")</f>
        <v>0</v>
      </c>
      <c r="EO66" s="55">
        <f>SUMIFS('Disbursements Summary'!$E:$E,'Disbursements Summary'!$C:$C,$C66,'Disbursements Summary'!$A:$A,"OPWDD")</f>
        <v>0</v>
      </c>
      <c r="EP66" s="55">
        <f>SUMIFS('Awards Summary'!$H:$H,'Awards Summary'!$B:$B,$C66,'Awards Summary'!$J:$J,"AGING")</f>
        <v>0</v>
      </c>
      <c r="EQ66" s="55">
        <f>SUMIFS('Disbursements Summary'!$E:$E,'Disbursements Summary'!$C:$C,$C66,'Disbursements Summary'!$A:$A,"AGING")</f>
        <v>0</v>
      </c>
      <c r="ER66" s="55">
        <f>SUMIFS('Awards Summary'!$H:$H,'Awards Summary'!$B:$B,$C66,'Awards Summary'!$J:$J,"OPDV")</f>
        <v>0</v>
      </c>
      <c r="ES66" s="55">
        <f>SUMIFS('Disbursements Summary'!$E:$E,'Disbursements Summary'!$C:$C,$C66,'Disbursements Summary'!$A:$A,"OPDV")</f>
        <v>0</v>
      </c>
      <c r="ET66" s="55">
        <f>SUMIFS('Awards Summary'!$H:$H,'Awards Summary'!$B:$B,$C66,'Awards Summary'!$J:$J,"OVS")</f>
        <v>0</v>
      </c>
      <c r="EU66" s="55">
        <f>SUMIFS('Disbursements Summary'!$E:$E,'Disbursements Summary'!$C:$C,$C66,'Disbursements Summary'!$A:$A,"OVS")</f>
        <v>0</v>
      </c>
      <c r="EV66" s="55">
        <f>SUMIFS('Awards Summary'!$H:$H,'Awards Summary'!$B:$B,$C66,'Awards Summary'!$J:$J,"OASAS")</f>
        <v>0</v>
      </c>
      <c r="EW66" s="55">
        <f>SUMIFS('Disbursements Summary'!$E:$E,'Disbursements Summary'!$C:$C,$C66,'Disbursements Summary'!$A:$A,"OASAS")</f>
        <v>0</v>
      </c>
      <c r="EX66" s="55">
        <f>SUMIFS('Awards Summary'!$H:$H,'Awards Summary'!$B:$B,$C66,'Awards Summary'!$J:$J,"OCFS")</f>
        <v>0</v>
      </c>
      <c r="EY66" s="55">
        <f>SUMIFS('Disbursements Summary'!$E:$E,'Disbursements Summary'!$C:$C,$C66,'Disbursements Summary'!$A:$A,"OCFS")</f>
        <v>0</v>
      </c>
      <c r="EZ66" s="55">
        <f>SUMIFS('Awards Summary'!$H:$H,'Awards Summary'!$B:$B,$C66,'Awards Summary'!$J:$J,"OGS")</f>
        <v>0</v>
      </c>
      <c r="FA66" s="55">
        <f>SUMIFS('Disbursements Summary'!$E:$E,'Disbursements Summary'!$C:$C,$C66,'Disbursements Summary'!$A:$A,"OGS")</f>
        <v>0</v>
      </c>
      <c r="FB66" s="55">
        <f>SUMIFS('Awards Summary'!$H:$H,'Awards Summary'!$B:$B,$C66,'Awards Summary'!$J:$J,"OMH")</f>
        <v>0</v>
      </c>
      <c r="FC66" s="55">
        <f>SUMIFS('Disbursements Summary'!$E:$E,'Disbursements Summary'!$C:$C,$C66,'Disbursements Summary'!$A:$A,"OMH")</f>
        <v>0</v>
      </c>
      <c r="FD66" s="55">
        <f>SUMIFS('Awards Summary'!$H:$H,'Awards Summary'!$B:$B,$C66,'Awards Summary'!$J:$J,"PARKS")</f>
        <v>0</v>
      </c>
      <c r="FE66" s="55">
        <f>SUMIFS('Disbursements Summary'!$E:$E,'Disbursements Summary'!$C:$C,$C66,'Disbursements Summary'!$A:$A,"PARKS")</f>
        <v>0</v>
      </c>
      <c r="FF66" s="55">
        <f>SUMIFS('Awards Summary'!$H:$H,'Awards Summary'!$B:$B,$C66,'Awards Summary'!$J:$J,"OTDA")</f>
        <v>0</v>
      </c>
      <c r="FG66" s="55">
        <f>SUMIFS('Disbursements Summary'!$E:$E,'Disbursements Summary'!$C:$C,$C66,'Disbursements Summary'!$A:$A,"OTDA")</f>
        <v>0</v>
      </c>
      <c r="FH66" s="55">
        <f>SUMIFS('Awards Summary'!$H:$H,'Awards Summary'!$B:$B,$C66,'Awards Summary'!$J:$J,"OIG")</f>
        <v>0</v>
      </c>
      <c r="FI66" s="55">
        <f>SUMIFS('Disbursements Summary'!$E:$E,'Disbursements Summary'!$C:$C,$C66,'Disbursements Summary'!$A:$A,"OIG")</f>
        <v>0</v>
      </c>
      <c r="FJ66" s="55">
        <f>SUMIFS('Awards Summary'!$H:$H,'Awards Summary'!$B:$B,$C66,'Awards Summary'!$J:$J,"OMIG")</f>
        <v>0</v>
      </c>
      <c r="FK66" s="55">
        <f>SUMIFS('Disbursements Summary'!$E:$E,'Disbursements Summary'!$C:$C,$C66,'Disbursements Summary'!$A:$A,"OMIG")</f>
        <v>0</v>
      </c>
      <c r="FL66" s="55">
        <f>SUMIFS('Awards Summary'!$H:$H,'Awards Summary'!$B:$B,$C66,'Awards Summary'!$J:$J,"OSC")</f>
        <v>0</v>
      </c>
      <c r="FM66" s="55">
        <f>SUMIFS('Disbursements Summary'!$E:$E,'Disbursements Summary'!$C:$C,$C66,'Disbursements Summary'!$A:$A,"OSC")</f>
        <v>0</v>
      </c>
      <c r="FN66" s="55">
        <f>SUMIFS('Awards Summary'!$H:$H,'Awards Summary'!$B:$B,$C66,'Awards Summary'!$J:$J,"OWIG")</f>
        <v>0</v>
      </c>
      <c r="FO66" s="55">
        <f>SUMIFS('Disbursements Summary'!$E:$E,'Disbursements Summary'!$C:$C,$C66,'Disbursements Summary'!$A:$A,"OWIG")</f>
        <v>0</v>
      </c>
      <c r="FP66" s="55">
        <f>SUMIFS('Awards Summary'!$H:$H,'Awards Summary'!$B:$B,$C66,'Awards Summary'!$J:$J,"OGDEN")</f>
        <v>0</v>
      </c>
      <c r="FQ66" s="55">
        <f>SUMIFS('Disbursements Summary'!$E:$E,'Disbursements Summary'!$C:$C,$C66,'Disbursements Summary'!$A:$A,"OGDEN")</f>
        <v>0</v>
      </c>
      <c r="FR66" s="55">
        <f>SUMIFS('Awards Summary'!$H:$H,'Awards Summary'!$B:$B,$C66,'Awards Summary'!$J:$J,"ORDA")</f>
        <v>0</v>
      </c>
      <c r="FS66" s="55">
        <f>SUMIFS('Disbursements Summary'!$E:$E,'Disbursements Summary'!$C:$C,$C66,'Disbursements Summary'!$A:$A,"ORDA")</f>
        <v>0</v>
      </c>
      <c r="FT66" s="55">
        <f>SUMIFS('Awards Summary'!$H:$H,'Awards Summary'!$B:$B,$C66,'Awards Summary'!$J:$J,"OSWEGO")</f>
        <v>0</v>
      </c>
      <c r="FU66" s="55">
        <f>SUMIFS('Disbursements Summary'!$E:$E,'Disbursements Summary'!$C:$C,$C66,'Disbursements Summary'!$A:$A,"OSWEGO")</f>
        <v>0</v>
      </c>
      <c r="FV66" s="55">
        <f>SUMIFS('Awards Summary'!$H:$H,'Awards Summary'!$B:$B,$C66,'Awards Summary'!$J:$J,"PERB")</f>
        <v>0</v>
      </c>
      <c r="FW66" s="55">
        <f>SUMIFS('Disbursements Summary'!$E:$E,'Disbursements Summary'!$C:$C,$C66,'Disbursements Summary'!$A:$A,"PERB")</f>
        <v>0</v>
      </c>
      <c r="FX66" s="55">
        <f>SUMIFS('Awards Summary'!$H:$H,'Awards Summary'!$B:$B,$C66,'Awards Summary'!$J:$J,"RGRTA")</f>
        <v>0</v>
      </c>
      <c r="FY66" s="55">
        <f>SUMIFS('Disbursements Summary'!$E:$E,'Disbursements Summary'!$C:$C,$C66,'Disbursements Summary'!$A:$A,"RGRTA")</f>
        <v>0</v>
      </c>
      <c r="FZ66" s="55">
        <f>SUMIFS('Awards Summary'!$H:$H,'Awards Summary'!$B:$B,$C66,'Awards Summary'!$J:$J,"RIOC")</f>
        <v>0</v>
      </c>
      <c r="GA66" s="55">
        <f>SUMIFS('Disbursements Summary'!$E:$E,'Disbursements Summary'!$C:$C,$C66,'Disbursements Summary'!$A:$A,"RIOC")</f>
        <v>0</v>
      </c>
      <c r="GB66" s="55">
        <f>SUMIFS('Awards Summary'!$H:$H,'Awards Summary'!$B:$B,$C66,'Awards Summary'!$J:$J,"RPCI")</f>
        <v>0</v>
      </c>
      <c r="GC66" s="55">
        <f>SUMIFS('Disbursements Summary'!$E:$E,'Disbursements Summary'!$C:$C,$C66,'Disbursements Summary'!$A:$A,"RPCI")</f>
        <v>0</v>
      </c>
      <c r="GD66" s="55">
        <f>SUMIFS('Awards Summary'!$H:$H,'Awards Summary'!$B:$B,$C66,'Awards Summary'!$J:$J,"SMDA")</f>
        <v>0</v>
      </c>
      <c r="GE66" s="55">
        <f>SUMIFS('Disbursements Summary'!$E:$E,'Disbursements Summary'!$C:$C,$C66,'Disbursements Summary'!$A:$A,"SMDA")</f>
        <v>0</v>
      </c>
      <c r="GF66" s="55">
        <f>SUMIFS('Awards Summary'!$H:$H,'Awards Summary'!$B:$B,$C66,'Awards Summary'!$J:$J,"SCOC")</f>
        <v>0</v>
      </c>
      <c r="GG66" s="55">
        <f>SUMIFS('Disbursements Summary'!$E:$E,'Disbursements Summary'!$C:$C,$C66,'Disbursements Summary'!$A:$A,"SCOC")</f>
        <v>0</v>
      </c>
      <c r="GH66" s="55">
        <f>SUMIFS('Awards Summary'!$H:$H,'Awards Summary'!$B:$B,$C66,'Awards Summary'!$J:$J,"SUCF")</f>
        <v>0</v>
      </c>
      <c r="GI66" s="55">
        <f>SUMIFS('Disbursements Summary'!$E:$E,'Disbursements Summary'!$C:$C,$C66,'Disbursements Summary'!$A:$A,"SUCF")</f>
        <v>0</v>
      </c>
      <c r="GJ66" s="55">
        <f>SUMIFS('Awards Summary'!$H:$H,'Awards Summary'!$B:$B,$C66,'Awards Summary'!$J:$J,"SUNY")</f>
        <v>0</v>
      </c>
      <c r="GK66" s="55">
        <f>SUMIFS('Disbursements Summary'!$E:$E,'Disbursements Summary'!$C:$C,$C66,'Disbursements Summary'!$A:$A,"SUNY")</f>
        <v>0</v>
      </c>
      <c r="GL66" s="55">
        <f>SUMIFS('Awards Summary'!$H:$H,'Awards Summary'!$B:$B,$C66,'Awards Summary'!$J:$J,"SRAA")</f>
        <v>0</v>
      </c>
      <c r="GM66" s="55">
        <f>SUMIFS('Disbursements Summary'!$E:$E,'Disbursements Summary'!$C:$C,$C66,'Disbursements Summary'!$A:$A,"SRAA")</f>
        <v>0</v>
      </c>
      <c r="GN66" s="55">
        <f>SUMIFS('Awards Summary'!$H:$H,'Awards Summary'!$B:$B,$C66,'Awards Summary'!$J:$J,"UNDC")</f>
        <v>0</v>
      </c>
      <c r="GO66" s="55">
        <f>SUMIFS('Disbursements Summary'!$E:$E,'Disbursements Summary'!$C:$C,$C66,'Disbursements Summary'!$A:$A,"UNDC")</f>
        <v>0</v>
      </c>
      <c r="GP66" s="55">
        <f>SUMIFS('Awards Summary'!$H:$H,'Awards Summary'!$B:$B,$C66,'Awards Summary'!$J:$J,"MVWA")</f>
        <v>0</v>
      </c>
      <c r="GQ66" s="55">
        <f>SUMIFS('Disbursements Summary'!$E:$E,'Disbursements Summary'!$C:$C,$C66,'Disbursements Summary'!$A:$A,"MVWA")</f>
        <v>0</v>
      </c>
      <c r="GR66" s="55">
        <f>SUMIFS('Awards Summary'!$H:$H,'Awards Summary'!$B:$B,$C66,'Awards Summary'!$J:$J,"WMC")</f>
        <v>0</v>
      </c>
      <c r="GS66" s="55">
        <f>SUMIFS('Disbursements Summary'!$E:$E,'Disbursements Summary'!$C:$C,$C66,'Disbursements Summary'!$A:$A,"WMC")</f>
        <v>0</v>
      </c>
      <c r="GT66" s="55">
        <f>SUMIFS('Awards Summary'!$H:$H,'Awards Summary'!$B:$B,$C66,'Awards Summary'!$J:$J,"WCB")</f>
        <v>0</v>
      </c>
      <c r="GU66" s="55">
        <f>SUMIFS('Disbursements Summary'!$E:$E,'Disbursements Summary'!$C:$C,$C66,'Disbursements Summary'!$A:$A,"WCB")</f>
        <v>0</v>
      </c>
      <c r="GV66" s="32">
        <f t="shared" si="5"/>
        <v>0</v>
      </c>
      <c r="GW66" s="32">
        <f t="shared" si="6"/>
        <v>0</v>
      </c>
      <c r="GX66" s="30" t="b">
        <f t="shared" si="7"/>
        <v>1</v>
      </c>
      <c r="GY66" s="30" t="b">
        <f t="shared" si="8"/>
        <v>1</v>
      </c>
    </row>
    <row r="67" spans="1:207" s="30" customFormat="1">
      <c r="A67" s="22" t="str">
        <f t="shared" ref="A67:A135" si="9">IF(D67&gt;0,"X","")</f>
        <v/>
      </c>
      <c r="B67" s="40" t="s">
        <v>122</v>
      </c>
      <c r="C67" s="16">
        <v>151130</v>
      </c>
      <c r="D67" s="26">
        <f>COUNTIF('Awards Summary'!B:B,"151130")</f>
        <v>0</v>
      </c>
      <c r="E67" s="45">
        <f>SUMIFS('Awards Summary'!H:H,'Awards Summary'!B:B,"151130")</f>
        <v>0</v>
      </c>
      <c r="F67" s="46">
        <f>SUMIFS('Disbursements Summary'!E:E,'Disbursements Summary'!C:C, "151130")</f>
        <v>0</v>
      </c>
      <c r="H67" s="55">
        <f>SUMIFS('Awards Summary'!$H:$H,'Awards Summary'!$B:$B,$C67,'Awards Summary'!$J:$J,"APA")</f>
        <v>0</v>
      </c>
      <c r="I67" s="55">
        <f>SUMIFS('Disbursements Summary'!$E:$E,'Disbursements Summary'!$C:$C,$C67,'Disbursements Summary'!$A:$A,"APA")</f>
        <v>0</v>
      </c>
      <c r="J67" s="55">
        <f>SUMIFS('Awards Summary'!$H:$H,'Awards Summary'!$B:$B,$C67,'Awards Summary'!$J:$J,"Ag&amp;Horse")</f>
        <v>0</v>
      </c>
      <c r="K67" s="55">
        <f>SUMIFS('Disbursements Summary'!$E:$E,'Disbursements Summary'!$C:$C,$C67,'Disbursements Summary'!$A:$A,"Ag&amp;Horse")</f>
        <v>0</v>
      </c>
      <c r="L67" s="55">
        <f>SUMIFS('Awards Summary'!$H:$H,'Awards Summary'!$B:$B,$C67,'Awards Summary'!$J:$J,"ACAA")</f>
        <v>0</v>
      </c>
      <c r="M67" s="55">
        <f>SUMIFS('Disbursements Summary'!$E:$E,'Disbursements Summary'!$C:$C,$C67,'Disbursements Summary'!$A:$A,"ACAA")</f>
        <v>0</v>
      </c>
      <c r="N67" s="55">
        <f>SUMIFS('Awards Summary'!$H:$H,'Awards Summary'!$B:$B,$C67,'Awards Summary'!$J:$J,"PortAlbany")</f>
        <v>0</v>
      </c>
      <c r="O67" s="55">
        <f>SUMIFS('Disbursements Summary'!$E:$E,'Disbursements Summary'!$C:$C,$C67,'Disbursements Summary'!$A:$A,"PortAlbany")</f>
        <v>0</v>
      </c>
      <c r="P67" s="55">
        <f>SUMIFS('Awards Summary'!$H:$H,'Awards Summary'!$B:$B,$C67,'Awards Summary'!$J:$J,"SLA")</f>
        <v>0</v>
      </c>
      <c r="Q67" s="55">
        <f>SUMIFS('Disbursements Summary'!$E:$E,'Disbursements Summary'!$C:$C,$C67,'Disbursements Summary'!$A:$A,"SLA")</f>
        <v>0</v>
      </c>
      <c r="R67" s="55">
        <f>SUMIFS('Awards Summary'!$H:$H,'Awards Summary'!$B:$B,$C67,'Awards Summary'!$J:$J,"BPCA")</f>
        <v>0</v>
      </c>
      <c r="S67" s="55">
        <f>SUMIFS('Disbursements Summary'!$E:$E,'Disbursements Summary'!$C:$C,$C67,'Disbursements Summary'!$A:$A,"BPCA")</f>
        <v>0</v>
      </c>
      <c r="T67" s="55">
        <f>SUMIFS('Awards Summary'!$H:$H,'Awards Summary'!$B:$B,$C67,'Awards Summary'!$J:$J,"ELECTIONS")</f>
        <v>0</v>
      </c>
      <c r="U67" s="55">
        <f>SUMIFS('Disbursements Summary'!$E:$E,'Disbursements Summary'!$C:$C,$C67,'Disbursements Summary'!$A:$A,"ELECTIONS")</f>
        <v>0</v>
      </c>
      <c r="V67" s="55">
        <f>SUMIFS('Awards Summary'!$H:$H,'Awards Summary'!$B:$B,$C67,'Awards Summary'!$J:$J,"BFSA")</f>
        <v>0</v>
      </c>
      <c r="W67" s="55">
        <f>SUMIFS('Disbursements Summary'!$E:$E,'Disbursements Summary'!$C:$C,$C67,'Disbursements Summary'!$A:$A,"BFSA")</f>
        <v>0</v>
      </c>
      <c r="X67" s="55">
        <f>SUMIFS('Awards Summary'!$H:$H,'Awards Summary'!$B:$B,$C67,'Awards Summary'!$J:$J,"CDTA")</f>
        <v>0</v>
      </c>
      <c r="Y67" s="55">
        <f>SUMIFS('Disbursements Summary'!$E:$E,'Disbursements Summary'!$C:$C,$C67,'Disbursements Summary'!$A:$A,"CDTA")</f>
        <v>0</v>
      </c>
      <c r="Z67" s="55">
        <f>SUMIFS('Awards Summary'!$H:$H,'Awards Summary'!$B:$B,$C67,'Awards Summary'!$J:$J,"CCWSA")</f>
        <v>0</v>
      </c>
      <c r="AA67" s="55">
        <f>SUMIFS('Disbursements Summary'!$E:$E,'Disbursements Summary'!$C:$C,$C67,'Disbursements Summary'!$A:$A,"CCWSA")</f>
        <v>0</v>
      </c>
      <c r="AB67" s="55">
        <f>SUMIFS('Awards Summary'!$H:$H,'Awards Summary'!$B:$B,$C67,'Awards Summary'!$J:$J,"CNYRTA")</f>
        <v>0</v>
      </c>
      <c r="AC67" s="55">
        <f>SUMIFS('Disbursements Summary'!$E:$E,'Disbursements Summary'!$C:$C,$C67,'Disbursements Summary'!$A:$A,"CNYRTA")</f>
        <v>0</v>
      </c>
      <c r="AD67" s="55">
        <f>SUMIFS('Awards Summary'!$H:$H,'Awards Summary'!$B:$B,$C67,'Awards Summary'!$J:$J,"CUCF")</f>
        <v>0</v>
      </c>
      <c r="AE67" s="55">
        <f>SUMIFS('Disbursements Summary'!$E:$E,'Disbursements Summary'!$C:$C,$C67,'Disbursements Summary'!$A:$A,"CUCF")</f>
        <v>0</v>
      </c>
      <c r="AF67" s="55">
        <f>SUMIFS('Awards Summary'!$H:$H,'Awards Summary'!$B:$B,$C67,'Awards Summary'!$J:$J,"CUNY")</f>
        <v>0</v>
      </c>
      <c r="AG67" s="55">
        <f>SUMIFS('Disbursements Summary'!$E:$E,'Disbursements Summary'!$C:$C,$C67,'Disbursements Summary'!$A:$A,"CUNY")</f>
        <v>0</v>
      </c>
      <c r="AH67" s="55">
        <f>SUMIFS('Awards Summary'!$H:$H,'Awards Summary'!$B:$B,$C67,'Awards Summary'!$J:$J,"ARTS")</f>
        <v>0</v>
      </c>
      <c r="AI67" s="55">
        <f>SUMIFS('Disbursements Summary'!$E:$E,'Disbursements Summary'!$C:$C,$C67,'Disbursements Summary'!$A:$A,"ARTS")</f>
        <v>0</v>
      </c>
      <c r="AJ67" s="55">
        <f>SUMIFS('Awards Summary'!$H:$H,'Awards Summary'!$B:$B,$C67,'Awards Summary'!$J:$J,"AG&amp;MKTS")</f>
        <v>0</v>
      </c>
      <c r="AK67" s="55">
        <f>SUMIFS('Disbursements Summary'!$E:$E,'Disbursements Summary'!$C:$C,$C67,'Disbursements Summary'!$A:$A,"AG&amp;MKTS")</f>
        <v>0</v>
      </c>
      <c r="AL67" s="55">
        <f>SUMIFS('Awards Summary'!$H:$H,'Awards Summary'!$B:$B,$C67,'Awards Summary'!$J:$J,"CS")</f>
        <v>0</v>
      </c>
      <c r="AM67" s="55">
        <f>SUMIFS('Disbursements Summary'!$E:$E,'Disbursements Summary'!$C:$C,$C67,'Disbursements Summary'!$A:$A,"CS")</f>
        <v>0</v>
      </c>
      <c r="AN67" s="55">
        <f>SUMIFS('Awards Summary'!$H:$H,'Awards Summary'!$B:$B,$C67,'Awards Summary'!$J:$J,"DOCCS")</f>
        <v>0</v>
      </c>
      <c r="AO67" s="55">
        <f>SUMIFS('Disbursements Summary'!$E:$E,'Disbursements Summary'!$C:$C,$C67,'Disbursements Summary'!$A:$A,"DOCCS")</f>
        <v>0</v>
      </c>
      <c r="AP67" s="55">
        <f>SUMIFS('Awards Summary'!$H:$H,'Awards Summary'!$B:$B,$C67,'Awards Summary'!$J:$J,"DED")</f>
        <v>0</v>
      </c>
      <c r="AQ67" s="55">
        <f>SUMIFS('Disbursements Summary'!$E:$E,'Disbursements Summary'!$C:$C,$C67,'Disbursements Summary'!$A:$A,"DED")</f>
        <v>0</v>
      </c>
      <c r="AR67" s="55">
        <f>SUMIFS('Awards Summary'!$H:$H,'Awards Summary'!$B:$B,$C67,'Awards Summary'!$J:$J,"DEC")</f>
        <v>0</v>
      </c>
      <c r="AS67" s="55">
        <f>SUMIFS('Disbursements Summary'!$E:$E,'Disbursements Summary'!$C:$C,$C67,'Disbursements Summary'!$A:$A,"DEC")</f>
        <v>0</v>
      </c>
      <c r="AT67" s="55">
        <f>SUMIFS('Awards Summary'!$H:$H,'Awards Summary'!$B:$B,$C67,'Awards Summary'!$J:$J,"DFS")</f>
        <v>0</v>
      </c>
      <c r="AU67" s="55">
        <f>SUMIFS('Disbursements Summary'!$E:$E,'Disbursements Summary'!$C:$C,$C67,'Disbursements Summary'!$A:$A,"DFS")</f>
        <v>0</v>
      </c>
      <c r="AV67" s="55">
        <f>SUMIFS('Awards Summary'!$H:$H,'Awards Summary'!$B:$B,$C67,'Awards Summary'!$J:$J,"DOH")</f>
        <v>0</v>
      </c>
      <c r="AW67" s="55">
        <f>SUMIFS('Disbursements Summary'!$E:$E,'Disbursements Summary'!$C:$C,$C67,'Disbursements Summary'!$A:$A,"DOH")</f>
        <v>0</v>
      </c>
      <c r="AX67" s="55">
        <f>SUMIFS('Awards Summary'!$H:$H,'Awards Summary'!$B:$B,$C67,'Awards Summary'!$J:$J,"DOL")</f>
        <v>0</v>
      </c>
      <c r="AY67" s="55">
        <f>SUMIFS('Disbursements Summary'!$E:$E,'Disbursements Summary'!$C:$C,$C67,'Disbursements Summary'!$A:$A,"DOL")</f>
        <v>0</v>
      </c>
      <c r="AZ67" s="55">
        <f>SUMIFS('Awards Summary'!$H:$H,'Awards Summary'!$B:$B,$C67,'Awards Summary'!$J:$J,"DMV")</f>
        <v>0</v>
      </c>
      <c r="BA67" s="55">
        <f>SUMIFS('Disbursements Summary'!$E:$E,'Disbursements Summary'!$C:$C,$C67,'Disbursements Summary'!$A:$A,"DMV")</f>
        <v>0</v>
      </c>
      <c r="BB67" s="55">
        <f>SUMIFS('Awards Summary'!$H:$H,'Awards Summary'!$B:$B,$C67,'Awards Summary'!$J:$J,"DPS")</f>
        <v>0</v>
      </c>
      <c r="BC67" s="55">
        <f>SUMIFS('Disbursements Summary'!$E:$E,'Disbursements Summary'!$C:$C,$C67,'Disbursements Summary'!$A:$A,"DPS")</f>
        <v>0</v>
      </c>
      <c r="BD67" s="55">
        <f>SUMIFS('Awards Summary'!$H:$H,'Awards Summary'!$B:$B,$C67,'Awards Summary'!$J:$J,"DOS")</f>
        <v>0</v>
      </c>
      <c r="BE67" s="55">
        <f>SUMIFS('Disbursements Summary'!$E:$E,'Disbursements Summary'!$C:$C,$C67,'Disbursements Summary'!$A:$A,"DOS")</f>
        <v>0</v>
      </c>
      <c r="BF67" s="55">
        <f>SUMIFS('Awards Summary'!$H:$H,'Awards Summary'!$B:$B,$C67,'Awards Summary'!$J:$J,"TAX")</f>
        <v>0</v>
      </c>
      <c r="BG67" s="55">
        <f>SUMIFS('Disbursements Summary'!$E:$E,'Disbursements Summary'!$C:$C,$C67,'Disbursements Summary'!$A:$A,"TAX")</f>
        <v>0</v>
      </c>
      <c r="BH67" s="55">
        <f>SUMIFS('Awards Summary'!$H:$H,'Awards Summary'!$B:$B,$C67,'Awards Summary'!$J:$J,"DOT")</f>
        <v>0</v>
      </c>
      <c r="BI67" s="55">
        <f>SUMIFS('Disbursements Summary'!$E:$E,'Disbursements Summary'!$C:$C,$C67,'Disbursements Summary'!$A:$A,"DOT")</f>
        <v>0</v>
      </c>
      <c r="BJ67" s="55">
        <f>SUMIFS('Awards Summary'!$H:$H,'Awards Summary'!$B:$B,$C67,'Awards Summary'!$J:$J,"DANC")</f>
        <v>0</v>
      </c>
      <c r="BK67" s="55">
        <f>SUMIFS('Disbursements Summary'!$E:$E,'Disbursements Summary'!$C:$C,$C67,'Disbursements Summary'!$A:$A,"DANC")</f>
        <v>0</v>
      </c>
      <c r="BL67" s="55">
        <f>SUMIFS('Awards Summary'!$H:$H,'Awards Summary'!$B:$B,$C67,'Awards Summary'!$J:$J,"DOB")</f>
        <v>0</v>
      </c>
      <c r="BM67" s="55">
        <f>SUMIFS('Disbursements Summary'!$E:$E,'Disbursements Summary'!$C:$C,$C67,'Disbursements Summary'!$A:$A,"DOB")</f>
        <v>0</v>
      </c>
      <c r="BN67" s="55">
        <f>SUMIFS('Awards Summary'!$H:$H,'Awards Summary'!$B:$B,$C67,'Awards Summary'!$J:$J,"DCJS")</f>
        <v>0</v>
      </c>
      <c r="BO67" s="55">
        <f>SUMIFS('Disbursements Summary'!$E:$E,'Disbursements Summary'!$C:$C,$C67,'Disbursements Summary'!$A:$A,"DCJS")</f>
        <v>0</v>
      </c>
      <c r="BP67" s="55">
        <f>SUMIFS('Awards Summary'!$H:$H,'Awards Summary'!$B:$B,$C67,'Awards Summary'!$J:$J,"DHSES")</f>
        <v>0</v>
      </c>
      <c r="BQ67" s="55">
        <f>SUMIFS('Disbursements Summary'!$E:$E,'Disbursements Summary'!$C:$C,$C67,'Disbursements Summary'!$A:$A,"DHSES")</f>
        <v>0</v>
      </c>
      <c r="BR67" s="55">
        <f>SUMIFS('Awards Summary'!$H:$H,'Awards Summary'!$B:$B,$C67,'Awards Summary'!$J:$J,"DHR")</f>
        <v>0</v>
      </c>
      <c r="BS67" s="55">
        <f>SUMIFS('Disbursements Summary'!$E:$E,'Disbursements Summary'!$C:$C,$C67,'Disbursements Summary'!$A:$A,"DHR")</f>
        <v>0</v>
      </c>
      <c r="BT67" s="55">
        <f>SUMIFS('Awards Summary'!$H:$H,'Awards Summary'!$B:$B,$C67,'Awards Summary'!$J:$J,"DMNA")</f>
        <v>0</v>
      </c>
      <c r="BU67" s="55">
        <f>SUMIFS('Disbursements Summary'!$E:$E,'Disbursements Summary'!$C:$C,$C67,'Disbursements Summary'!$A:$A,"DMNA")</f>
        <v>0</v>
      </c>
      <c r="BV67" s="55">
        <f>SUMIFS('Awards Summary'!$H:$H,'Awards Summary'!$B:$B,$C67,'Awards Summary'!$J:$J,"TROOPERS")</f>
        <v>0</v>
      </c>
      <c r="BW67" s="55">
        <f>SUMIFS('Disbursements Summary'!$E:$E,'Disbursements Summary'!$C:$C,$C67,'Disbursements Summary'!$A:$A,"TROOPERS")</f>
        <v>0</v>
      </c>
      <c r="BX67" s="55">
        <f>SUMIFS('Awards Summary'!$H:$H,'Awards Summary'!$B:$B,$C67,'Awards Summary'!$J:$J,"DVA")</f>
        <v>0</v>
      </c>
      <c r="BY67" s="55">
        <f>SUMIFS('Disbursements Summary'!$E:$E,'Disbursements Summary'!$C:$C,$C67,'Disbursements Summary'!$A:$A,"DVA")</f>
        <v>0</v>
      </c>
      <c r="BZ67" s="55">
        <f>SUMIFS('Awards Summary'!$H:$H,'Awards Summary'!$B:$B,$C67,'Awards Summary'!$J:$J,"DASNY")</f>
        <v>0</v>
      </c>
      <c r="CA67" s="55">
        <f>SUMIFS('Disbursements Summary'!$E:$E,'Disbursements Summary'!$C:$C,$C67,'Disbursements Summary'!$A:$A,"DASNY")</f>
        <v>0</v>
      </c>
      <c r="CB67" s="55">
        <f>SUMIFS('Awards Summary'!$H:$H,'Awards Summary'!$B:$B,$C67,'Awards Summary'!$J:$J,"EGG")</f>
        <v>0</v>
      </c>
      <c r="CC67" s="55">
        <f>SUMIFS('Disbursements Summary'!$E:$E,'Disbursements Summary'!$C:$C,$C67,'Disbursements Summary'!$A:$A,"EGG")</f>
        <v>0</v>
      </c>
      <c r="CD67" s="55">
        <f>SUMIFS('Awards Summary'!$H:$H,'Awards Summary'!$B:$B,$C67,'Awards Summary'!$J:$J,"ESD")</f>
        <v>0</v>
      </c>
      <c r="CE67" s="55">
        <f>SUMIFS('Disbursements Summary'!$E:$E,'Disbursements Summary'!$C:$C,$C67,'Disbursements Summary'!$A:$A,"ESD")</f>
        <v>0</v>
      </c>
      <c r="CF67" s="55">
        <f>SUMIFS('Awards Summary'!$H:$H,'Awards Summary'!$B:$B,$C67,'Awards Summary'!$J:$J,"EFC")</f>
        <v>0</v>
      </c>
      <c r="CG67" s="55">
        <f>SUMIFS('Disbursements Summary'!$E:$E,'Disbursements Summary'!$C:$C,$C67,'Disbursements Summary'!$A:$A,"EFC")</f>
        <v>0</v>
      </c>
      <c r="CH67" s="55">
        <f>SUMIFS('Awards Summary'!$H:$H,'Awards Summary'!$B:$B,$C67,'Awards Summary'!$J:$J,"ECFSA")</f>
        <v>0</v>
      </c>
      <c r="CI67" s="55">
        <f>SUMIFS('Disbursements Summary'!$E:$E,'Disbursements Summary'!$C:$C,$C67,'Disbursements Summary'!$A:$A,"ECFSA")</f>
        <v>0</v>
      </c>
      <c r="CJ67" s="55">
        <f>SUMIFS('Awards Summary'!$H:$H,'Awards Summary'!$B:$B,$C67,'Awards Summary'!$J:$J,"ECMC")</f>
        <v>0</v>
      </c>
      <c r="CK67" s="55">
        <f>SUMIFS('Disbursements Summary'!$E:$E,'Disbursements Summary'!$C:$C,$C67,'Disbursements Summary'!$A:$A,"ECMC")</f>
        <v>0</v>
      </c>
      <c r="CL67" s="55">
        <f>SUMIFS('Awards Summary'!$H:$H,'Awards Summary'!$B:$B,$C67,'Awards Summary'!$J:$J,"CHAMBER")</f>
        <v>0</v>
      </c>
      <c r="CM67" s="55">
        <f>SUMIFS('Disbursements Summary'!$E:$E,'Disbursements Summary'!$C:$C,$C67,'Disbursements Summary'!$A:$A,"CHAMBER")</f>
        <v>0</v>
      </c>
      <c r="CN67" s="55">
        <f>SUMIFS('Awards Summary'!$H:$H,'Awards Summary'!$B:$B,$C67,'Awards Summary'!$J:$J,"GAMING")</f>
        <v>0</v>
      </c>
      <c r="CO67" s="55">
        <f>SUMIFS('Disbursements Summary'!$E:$E,'Disbursements Summary'!$C:$C,$C67,'Disbursements Summary'!$A:$A,"GAMING")</f>
        <v>0</v>
      </c>
      <c r="CP67" s="55">
        <f>SUMIFS('Awards Summary'!$H:$H,'Awards Summary'!$B:$B,$C67,'Awards Summary'!$J:$J,"GOER")</f>
        <v>0</v>
      </c>
      <c r="CQ67" s="55">
        <f>SUMIFS('Disbursements Summary'!$E:$E,'Disbursements Summary'!$C:$C,$C67,'Disbursements Summary'!$A:$A,"GOER")</f>
        <v>0</v>
      </c>
      <c r="CR67" s="55">
        <f>SUMIFS('Awards Summary'!$H:$H,'Awards Summary'!$B:$B,$C67,'Awards Summary'!$J:$J,"HESC")</f>
        <v>0</v>
      </c>
      <c r="CS67" s="55">
        <f>SUMIFS('Disbursements Summary'!$E:$E,'Disbursements Summary'!$C:$C,$C67,'Disbursements Summary'!$A:$A,"HESC")</f>
        <v>0</v>
      </c>
      <c r="CT67" s="55">
        <f>SUMIFS('Awards Summary'!$H:$H,'Awards Summary'!$B:$B,$C67,'Awards Summary'!$J:$J,"GOSR")</f>
        <v>0</v>
      </c>
      <c r="CU67" s="55">
        <f>SUMIFS('Disbursements Summary'!$E:$E,'Disbursements Summary'!$C:$C,$C67,'Disbursements Summary'!$A:$A,"GOSR")</f>
        <v>0</v>
      </c>
      <c r="CV67" s="55">
        <f>SUMIFS('Awards Summary'!$H:$H,'Awards Summary'!$B:$B,$C67,'Awards Summary'!$J:$J,"HRPT")</f>
        <v>0</v>
      </c>
      <c r="CW67" s="55">
        <f>SUMIFS('Disbursements Summary'!$E:$E,'Disbursements Summary'!$C:$C,$C67,'Disbursements Summary'!$A:$A,"HRPT")</f>
        <v>0</v>
      </c>
      <c r="CX67" s="55">
        <f>SUMIFS('Awards Summary'!$H:$H,'Awards Summary'!$B:$B,$C67,'Awards Summary'!$J:$J,"HRBRRD")</f>
        <v>0</v>
      </c>
      <c r="CY67" s="55">
        <f>SUMIFS('Disbursements Summary'!$E:$E,'Disbursements Summary'!$C:$C,$C67,'Disbursements Summary'!$A:$A,"HRBRRD")</f>
        <v>0</v>
      </c>
      <c r="CZ67" s="55">
        <f>SUMIFS('Awards Summary'!$H:$H,'Awards Summary'!$B:$B,$C67,'Awards Summary'!$J:$J,"ITS")</f>
        <v>0</v>
      </c>
      <c r="DA67" s="55">
        <f>SUMIFS('Disbursements Summary'!$E:$E,'Disbursements Summary'!$C:$C,$C67,'Disbursements Summary'!$A:$A,"ITS")</f>
        <v>0</v>
      </c>
      <c r="DB67" s="55">
        <f>SUMIFS('Awards Summary'!$H:$H,'Awards Summary'!$B:$B,$C67,'Awards Summary'!$J:$J,"JAVITS")</f>
        <v>0</v>
      </c>
      <c r="DC67" s="55">
        <f>SUMIFS('Disbursements Summary'!$E:$E,'Disbursements Summary'!$C:$C,$C67,'Disbursements Summary'!$A:$A,"JAVITS")</f>
        <v>0</v>
      </c>
      <c r="DD67" s="55">
        <f>SUMIFS('Awards Summary'!$H:$H,'Awards Summary'!$B:$B,$C67,'Awards Summary'!$J:$J,"JCOPE")</f>
        <v>0</v>
      </c>
      <c r="DE67" s="55">
        <f>SUMIFS('Disbursements Summary'!$E:$E,'Disbursements Summary'!$C:$C,$C67,'Disbursements Summary'!$A:$A,"JCOPE")</f>
        <v>0</v>
      </c>
      <c r="DF67" s="55">
        <f>SUMIFS('Awards Summary'!$H:$H,'Awards Summary'!$B:$B,$C67,'Awards Summary'!$J:$J,"JUSTICE")</f>
        <v>0</v>
      </c>
      <c r="DG67" s="55">
        <f>SUMIFS('Disbursements Summary'!$E:$E,'Disbursements Summary'!$C:$C,$C67,'Disbursements Summary'!$A:$A,"JUSTICE")</f>
        <v>0</v>
      </c>
      <c r="DH67" s="55">
        <f>SUMIFS('Awards Summary'!$H:$H,'Awards Summary'!$B:$B,$C67,'Awards Summary'!$J:$J,"LCWSA")</f>
        <v>0</v>
      </c>
      <c r="DI67" s="55">
        <f>SUMIFS('Disbursements Summary'!$E:$E,'Disbursements Summary'!$C:$C,$C67,'Disbursements Summary'!$A:$A,"LCWSA")</f>
        <v>0</v>
      </c>
      <c r="DJ67" s="55">
        <f>SUMIFS('Awards Summary'!$H:$H,'Awards Summary'!$B:$B,$C67,'Awards Summary'!$J:$J,"LIPA")</f>
        <v>0</v>
      </c>
      <c r="DK67" s="55">
        <f>SUMIFS('Disbursements Summary'!$E:$E,'Disbursements Summary'!$C:$C,$C67,'Disbursements Summary'!$A:$A,"LIPA")</f>
        <v>0</v>
      </c>
      <c r="DL67" s="55">
        <f>SUMIFS('Awards Summary'!$H:$H,'Awards Summary'!$B:$B,$C67,'Awards Summary'!$J:$J,"MTA")</f>
        <v>0</v>
      </c>
      <c r="DM67" s="55">
        <f>SUMIFS('Disbursements Summary'!$E:$E,'Disbursements Summary'!$C:$C,$C67,'Disbursements Summary'!$A:$A,"MTA")</f>
        <v>0</v>
      </c>
      <c r="DN67" s="55">
        <f>SUMIFS('Awards Summary'!$H:$H,'Awards Summary'!$B:$B,$C67,'Awards Summary'!$J:$J,"NIFA")</f>
        <v>0</v>
      </c>
      <c r="DO67" s="55">
        <f>SUMIFS('Disbursements Summary'!$E:$E,'Disbursements Summary'!$C:$C,$C67,'Disbursements Summary'!$A:$A,"NIFA")</f>
        <v>0</v>
      </c>
      <c r="DP67" s="55">
        <f>SUMIFS('Awards Summary'!$H:$H,'Awards Summary'!$B:$B,$C67,'Awards Summary'!$J:$J,"NHCC")</f>
        <v>0</v>
      </c>
      <c r="DQ67" s="55">
        <f>SUMIFS('Disbursements Summary'!$E:$E,'Disbursements Summary'!$C:$C,$C67,'Disbursements Summary'!$A:$A,"NHCC")</f>
        <v>0</v>
      </c>
      <c r="DR67" s="55">
        <f>SUMIFS('Awards Summary'!$H:$H,'Awards Summary'!$B:$B,$C67,'Awards Summary'!$J:$J,"NHT")</f>
        <v>0</v>
      </c>
      <c r="DS67" s="55">
        <f>SUMIFS('Disbursements Summary'!$E:$E,'Disbursements Summary'!$C:$C,$C67,'Disbursements Summary'!$A:$A,"NHT")</f>
        <v>0</v>
      </c>
      <c r="DT67" s="55">
        <f>SUMIFS('Awards Summary'!$H:$H,'Awards Summary'!$B:$B,$C67,'Awards Summary'!$J:$J,"NYPA")</f>
        <v>0</v>
      </c>
      <c r="DU67" s="55">
        <f>SUMIFS('Disbursements Summary'!$E:$E,'Disbursements Summary'!$C:$C,$C67,'Disbursements Summary'!$A:$A,"NYPA")</f>
        <v>0</v>
      </c>
      <c r="DV67" s="55">
        <f>SUMIFS('Awards Summary'!$H:$H,'Awards Summary'!$B:$B,$C67,'Awards Summary'!$J:$J,"NYSBA")</f>
        <v>0</v>
      </c>
      <c r="DW67" s="55">
        <f>SUMIFS('Disbursements Summary'!$E:$E,'Disbursements Summary'!$C:$C,$C67,'Disbursements Summary'!$A:$A,"NYSBA")</f>
        <v>0</v>
      </c>
      <c r="DX67" s="55">
        <f>SUMIFS('Awards Summary'!$H:$H,'Awards Summary'!$B:$B,$C67,'Awards Summary'!$J:$J,"NYSERDA")</f>
        <v>0</v>
      </c>
      <c r="DY67" s="55">
        <f>SUMIFS('Disbursements Summary'!$E:$E,'Disbursements Summary'!$C:$C,$C67,'Disbursements Summary'!$A:$A,"NYSERDA")</f>
        <v>0</v>
      </c>
      <c r="DZ67" s="55">
        <f>SUMIFS('Awards Summary'!$H:$H,'Awards Summary'!$B:$B,$C67,'Awards Summary'!$J:$J,"DHCR")</f>
        <v>0</v>
      </c>
      <c r="EA67" s="55">
        <f>SUMIFS('Disbursements Summary'!$E:$E,'Disbursements Summary'!$C:$C,$C67,'Disbursements Summary'!$A:$A,"DHCR")</f>
        <v>0</v>
      </c>
      <c r="EB67" s="55">
        <f>SUMIFS('Awards Summary'!$H:$H,'Awards Summary'!$B:$B,$C67,'Awards Summary'!$J:$J,"HFA")</f>
        <v>0</v>
      </c>
      <c r="EC67" s="55">
        <f>SUMIFS('Disbursements Summary'!$E:$E,'Disbursements Summary'!$C:$C,$C67,'Disbursements Summary'!$A:$A,"HFA")</f>
        <v>0</v>
      </c>
      <c r="ED67" s="55">
        <f>SUMIFS('Awards Summary'!$H:$H,'Awards Summary'!$B:$B,$C67,'Awards Summary'!$J:$J,"NYSIF")</f>
        <v>0</v>
      </c>
      <c r="EE67" s="55">
        <f>SUMIFS('Disbursements Summary'!$E:$E,'Disbursements Summary'!$C:$C,$C67,'Disbursements Summary'!$A:$A,"NYSIF")</f>
        <v>0</v>
      </c>
      <c r="EF67" s="55">
        <f>SUMIFS('Awards Summary'!$H:$H,'Awards Summary'!$B:$B,$C67,'Awards Summary'!$J:$J,"NYBREDS")</f>
        <v>0</v>
      </c>
      <c r="EG67" s="55">
        <f>SUMIFS('Disbursements Summary'!$E:$E,'Disbursements Summary'!$C:$C,$C67,'Disbursements Summary'!$A:$A,"NYBREDS")</f>
        <v>0</v>
      </c>
      <c r="EH67" s="55">
        <f>SUMIFS('Awards Summary'!$H:$H,'Awards Summary'!$B:$B,$C67,'Awards Summary'!$J:$J,"NYSTA")</f>
        <v>0</v>
      </c>
      <c r="EI67" s="55">
        <f>SUMIFS('Disbursements Summary'!$E:$E,'Disbursements Summary'!$C:$C,$C67,'Disbursements Summary'!$A:$A,"NYSTA")</f>
        <v>0</v>
      </c>
      <c r="EJ67" s="55">
        <f>SUMIFS('Awards Summary'!$H:$H,'Awards Summary'!$B:$B,$C67,'Awards Summary'!$J:$J,"NFWB")</f>
        <v>0</v>
      </c>
      <c r="EK67" s="55">
        <f>SUMIFS('Disbursements Summary'!$E:$E,'Disbursements Summary'!$C:$C,$C67,'Disbursements Summary'!$A:$A,"NFWB")</f>
        <v>0</v>
      </c>
      <c r="EL67" s="55">
        <f>SUMIFS('Awards Summary'!$H:$H,'Awards Summary'!$B:$B,$C67,'Awards Summary'!$J:$J,"NFTA")</f>
        <v>0</v>
      </c>
      <c r="EM67" s="55">
        <f>SUMIFS('Disbursements Summary'!$E:$E,'Disbursements Summary'!$C:$C,$C67,'Disbursements Summary'!$A:$A,"NFTA")</f>
        <v>0</v>
      </c>
      <c r="EN67" s="55">
        <f>SUMIFS('Awards Summary'!$H:$H,'Awards Summary'!$B:$B,$C67,'Awards Summary'!$J:$J,"OPWDD")</f>
        <v>0</v>
      </c>
      <c r="EO67" s="55">
        <f>SUMIFS('Disbursements Summary'!$E:$E,'Disbursements Summary'!$C:$C,$C67,'Disbursements Summary'!$A:$A,"OPWDD")</f>
        <v>0</v>
      </c>
      <c r="EP67" s="55">
        <f>SUMIFS('Awards Summary'!$H:$H,'Awards Summary'!$B:$B,$C67,'Awards Summary'!$J:$J,"AGING")</f>
        <v>0</v>
      </c>
      <c r="EQ67" s="55">
        <f>SUMIFS('Disbursements Summary'!$E:$E,'Disbursements Summary'!$C:$C,$C67,'Disbursements Summary'!$A:$A,"AGING")</f>
        <v>0</v>
      </c>
      <c r="ER67" s="55">
        <f>SUMIFS('Awards Summary'!$H:$H,'Awards Summary'!$B:$B,$C67,'Awards Summary'!$J:$J,"OPDV")</f>
        <v>0</v>
      </c>
      <c r="ES67" s="55">
        <f>SUMIFS('Disbursements Summary'!$E:$E,'Disbursements Summary'!$C:$C,$C67,'Disbursements Summary'!$A:$A,"OPDV")</f>
        <v>0</v>
      </c>
      <c r="ET67" s="55">
        <f>SUMIFS('Awards Summary'!$H:$H,'Awards Summary'!$B:$B,$C67,'Awards Summary'!$J:$J,"OVS")</f>
        <v>0</v>
      </c>
      <c r="EU67" s="55">
        <f>SUMIFS('Disbursements Summary'!$E:$E,'Disbursements Summary'!$C:$C,$C67,'Disbursements Summary'!$A:$A,"OVS")</f>
        <v>0</v>
      </c>
      <c r="EV67" s="55">
        <f>SUMIFS('Awards Summary'!$H:$H,'Awards Summary'!$B:$B,$C67,'Awards Summary'!$J:$J,"OASAS")</f>
        <v>0</v>
      </c>
      <c r="EW67" s="55">
        <f>SUMIFS('Disbursements Summary'!$E:$E,'Disbursements Summary'!$C:$C,$C67,'Disbursements Summary'!$A:$A,"OASAS")</f>
        <v>0</v>
      </c>
      <c r="EX67" s="55">
        <f>SUMIFS('Awards Summary'!$H:$H,'Awards Summary'!$B:$B,$C67,'Awards Summary'!$J:$J,"OCFS")</f>
        <v>0</v>
      </c>
      <c r="EY67" s="55">
        <f>SUMIFS('Disbursements Summary'!$E:$E,'Disbursements Summary'!$C:$C,$C67,'Disbursements Summary'!$A:$A,"OCFS")</f>
        <v>0</v>
      </c>
      <c r="EZ67" s="55">
        <f>SUMIFS('Awards Summary'!$H:$H,'Awards Summary'!$B:$B,$C67,'Awards Summary'!$J:$J,"OGS")</f>
        <v>0</v>
      </c>
      <c r="FA67" s="55">
        <f>SUMIFS('Disbursements Summary'!$E:$E,'Disbursements Summary'!$C:$C,$C67,'Disbursements Summary'!$A:$A,"OGS")</f>
        <v>0</v>
      </c>
      <c r="FB67" s="55">
        <f>SUMIFS('Awards Summary'!$H:$H,'Awards Summary'!$B:$B,$C67,'Awards Summary'!$J:$J,"OMH")</f>
        <v>0</v>
      </c>
      <c r="FC67" s="55">
        <f>SUMIFS('Disbursements Summary'!$E:$E,'Disbursements Summary'!$C:$C,$C67,'Disbursements Summary'!$A:$A,"OMH")</f>
        <v>0</v>
      </c>
      <c r="FD67" s="55">
        <f>SUMIFS('Awards Summary'!$H:$H,'Awards Summary'!$B:$B,$C67,'Awards Summary'!$J:$J,"PARKS")</f>
        <v>0</v>
      </c>
      <c r="FE67" s="55">
        <f>SUMIFS('Disbursements Summary'!$E:$E,'Disbursements Summary'!$C:$C,$C67,'Disbursements Summary'!$A:$A,"PARKS")</f>
        <v>0</v>
      </c>
      <c r="FF67" s="55">
        <f>SUMIFS('Awards Summary'!$H:$H,'Awards Summary'!$B:$B,$C67,'Awards Summary'!$J:$J,"OTDA")</f>
        <v>0</v>
      </c>
      <c r="FG67" s="55">
        <f>SUMIFS('Disbursements Summary'!$E:$E,'Disbursements Summary'!$C:$C,$C67,'Disbursements Summary'!$A:$A,"OTDA")</f>
        <v>0</v>
      </c>
      <c r="FH67" s="55">
        <f>SUMIFS('Awards Summary'!$H:$H,'Awards Summary'!$B:$B,$C67,'Awards Summary'!$J:$J,"OIG")</f>
        <v>0</v>
      </c>
      <c r="FI67" s="55">
        <f>SUMIFS('Disbursements Summary'!$E:$E,'Disbursements Summary'!$C:$C,$C67,'Disbursements Summary'!$A:$A,"OIG")</f>
        <v>0</v>
      </c>
      <c r="FJ67" s="55">
        <f>SUMIFS('Awards Summary'!$H:$H,'Awards Summary'!$B:$B,$C67,'Awards Summary'!$J:$J,"OMIG")</f>
        <v>0</v>
      </c>
      <c r="FK67" s="55">
        <f>SUMIFS('Disbursements Summary'!$E:$E,'Disbursements Summary'!$C:$C,$C67,'Disbursements Summary'!$A:$A,"OMIG")</f>
        <v>0</v>
      </c>
      <c r="FL67" s="55">
        <f>SUMIFS('Awards Summary'!$H:$H,'Awards Summary'!$B:$B,$C67,'Awards Summary'!$J:$J,"OSC")</f>
        <v>0</v>
      </c>
      <c r="FM67" s="55">
        <f>SUMIFS('Disbursements Summary'!$E:$E,'Disbursements Summary'!$C:$C,$C67,'Disbursements Summary'!$A:$A,"OSC")</f>
        <v>0</v>
      </c>
      <c r="FN67" s="55">
        <f>SUMIFS('Awards Summary'!$H:$H,'Awards Summary'!$B:$B,$C67,'Awards Summary'!$J:$J,"OWIG")</f>
        <v>0</v>
      </c>
      <c r="FO67" s="55">
        <f>SUMIFS('Disbursements Summary'!$E:$E,'Disbursements Summary'!$C:$C,$C67,'Disbursements Summary'!$A:$A,"OWIG")</f>
        <v>0</v>
      </c>
      <c r="FP67" s="55">
        <f>SUMIFS('Awards Summary'!$H:$H,'Awards Summary'!$B:$B,$C67,'Awards Summary'!$J:$J,"OGDEN")</f>
        <v>0</v>
      </c>
      <c r="FQ67" s="55">
        <f>SUMIFS('Disbursements Summary'!$E:$E,'Disbursements Summary'!$C:$C,$C67,'Disbursements Summary'!$A:$A,"OGDEN")</f>
        <v>0</v>
      </c>
      <c r="FR67" s="55">
        <f>SUMIFS('Awards Summary'!$H:$H,'Awards Summary'!$B:$B,$C67,'Awards Summary'!$J:$J,"ORDA")</f>
        <v>0</v>
      </c>
      <c r="FS67" s="55">
        <f>SUMIFS('Disbursements Summary'!$E:$E,'Disbursements Summary'!$C:$C,$C67,'Disbursements Summary'!$A:$A,"ORDA")</f>
        <v>0</v>
      </c>
      <c r="FT67" s="55">
        <f>SUMIFS('Awards Summary'!$H:$H,'Awards Summary'!$B:$B,$C67,'Awards Summary'!$J:$J,"OSWEGO")</f>
        <v>0</v>
      </c>
      <c r="FU67" s="55">
        <f>SUMIFS('Disbursements Summary'!$E:$E,'Disbursements Summary'!$C:$C,$C67,'Disbursements Summary'!$A:$A,"OSWEGO")</f>
        <v>0</v>
      </c>
      <c r="FV67" s="55">
        <f>SUMIFS('Awards Summary'!$H:$H,'Awards Summary'!$B:$B,$C67,'Awards Summary'!$J:$J,"PERB")</f>
        <v>0</v>
      </c>
      <c r="FW67" s="55">
        <f>SUMIFS('Disbursements Summary'!$E:$E,'Disbursements Summary'!$C:$C,$C67,'Disbursements Summary'!$A:$A,"PERB")</f>
        <v>0</v>
      </c>
      <c r="FX67" s="55">
        <f>SUMIFS('Awards Summary'!$H:$H,'Awards Summary'!$B:$B,$C67,'Awards Summary'!$J:$J,"RGRTA")</f>
        <v>0</v>
      </c>
      <c r="FY67" s="55">
        <f>SUMIFS('Disbursements Summary'!$E:$E,'Disbursements Summary'!$C:$C,$C67,'Disbursements Summary'!$A:$A,"RGRTA")</f>
        <v>0</v>
      </c>
      <c r="FZ67" s="55">
        <f>SUMIFS('Awards Summary'!$H:$H,'Awards Summary'!$B:$B,$C67,'Awards Summary'!$J:$J,"RIOC")</f>
        <v>0</v>
      </c>
      <c r="GA67" s="55">
        <f>SUMIFS('Disbursements Summary'!$E:$E,'Disbursements Summary'!$C:$C,$C67,'Disbursements Summary'!$A:$A,"RIOC")</f>
        <v>0</v>
      </c>
      <c r="GB67" s="55">
        <f>SUMIFS('Awards Summary'!$H:$H,'Awards Summary'!$B:$B,$C67,'Awards Summary'!$J:$J,"RPCI")</f>
        <v>0</v>
      </c>
      <c r="GC67" s="55">
        <f>SUMIFS('Disbursements Summary'!$E:$E,'Disbursements Summary'!$C:$C,$C67,'Disbursements Summary'!$A:$A,"RPCI")</f>
        <v>0</v>
      </c>
      <c r="GD67" s="55">
        <f>SUMIFS('Awards Summary'!$H:$H,'Awards Summary'!$B:$B,$C67,'Awards Summary'!$J:$J,"SMDA")</f>
        <v>0</v>
      </c>
      <c r="GE67" s="55">
        <f>SUMIFS('Disbursements Summary'!$E:$E,'Disbursements Summary'!$C:$C,$C67,'Disbursements Summary'!$A:$A,"SMDA")</f>
        <v>0</v>
      </c>
      <c r="GF67" s="55">
        <f>SUMIFS('Awards Summary'!$H:$H,'Awards Summary'!$B:$B,$C67,'Awards Summary'!$J:$J,"SCOC")</f>
        <v>0</v>
      </c>
      <c r="GG67" s="55">
        <f>SUMIFS('Disbursements Summary'!$E:$E,'Disbursements Summary'!$C:$C,$C67,'Disbursements Summary'!$A:$A,"SCOC")</f>
        <v>0</v>
      </c>
      <c r="GH67" s="55">
        <f>SUMIFS('Awards Summary'!$H:$H,'Awards Summary'!$B:$B,$C67,'Awards Summary'!$J:$J,"SUCF")</f>
        <v>0</v>
      </c>
      <c r="GI67" s="55">
        <f>SUMIFS('Disbursements Summary'!$E:$E,'Disbursements Summary'!$C:$C,$C67,'Disbursements Summary'!$A:$A,"SUCF")</f>
        <v>0</v>
      </c>
      <c r="GJ67" s="55">
        <f>SUMIFS('Awards Summary'!$H:$H,'Awards Summary'!$B:$B,$C67,'Awards Summary'!$J:$J,"SUNY")</f>
        <v>0</v>
      </c>
      <c r="GK67" s="55">
        <f>SUMIFS('Disbursements Summary'!$E:$E,'Disbursements Summary'!$C:$C,$C67,'Disbursements Summary'!$A:$A,"SUNY")</f>
        <v>0</v>
      </c>
      <c r="GL67" s="55">
        <f>SUMIFS('Awards Summary'!$H:$H,'Awards Summary'!$B:$B,$C67,'Awards Summary'!$J:$J,"SRAA")</f>
        <v>0</v>
      </c>
      <c r="GM67" s="55">
        <f>SUMIFS('Disbursements Summary'!$E:$E,'Disbursements Summary'!$C:$C,$C67,'Disbursements Summary'!$A:$A,"SRAA")</f>
        <v>0</v>
      </c>
      <c r="GN67" s="55">
        <f>SUMIFS('Awards Summary'!$H:$H,'Awards Summary'!$B:$B,$C67,'Awards Summary'!$J:$J,"UNDC")</f>
        <v>0</v>
      </c>
      <c r="GO67" s="55">
        <f>SUMIFS('Disbursements Summary'!$E:$E,'Disbursements Summary'!$C:$C,$C67,'Disbursements Summary'!$A:$A,"UNDC")</f>
        <v>0</v>
      </c>
      <c r="GP67" s="55">
        <f>SUMIFS('Awards Summary'!$H:$H,'Awards Summary'!$B:$B,$C67,'Awards Summary'!$J:$J,"MVWA")</f>
        <v>0</v>
      </c>
      <c r="GQ67" s="55">
        <f>SUMIFS('Disbursements Summary'!$E:$E,'Disbursements Summary'!$C:$C,$C67,'Disbursements Summary'!$A:$A,"MVWA")</f>
        <v>0</v>
      </c>
      <c r="GR67" s="55">
        <f>SUMIFS('Awards Summary'!$H:$H,'Awards Summary'!$B:$B,$C67,'Awards Summary'!$J:$J,"WMC")</f>
        <v>0</v>
      </c>
      <c r="GS67" s="55">
        <f>SUMIFS('Disbursements Summary'!$E:$E,'Disbursements Summary'!$C:$C,$C67,'Disbursements Summary'!$A:$A,"WMC")</f>
        <v>0</v>
      </c>
      <c r="GT67" s="55">
        <f>SUMIFS('Awards Summary'!$H:$H,'Awards Summary'!$B:$B,$C67,'Awards Summary'!$J:$J,"WCB")</f>
        <v>0</v>
      </c>
      <c r="GU67" s="55">
        <f>SUMIFS('Disbursements Summary'!$E:$E,'Disbursements Summary'!$C:$C,$C67,'Disbursements Summary'!$A:$A,"WCB")</f>
        <v>0</v>
      </c>
      <c r="GV67" s="32">
        <f t="shared" si="5"/>
        <v>0</v>
      </c>
      <c r="GW67" s="32">
        <f t="shared" si="6"/>
        <v>0</v>
      </c>
      <c r="GX67" s="30" t="b">
        <f t="shared" si="7"/>
        <v>1</v>
      </c>
      <c r="GY67" s="30" t="b">
        <f t="shared" si="8"/>
        <v>1</v>
      </c>
    </row>
    <row r="68" spans="1:207" s="30" customFormat="1">
      <c r="A68" s="22" t="str">
        <f t="shared" si="9"/>
        <v/>
      </c>
      <c r="B68" s="18" t="s">
        <v>255</v>
      </c>
      <c r="C68" s="16">
        <v>151131</v>
      </c>
      <c r="D68" s="26">
        <f>COUNTIF('Awards Summary'!B:B,"151131")</f>
        <v>0</v>
      </c>
      <c r="E68" s="45">
        <f>SUMIFS('Awards Summary'!H:H,'Awards Summary'!B:B,"151131")</f>
        <v>0</v>
      </c>
      <c r="F68" s="46">
        <f>SUMIFS('Disbursements Summary'!E:E,'Disbursements Summary'!C:C, "151131")</f>
        <v>0</v>
      </c>
      <c r="H68" s="55">
        <f>SUMIFS('Awards Summary'!$H:$H,'Awards Summary'!$B:$B,$C68,'Awards Summary'!$J:$J,"APA")</f>
        <v>0</v>
      </c>
      <c r="I68" s="55">
        <f>SUMIFS('Disbursements Summary'!$E:$E,'Disbursements Summary'!$C:$C,$C68,'Disbursements Summary'!$A:$A,"APA")</f>
        <v>0</v>
      </c>
      <c r="J68" s="55">
        <f>SUMIFS('Awards Summary'!$H:$H,'Awards Summary'!$B:$B,$C68,'Awards Summary'!$J:$J,"Ag&amp;Horse")</f>
        <v>0</v>
      </c>
      <c r="K68" s="55">
        <f>SUMIFS('Disbursements Summary'!$E:$E,'Disbursements Summary'!$C:$C,$C68,'Disbursements Summary'!$A:$A,"Ag&amp;Horse")</f>
        <v>0</v>
      </c>
      <c r="L68" s="55">
        <f>SUMIFS('Awards Summary'!$H:$H,'Awards Summary'!$B:$B,$C68,'Awards Summary'!$J:$J,"ACAA")</f>
        <v>0</v>
      </c>
      <c r="M68" s="55">
        <f>SUMIFS('Disbursements Summary'!$E:$E,'Disbursements Summary'!$C:$C,$C68,'Disbursements Summary'!$A:$A,"ACAA")</f>
        <v>0</v>
      </c>
      <c r="N68" s="55">
        <f>SUMIFS('Awards Summary'!$H:$H,'Awards Summary'!$B:$B,$C68,'Awards Summary'!$J:$J,"PortAlbany")</f>
        <v>0</v>
      </c>
      <c r="O68" s="55">
        <f>SUMIFS('Disbursements Summary'!$E:$E,'Disbursements Summary'!$C:$C,$C68,'Disbursements Summary'!$A:$A,"PortAlbany")</f>
        <v>0</v>
      </c>
      <c r="P68" s="55">
        <f>SUMIFS('Awards Summary'!$H:$H,'Awards Summary'!$B:$B,$C68,'Awards Summary'!$J:$J,"SLA")</f>
        <v>0</v>
      </c>
      <c r="Q68" s="55">
        <f>SUMIFS('Disbursements Summary'!$E:$E,'Disbursements Summary'!$C:$C,$C68,'Disbursements Summary'!$A:$A,"SLA")</f>
        <v>0</v>
      </c>
      <c r="R68" s="55">
        <f>SUMIFS('Awards Summary'!$H:$H,'Awards Summary'!$B:$B,$C68,'Awards Summary'!$J:$J,"BPCA")</f>
        <v>0</v>
      </c>
      <c r="S68" s="55">
        <f>SUMIFS('Disbursements Summary'!$E:$E,'Disbursements Summary'!$C:$C,$C68,'Disbursements Summary'!$A:$A,"BPCA")</f>
        <v>0</v>
      </c>
      <c r="T68" s="55">
        <f>SUMIFS('Awards Summary'!$H:$H,'Awards Summary'!$B:$B,$C68,'Awards Summary'!$J:$J,"ELECTIONS")</f>
        <v>0</v>
      </c>
      <c r="U68" s="55">
        <f>SUMIFS('Disbursements Summary'!$E:$E,'Disbursements Summary'!$C:$C,$C68,'Disbursements Summary'!$A:$A,"ELECTIONS")</f>
        <v>0</v>
      </c>
      <c r="V68" s="55">
        <f>SUMIFS('Awards Summary'!$H:$H,'Awards Summary'!$B:$B,$C68,'Awards Summary'!$J:$J,"BFSA")</f>
        <v>0</v>
      </c>
      <c r="W68" s="55">
        <f>SUMIFS('Disbursements Summary'!$E:$E,'Disbursements Summary'!$C:$C,$C68,'Disbursements Summary'!$A:$A,"BFSA")</f>
        <v>0</v>
      </c>
      <c r="X68" s="55">
        <f>SUMIFS('Awards Summary'!$H:$H,'Awards Summary'!$B:$B,$C68,'Awards Summary'!$J:$J,"CDTA")</f>
        <v>0</v>
      </c>
      <c r="Y68" s="55">
        <f>SUMIFS('Disbursements Summary'!$E:$E,'Disbursements Summary'!$C:$C,$C68,'Disbursements Summary'!$A:$A,"CDTA")</f>
        <v>0</v>
      </c>
      <c r="Z68" s="55">
        <f>SUMIFS('Awards Summary'!$H:$H,'Awards Summary'!$B:$B,$C68,'Awards Summary'!$J:$J,"CCWSA")</f>
        <v>0</v>
      </c>
      <c r="AA68" s="55">
        <f>SUMIFS('Disbursements Summary'!$E:$E,'Disbursements Summary'!$C:$C,$C68,'Disbursements Summary'!$A:$A,"CCWSA")</f>
        <v>0</v>
      </c>
      <c r="AB68" s="55">
        <f>SUMIFS('Awards Summary'!$H:$H,'Awards Summary'!$B:$B,$C68,'Awards Summary'!$J:$J,"CNYRTA")</f>
        <v>0</v>
      </c>
      <c r="AC68" s="55">
        <f>SUMIFS('Disbursements Summary'!$E:$E,'Disbursements Summary'!$C:$C,$C68,'Disbursements Summary'!$A:$A,"CNYRTA")</f>
        <v>0</v>
      </c>
      <c r="AD68" s="55">
        <f>SUMIFS('Awards Summary'!$H:$H,'Awards Summary'!$B:$B,$C68,'Awards Summary'!$J:$J,"CUCF")</f>
        <v>0</v>
      </c>
      <c r="AE68" s="55">
        <f>SUMIFS('Disbursements Summary'!$E:$E,'Disbursements Summary'!$C:$C,$C68,'Disbursements Summary'!$A:$A,"CUCF")</f>
        <v>0</v>
      </c>
      <c r="AF68" s="55">
        <f>SUMIFS('Awards Summary'!$H:$H,'Awards Summary'!$B:$B,$C68,'Awards Summary'!$J:$J,"CUNY")</f>
        <v>0</v>
      </c>
      <c r="AG68" s="55">
        <f>SUMIFS('Disbursements Summary'!$E:$E,'Disbursements Summary'!$C:$C,$C68,'Disbursements Summary'!$A:$A,"CUNY")</f>
        <v>0</v>
      </c>
      <c r="AH68" s="55">
        <f>SUMIFS('Awards Summary'!$H:$H,'Awards Summary'!$B:$B,$C68,'Awards Summary'!$J:$J,"ARTS")</f>
        <v>0</v>
      </c>
      <c r="AI68" s="55">
        <f>SUMIFS('Disbursements Summary'!$E:$E,'Disbursements Summary'!$C:$C,$C68,'Disbursements Summary'!$A:$A,"ARTS")</f>
        <v>0</v>
      </c>
      <c r="AJ68" s="55">
        <f>SUMIFS('Awards Summary'!$H:$H,'Awards Summary'!$B:$B,$C68,'Awards Summary'!$J:$J,"AG&amp;MKTS")</f>
        <v>0</v>
      </c>
      <c r="AK68" s="55">
        <f>SUMIFS('Disbursements Summary'!$E:$E,'Disbursements Summary'!$C:$C,$C68,'Disbursements Summary'!$A:$A,"AG&amp;MKTS")</f>
        <v>0</v>
      </c>
      <c r="AL68" s="55">
        <f>SUMIFS('Awards Summary'!$H:$H,'Awards Summary'!$B:$B,$C68,'Awards Summary'!$J:$J,"CS")</f>
        <v>0</v>
      </c>
      <c r="AM68" s="55">
        <f>SUMIFS('Disbursements Summary'!$E:$E,'Disbursements Summary'!$C:$C,$C68,'Disbursements Summary'!$A:$A,"CS")</f>
        <v>0</v>
      </c>
      <c r="AN68" s="55">
        <f>SUMIFS('Awards Summary'!$H:$H,'Awards Summary'!$B:$B,$C68,'Awards Summary'!$J:$J,"DOCCS")</f>
        <v>0</v>
      </c>
      <c r="AO68" s="55">
        <f>SUMIFS('Disbursements Summary'!$E:$E,'Disbursements Summary'!$C:$C,$C68,'Disbursements Summary'!$A:$A,"DOCCS")</f>
        <v>0</v>
      </c>
      <c r="AP68" s="55">
        <f>SUMIFS('Awards Summary'!$H:$H,'Awards Summary'!$B:$B,$C68,'Awards Summary'!$J:$J,"DED")</f>
        <v>0</v>
      </c>
      <c r="AQ68" s="55">
        <f>SUMIFS('Disbursements Summary'!$E:$E,'Disbursements Summary'!$C:$C,$C68,'Disbursements Summary'!$A:$A,"DED")</f>
        <v>0</v>
      </c>
      <c r="AR68" s="55">
        <f>SUMIFS('Awards Summary'!$H:$H,'Awards Summary'!$B:$B,$C68,'Awards Summary'!$J:$J,"DEC")</f>
        <v>0</v>
      </c>
      <c r="AS68" s="55">
        <f>SUMIFS('Disbursements Summary'!$E:$E,'Disbursements Summary'!$C:$C,$C68,'Disbursements Summary'!$A:$A,"DEC")</f>
        <v>0</v>
      </c>
      <c r="AT68" s="55">
        <f>SUMIFS('Awards Summary'!$H:$H,'Awards Summary'!$B:$B,$C68,'Awards Summary'!$J:$J,"DFS")</f>
        <v>0</v>
      </c>
      <c r="AU68" s="55">
        <f>SUMIFS('Disbursements Summary'!$E:$E,'Disbursements Summary'!$C:$C,$C68,'Disbursements Summary'!$A:$A,"DFS")</f>
        <v>0</v>
      </c>
      <c r="AV68" s="55">
        <f>SUMIFS('Awards Summary'!$H:$H,'Awards Summary'!$B:$B,$C68,'Awards Summary'!$J:$J,"DOH")</f>
        <v>0</v>
      </c>
      <c r="AW68" s="55">
        <f>SUMIFS('Disbursements Summary'!$E:$E,'Disbursements Summary'!$C:$C,$C68,'Disbursements Summary'!$A:$A,"DOH")</f>
        <v>0</v>
      </c>
      <c r="AX68" s="55">
        <f>SUMIFS('Awards Summary'!$H:$H,'Awards Summary'!$B:$B,$C68,'Awards Summary'!$J:$J,"DOL")</f>
        <v>0</v>
      </c>
      <c r="AY68" s="55">
        <f>SUMIFS('Disbursements Summary'!$E:$E,'Disbursements Summary'!$C:$C,$C68,'Disbursements Summary'!$A:$A,"DOL")</f>
        <v>0</v>
      </c>
      <c r="AZ68" s="55">
        <f>SUMIFS('Awards Summary'!$H:$H,'Awards Summary'!$B:$B,$C68,'Awards Summary'!$J:$J,"DMV")</f>
        <v>0</v>
      </c>
      <c r="BA68" s="55">
        <f>SUMIFS('Disbursements Summary'!$E:$E,'Disbursements Summary'!$C:$C,$C68,'Disbursements Summary'!$A:$A,"DMV")</f>
        <v>0</v>
      </c>
      <c r="BB68" s="55">
        <f>SUMIFS('Awards Summary'!$H:$H,'Awards Summary'!$B:$B,$C68,'Awards Summary'!$J:$J,"DPS")</f>
        <v>0</v>
      </c>
      <c r="BC68" s="55">
        <f>SUMIFS('Disbursements Summary'!$E:$E,'Disbursements Summary'!$C:$C,$C68,'Disbursements Summary'!$A:$A,"DPS")</f>
        <v>0</v>
      </c>
      <c r="BD68" s="55">
        <f>SUMIFS('Awards Summary'!$H:$H,'Awards Summary'!$B:$B,$C68,'Awards Summary'!$J:$J,"DOS")</f>
        <v>0</v>
      </c>
      <c r="BE68" s="55">
        <f>SUMIFS('Disbursements Summary'!$E:$E,'Disbursements Summary'!$C:$C,$C68,'Disbursements Summary'!$A:$A,"DOS")</f>
        <v>0</v>
      </c>
      <c r="BF68" s="55">
        <f>SUMIFS('Awards Summary'!$H:$H,'Awards Summary'!$B:$B,$C68,'Awards Summary'!$J:$J,"TAX")</f>
        <v>0</v>
      </c>
      <c r="BG68" s="55">
        <f>SUMIFS('Disbursements Summary'!$E:$E,'Disbursements Summary'!$C:$C,$C68,'Disbursements Summary'!$A:$A,"TAX")</f>
        <v>0</v>
      </c>
      <c r="BH68" s="55">
        <f>SUMIFS('Awards Summary'!$H:$H,'Awards Summary'!$B:$B,$C68,'Awards Summary'!$J:$J,"DOT")</f>
        <v>0</v>
      </c>
      <c r="BI68" s="55">
        <f>SUMIFS('Disbursements Summary'!$E:$E,'Disbursements Summary'!$C:$C,$C68,'Disbursements Summary'!$A:$A,"DOT")</f>
        <v>0</v>
      </c>
      <c r="BJ68" s="55">
        <f>SUMIFS('Awards Summary'!$H:$H,'Awards Summary'!$B:$B,$C68,'Awards Summary'!$J:$J,"DANC")</f>
        <v>0</v>
      </c>
      <c r="BK68" s="55">
        <f>SUMIFS('Disbursements Summary'!$E:$E,'Disbursements Summary'!$C:$C,$C68,'Disbursements Summary'!$A:$A,"DANC")</f>
        <v>0</v>
      </c>
      <c r="BL68" s="55">
        <f>SUMIFS('Awards Summary'!$H:$H,'Awards Summary'!$B:$B,$C68,'Awards Summary'!$J:$J,"DOB")</f>
        <v>0</v>
      </c>
      <c r="BM68" s="55">
        <f>SUMIFS('Disbursements Summary'!$E:$E,'Disbursements Summary'!$C:$C,$C68,'Disbursements Summary'!$A:$A,"DOB")</f>
        <v>0</v>
      </c>
      <c r="BN68" s="55">
        <f>SUMIFS('Awards Summary'!$H:$H,'Awards Summary'!$B:$B,$C68,'Awards Summary'!$J:$J,"DCJS")</f>
        <v>0</v>
      </c>
      <c r="BO68" s="55">
        <f>SUMIFS('Disbursements Summary'!$E:$E,'Disbursements Summary'!$C:$C,$C68,'Disbursements Summary'!$A:$A,"DCJS")</f>
        <v>0</v>
      </c>
      <c r="BP68" s="55">
        <f>SUMIFS('Awards Summary'!$H:$H,'Awards Summary'!$B:$B,$C68,'Awards Summary'!$J:$J,"DHSES")</f>
        <v>0</v>
      </c>
      <c r="BQ68" s="55">
        <f>SUMIFS('Disbursements Summary'!$E:$E,'Disbursements Summary'!$C:$C,$C68,'Disbursements Summary'!$A:$A,"DHSES")</f>
        <v>0</v>
      </c>
      <c r="BR68" s="55">
        <f>SUMIFS('Awards Summary'!$H:$H,'Awards Summary'!$B:$B,$C68,'Awards Summary'!$J:$J,"DHR")</f>
        <v>0</v>
      </c>
      <c r="BS68" s="55">
        <f>SUMIFS('Disbursements Summary'!$E:$E,'Disbursements Summary'!$C:$C,$C68,'Disbursements Summary'!$A:$A,"DHR")</f>
        <v>0</v>
      </c>
      <c r="BT68" s="55">
        <f>SUMIFS('Awards Summary'!$H:$H,'Awards Summary'!$B:$B,$C68,'Awards Summary'!$J:$J,"DMNA")</f>
        <v>0</v>
      </c>
      <c r="BU68" s="55">
        <f>SUMIFS('Disbursements Summary'!$E:$E,'Disbursements Summary'!$C:$C,$C68,'Disbursements Summary'!$A:$A,"DMNA")</f>
        <v>0</v>
      </c>
      <c r="BV68" s="55">
        <f>SUMIFS('Awards Summary'!$H:$H,'Awards Summary'!$B:$B,$C68,'Awards Summary'!$J:$J,"TROOPERS")</f>
        <v>0</v>
      </c>
      <c r="BW68" s="55">
        <f>SUMIFS('Disbursements Summary'!$E:$E,'Disbursements Summary'!$C:$C,$C68,'Disbursements Summary'!$A:$A,"TROOPERS")</f>
        <v>0</v>
      </c>
      <c r="BX68" s="55">
        <f>SUMIFS('Awards Summary'!$H:$H,'Awards Summary'!$B:$B,$C68,'Awards Summary'!$J:$J,"DVA")</f>
        <v>0</v>
      </c>
      <c r="BY68" s="55">
        <f>SUMIFS('Disbursements Summary'!$E:$E,'Disbursements Summary'!$C:$C,$C68,'Disbursements Summary'!$A:$A,"DVA")</f>
        <v>0</v>
      </c>
      <c r="BZ68" s="55">
        <f>SUMIFS('Awards Summary'!$H:$H,'Awards Summary'!$B:$B,$C68,'Awards Summary'!$J:$J,"DASNY")</f>
        <v>0</v>
      </c>
      <c r="CA68" s="55">
        <f>SUMIFS('Disbursements Summary'!$E:$E,'Disbursements Summary'!$C:$C,$C68,'Disbursements Summary'!$A:$A,"DASNY")</f>
        <v>0</v>
      </c>
      <c r="CB68" s="55">
        <f>SUMIFS('Awards Summary'!$H:$H,'Awards Summary'!$B:$B,$C68,'Awards Summary'!$J:$J,"EGG")</f>
        <v>0</v>
      </c>
      <c r="CC68" s="55">
        <f>SUMIFS('Disbursements Summary'!$E:$E,'Disbursements Summary'!$C:$C,$C68,'Disbursements Summary'!$A:$A,"EGG")</f>
        <v>0</v>
      </c>
      <c r="CD68" s="55">
        <f>SUMIFS('Awards Summary'!$H:$H,'Awards Summary'!$B:$B,$C68,'Awards Summary'!$J:$J,"ESD")</f>
        <v>0</v>
      </c>
      <c r="CE68" s="55">
        <f>SUMIFS('Disbursements Summary'!$E:$E,'Disbursements Summary'!$C:$C,$C68,'Disbursements Summary'!$A:$A,"ESD")</f>
        <v>0</v>
      </c>
      <c r="CF68" s="55">
        <f>SUMIFS('Awards Summary'!$H:$H,'Awards Summary'!$B:$B,$C68,'Awards Summary'!$J:$J,"EFC")</f>
        <v>0</v>
      </c>
      <c r="CG68" s="55">
        <f>SUMIFS('Disbursements Summary'!$E:$E,'Disbursements Summary'!$C:$C,$C68,'Disbursements Summary'!$A:$A,"EFC")</f>
        <v>0</v>
      </c>
      <c r="CH68" s="55">
        <f>SUMIFS('Awards Summary'!$H:$H,'Awards Summary'!$B:$B,$C68,'Awards Summary'!$J:$J,"ECFSA")</f>
        <v>0</v>
      </c>
      <c r="CI68" s="55">
        <f>SUMIFS('Disbursements Summary'!$E:$E,'Disbursements Summary'!$C:$C,$C68,'Disbursements Summary'!$A:$A,"ECFSA")</f>
        <v>0</v>
      </c>
      <c r="CJ68" s="55">
        <f>SUMIFS('Awards Summary'!$H:$H,'Awards Summary'!$B:$B,$C68,'Awards Summary'!$J:$J,"ECMC")</f>
        <v>0</v>
      </c>
      <c r="CK68" s="55">
        <f>SUMIFS('Disbursements Summary'!$E:$E,'Disbursements Summary'!$C:$C,$C68,'Disbursements Summary'!$A:$A,"ECMC")</f>
        <v>0</v>
      </c>
      <c r="CL68" s="55">
        <f>SUMIFS('Awards Summary'!$H:$H,'Awards Summary'!$B:$B,$C68,'Awards Summary'!$J:$J,"CHAMBER")</f>
        <v>0</v>
      </c>
      <c r="CM68" s="55">
        <f>SUMIFS('Disbursements Summary'!$E:$E,'Disbursements Summary'!$C:$C,$C68,'Disbursements Summary'!$A:$A,"CHAMBER")</f>
        <v>0</v>
      </c>
      <c r="CN68" s="55">
        <f>SUMIFS('Awards Summary'!$H:$H,'Awards Summary'!$B:$B,$C68,'Awards Summary'!$J:$J,"GAMING")</f>
        <v>0</v>
      </c>
      <c r="CO68" s="55">
        <f>SUMIFS('Disbursements Summary'!$E:$E,'Disbursements Summary'!$C:$C,$C68,'Disbursements Summary'!$A:$A,"GAMING")</f>
        <v>0</v>
      </c>
      <c r="CP68" s="55">
        <f>SUMIFS('Awards Summary'!$H:$H,'Awards Summary'!$B:$B,$C68,'Awards Summary'!$J:$J,"GOER")</f>
        <v>0</v>
      </c>
      <c r="CQ68" s="55">
        <f>SUMIFS('Disbursements Summary'!$E:$E,'Disbursements Summary'!$C:$C,$C68,'Disbursements Summary'!$A:$A,"GOER")</f>
        <v>0</v>
      </c>
      <c r="CR68" s="55">
        <f>SUMIFS('Awards Summary'!$H:$H,'Awards Summary'!$B:$B,$C68,'Awards Summary'!$J:$J,"HESC")</f>
        <v>0</v>
      </c>
      <c r="CS68" s="55">
        <f>SUMIFS('Disbursements Summary'!$E:$E,'Disbursements Summary'!$C:$C,$C68,'Disbursements Summary'!$A:$A,"HESC")</f>
        <v>0</v>
      </c>
      <c r="CT68" s="55">
        <f>SUMIFS('Awards Summary'!$H:$H,'Awards Summary'!$B:$B,$C68,'Awards Summary'!$J:$J,"GOSR")</f>
        <v>0</v>
      </c>
      <c r="CU68" s="55">
        <f>SUMIFS('Disbursements Summary'!$E:$E,'Disbursements Summary'!$C:$C,$C68,'Disbursements Summary'!$A:$A,"GOSR")</f>
        <v>0</v>
      </c>
      <c r="CV68" s="55">
        <f>SUMIFS('Awards Summary'!$H:$H,'Awards Summary'!$B:$B,$C68,'Awards Summary'!$J:$J,"HRPT")</f>
        <v>0</v>
      </c>
      <c r="CW68" s="55">
        <f>SUMIFS('Disbursements Summary'!$E:$E,'Disbursements Summary'!$C:$C,$C68,'Disbursements Summary'!$A:$A,"HRPT")</f>
        <v>0</v>
      </c>
      <c r="CX68" s="55">
        <f>SUMIFS('Awards Summary'!$H:$H,'Awards Summary'!$B:$B,$C68,'Awards Summary'!$J:$J,"HRBRRD")</f>
        <v>0</v>
      </c>
      <c r="CY68" s="55">
        <f>SUMIFS('Disbursements Summary'!$E:$E,'Disbursements Summary'!$C:$C,$C68,'Disbursements Summary'!$A:$A,"HRBRRD")</f>
        <v>0</v>
      </c>
      <c r="CZ68" s="55">
        <f>SUMIFS('Awards Summary'!$H:$H,'Awards Summary'!$B:$B,$C68,'Awards Summary'!$J:$J,"ITS")</f>
        <v>0</v>
      </c>
      <c r="DA68" s="55">
        <f>SUMIFS('Disbursements Summary'!$E:$E,'Disbursements Summary'!$C:$C,$C68,'Disbursements Summary'!$A:$A,"ITS")</f>
        <v>0</v>
      </c>
      <c r="DB68" s="55">
        <f>SUMIFS('Awards Summary'!$H:$H,'Awards Summary'!$B:$B,$C68,'Awards Summary'!$J:$J,"JAVITS")</f>
        <v>0</v>
      </c>
      <c r="DC68" s="55">
        <f>SUMIFS('Disbursements Summary'!$E:$E,'Disbursements Summary'!$C:$C,$C68,'Disbursements Summary'!$A:$A,"JAVITS")</f>
        <v>0</v>
      </c>
      <c r="DD68" s="55">
        <f>SUMIFS('Awards Summary'!$H:$H,'Awards Summary'!$B:$B,$C68,'Awards Summary'!$J:$J,"JCOPE")</f>
        <v>0</v>
      </c>
      <c r="DE68" s="55">
        <f>SUMIFS('Disbursements Summary'!$E:$E,'Disbursements Summary'!$C:$C,$C68,'Disbursements Summary'!$A:$A,"JCOPE")</f>
        <v>0</v>
      </c>
      <c r="DF68" s="55">
        <f>SUMIFS('Awards Summary'!$H:$H,'Awards Summary'!$B:$B,$C68,'Awards Summary'!$J:$J,"JUSTICE")</f>
        <v>0</v>
      </c>
      <c r="DG68" s="55">
        <f>SUMIFS('Disbursements Summary'!$E:$E,'Disbursements Summary'!$C:$C,$C68,'Disbursements Summary'!$A:$A,"JUSTICE")</f>
        <v>0</v>
      </c>
      <c r="DH68" s="55">
        <f>SUMIFS('Awards Summary'!$H:$H,'Awards Summary'!$B:$B,$C68,'Awards Summary'!$J:$J,"LCWSA")</f>
        <v>0</v>
      </c>
      <c r="DI68" s="55">
        <f>SUMIFS('Disbursements Summary'!$E:$E,'Disbursements Summary'!$C:$C,$C68,'Disbursements Summary'!$A:$A,"LCWSA")</f>
        <v>0</v>
      </c>
      <c r="DJ68" s="55">
        <f>SUMIFS('Awards Summary'!$H:$H,'Awards Summary'!$B:$B,$C68,'Awards Summary'!$J:$J,"LIPA")</f>
        <v>0</v>
      </c>
      <c r="DK68" s="55">
        <f>SUMIFS('Disbursements Summary'!$E:$E,'Disbursements Summary'!$C:$C,$C68,'Disbursements Summary'!$A:$A,"LIPA")</f>
        <v>0</v>
      </c>
      <c r="DL68" s="55">
        <f>SUMIFS('Awards Summary'!$H:$H,'Awards Summary'!$B:$B,$C68,'Awards Summary'!$J:$J,"MTA")</f>
        <v>0</v>
      </c>
      <c r="DM68" s="55">
        <f>SUMIFS('Disbursements Summary'!$E:$E,'Disbursements Summary'!$C:$C,$C68,'Disbursements Summary'!$A:$A,"MTA")</f>
        <v>0</v>
      </c>
      <c r="DN68" s="55">
        <f>SUMIFS('Awards Summary'!$H:$H,'Awards Summary'!$B:$B,$C68,'Awards Summary'!$J:$J,"NIFA")</f>
        <v>0</v>
      </c>
      <c r="DO68" s="55">
        <f>SUMIFS('Disbursements Summary'!$E:$E,'Disbursements Summary'!$C:$C,$C68,'Disbursements Summary'!$A:$A,"NIFA")</f>
        <v>0</v>
      </c>
      <c r="DP68" s="55">
        <f>SUMIFS('Awards Summary'!$H:$H,'Awards Summary'!$B:$B,$C68,'Awards Summary'!$J:$J,"NHCC")</f>
        <v>0</v>
      </c>
      <c r="DQ68" s="55">
        <f>SUMIFS('Disbursements Summary'!$E:$E,'Disbursements Summary'!$C:$C,$C68,'Disbursements Summary'!$A:$A,"NHCC")</f>
        <v>0</v>
      </c>
      <c r="DR68" s="55">
        <f>SUMIFS('Awards Summary'!$H:$H,'Awards Summary'!$B:$B,$C68,'Awards Summary'!$J:$J,"NHT")</f>
        <v>0</v>
      </c>
      <c r="DS68" s="55">
        <f>SUMIFS('Disbursements Summary'!$E:$E,'Disbursements Summary'!$C:$C,$C68,'Disbursements Summary'!$A:$A,"NHT")</f>
        <v>0</v>
      </c>
      <c r="DT68" s="55">
        <f>SUMIFS('Awards Summary'!$H:$H,'Awards Summary'!$B:$B,$C68,'Awards Summary'!$J:$J,"NYPA")</f>
        <v>0</v>
      </c>
      <c r="DU68" s="55">
        <f>SUMIFS('Disbursements Summary'!$E:$E,'Disbursements Summary'!$C:$C,$C68,'Disbursements Summary'!$A:$A,"NYPA")</f>
        <v>0</v>
      </c>
      <c r="DV68" s="55">
        <f>SUMIFS('Awards Summary'!$H:$H,'Awards Summary'!$B:$B,$C68,'Awards Summary'!$J:$J,"NYSBA")</f>
        <v>0</v>
      </c>
      <c r="DW68" s="55">
        <f>SUMIFS('Disbursements Summary'!$E:$E,'Disbursements Summary'!$C:$C,$C68,'Disbursements Summary'!$A:$A,"NYSBA")</f>
        <v>0</v>
      </c>
      <c r="DX68" s="55">
        <f>SUMIFS('Awards Summary'!$H:$H,'Awards Summary'!$B:$B,$C68,'Awards Summary'!$J:$J,"NYSERDA")</f>
        <v>0</v>
      </c>
      <c r="DY68" s="55">
        <f>SUMIFS('Disbursements Summary'!$E:$E,'Disbursements Summary'!$C:$C,$C68,'Disbursements Summary'!$A:$A,"NYSERDA")</f>
        <v>0</v>
      </c>
      <c r="DZ68" s="55">
        <f>SUMIFS('Awards Summary'!$H:$H,'Awards Summary'!$B:$B,$C68,'Awards Summary'!$J:$J,"DHCR")</f>
        <v>0</v>
      </c>
      <c r="EA68" s="55">
        <f>SUMIFS('Disbursements Summary'!$E:$E,'Disbursements Summary'!$C:$C,$C68,'Disbursements Summary'!$A:$A,"DHCR")</f>
        <v>0</v>
      </c>
      <c r="EB68" s="55">
        <f>SUMIFS('Awards Summary'!$H:$H,'Awards Summary'!$B:$B,$C68,'Awards Summary'!$J:$J,"HFA")</f>
        <v>0</v>
      </c>
      <c r="EC68" s="55">
        <f>SUMIFS('Disbursements Summary'!$E:$E,'Disbursements Summary'!$C:$C,$C68,'Disbursements Summary'!$A:$A,"HFA")</f>
        <v>0</v>
      </c>
      <c r="ED68" s="55">
        <f>SUMIFS('Awards Summary'!$H:$H,'Awards Summary'!$B:$B,$C68,'Awards Summary'!$J:$J,"NYSIF")</f>
        <v>0</v>
      </c>
      <c r="EE68" s="55">
        <f>SUMIFS('Disbursements Summary'!$E:$E,'Disbursements Summary'!$C:$C,$C68,'Disbursements Summary'!$A:$A,"NYSIF")</f>
        <v>0</v>
      </c>
      <c r="EF68" s="55">
        <f>SUMIFS('Awards Summary'!$H:$H,'Awards Summary'!$B:$B,$C68,'Awards Summary'!$J:$J,"NYBREDS")</f>
        <v>0</v>
      </c>
      <c r="EG68" s="55">
        <f>SUMIFS('Disbursements Summary'!$E:$E,'Disbursements Summary'!$C:$C,$C68,'Disbursements Summary'!$A:$A,"NYBREDS")</f>
        <v>0</v>
      </c>
      <c r="EH68" s="55">
        <f>SUMIFS('Awards Summary'!$H:$H,'Awards Summary'!$B:$B,$C68,'Awards Summary'!$J:$J,"NYSTA")</f>
        <v>0</v>
      </c>
      <c r="EI68" s="55">
        <f>SUMIFS('Disbursements Summary'!$E:$E,'Disbursements Summary'!$C:$C,$C68,'Disbursements Summary'!$A:$A,"NYSTA")</f>
        <v>0</v>
      </c>
      <c r="EJ68" s="55">
        <f>SUMIFS('Awards Summary'!$H:$H,'Awards Summary'!$B:$B,$C68,'Awards Summary'!$J:$J,"NFWB")</f>
        <v>0</v>
      </c>
      <c r="EK68" s="55">
        <f>SUMIFS('Disbursements Summary'!$E:$E,'Disbursements Summary'!$C:$C,$C68,'Disbursements Summary'!$A:$A,"NFWB")</f>
        <v>0</v>
      </c>
      <c r="EL68" s="55">
        <f>SUMIFS('Awards Summary'!$H:$H,'Awards Summary'!$B:$B,$C68,'Awards Summary'!$J:$J,"NFTA")</f>
        <v>0</v>
      </c>
      <c r="EM68" s="55">
        <f>SUMIFS('Disbursements Summary'!$E:$E,'Disbursements Summary'!$C:$C,$C68,'Disbursements Summary'!$A:$A,"NFTA")</f>
        <v>0</v>
      </c>
      <c r="EN68" s="55">
        <f>SUMIFS('Awards Summary'!$H:$H,'Awards Summary'!$B:$B,$C68,'Awards Summary'!$J:$J,"OPWDD")</f>
        <v>0</v>
      </c>
      <c r="EO68" s="55">
        <f>SUMIFS('Disbursements Summary'!$E:$E,'Disbursements Summary'!$C:$C,$C68,'Disbursements Summary'!$A:$A,"OPWDD")</f>
        <v>0</v>
      </c>
      <c r="EP68" s="55">
        <f>SUMIFS('Awards Summary'!$H:$H,'Awards Summary'!$B:$B,$C68,'Awards Summary'!$J:$J,"AGING")</f>
        <v>0</v>
      </c>
      <c r="EQ68" s="55">
        <f>SUMIFS('Disbursements Summary'!$E:$E,'Disbursements Summary'!$C:$C,$C68,'Disbursements Summary'!$A:$A,"AGING")</f>
        <v>0</v>
      </c>
      <c r="ER68" s="55">
        <f>SUMIFS('Awards Summary'!$H:$H,'Awards Summary'!$B:$B,$C68,'Awards Summary'!$J:$J,"OPDV")</f>
        <v>0</v>
      </c>
      <c r="ES68" s="55">
        <f>SUMIFS('Disbursements Summary'!$E:$E,'Disbursements Summary'!$C:$C,$C68,'Disbursements Summary'!$A:$A,"OPDV")</f>
        <v>0</v>
      </c>
      <c r="ET68" s="55">
        <f>SUMIFS('Awards Summary'!$H:$H,'Awards Summary'!$B:$B,$C68,'Awards Summary'!$J:$J,"OVS")</f>
        <v>0</v>
      </c>
      <c r="EU68" s="55">
        <f>SUMIFS('Disbursements Summary'!$E:$E,'Disbursements Summary'!$C:$C,$C68,'Disbursements Summary'!$A:$A,"OVS")</f>
        <v>0</v>
      </c>
      <c r="EV68" s="55">
        <f>SUMIFS('Awards Summary'!$H:$H,'Awards Summary'!$B:$B,$C68,'Awards Summary'!$J:$J,"OASAS")</f>
        <v>0</v>
      </c>
      <c r="EW68" s="55">
        <f>SUMIFS('Disbursements Summary'!$E:$E,'Disbursements Summary'!$C:$C,$C68,'Disbursements Summary'!$A:$A,"OASAS")</f>
        <v>0</v>
      </c>
      <c r="EX68" s="55">
        <f>SUMIFS('Awards Summary'!$H:$H,'Awards Summary'!$B:$B,$C68,'Awards Summary'!$J:$J,"OCFS")</f>
        <v>0</v>
      </c>
      <c r="EY68" s="55">
        <f>SUMIFS('Disbursements Summary'!$E:$E,'Disbursements Summary'!$C:$C,$C68,'Disbursements Summary'!$A:$A,"OCFS")</f>
        <v>0</v>
      </c>
      <c r="EZ68" s="55">
        <f>SUMIFS('Awards Summary'!$H:$H,'Awards Summary'!$B:$B,$C68,'Awards Summary'!$J:$J,"OGS")</f>
        <v>0</v>
      </c>
      <c r="FA68" s="55">
        <f>SUMIFS('Disbursements Summary'!$E:$E,'Disbursements Summary'!$C:$C,$C68,'Disbursements Summary'!$A:$A,"OGS")</f>
        <v>0</v>
      </c>
      <c r="FB68" s="55">
        <f>SUMIFS('Awards Summary'!$H:$H,'Awards Summary'!$B:$B,$C68,'Awards Summary'!$J:$J,"OMH")</f>
        <v>0</v>
      </c>
      <c r="FC68" s="55">
        <f>SUMIFS('Disbursements Summary'!$E:$E,'Disbursements Summary'!$C:$C,$C68,'Disbursements Summary'!$A:$A,"OMH")</f>
        <v>0</v>
      </c>
      <c r="FD68" s="55">
        <f>SUMIFS('Awards Summary'!$H:$H,'Awards Summary'!$B:$B,$C68,'Awards Summary'!$J:$J,"PARKS")</f>
        <v>0</v>
      </c>
      <c r="FE68" s="55">
        <f>SUMIFS('Disbursements Summary'!$E:$E,'Disbursements Summary'!$C:$C,$C68,'Disbursements Summary'!$A:$A,"PARKS")</f>
        <v>0</v>
      </c>
      <c r="FF68" s="55">
        <f>SUMIFS('Awards Summary'!$H:$H,'Awards Summary'!$B:$B,$C68,'Awards Summary'!$J:$J,"OTDA")</f>
        <v>0</v>
      </c>
      <c r="FG68" s="55">
        <f>SUMIFS('Disbursements Summary'!$E:$E,'Disbursements Summary'!$C:$C,$C68,'Disbursements Summary'!$A:$A,"OTDA")</f>
        <v>0</v>
      </c>
      <c r="FH68" s="55">
        <f>SUMIFS('Awards Summary'!$H:$H,'Awards Summary'!$B:$B,$C68,'Awards Summary'!$J:$J,"OIG")</f>
        <v>0</v>
      </c>
      <c r="FI68" s="55">
        <f>SUMIFS('Disbursements Summary'!$E:$E,'Disbursements Summary'!$C:$C,$C68,'Disbursements Summary'!$A:$A,"OIG")</f>
        <v>0</v>
      </c>
      <c r="FJ68" s="55">
        <f>SUMIFS('Awards Summary'!$H:$H,'Awards Summary'!$B:$B,$C68,'Awards Summary'!$J:$J,"OMIG")</f>
        <v>0</v>
      </c>
      <c r="FK68" s="55">
        <f>SUMIFS('Disbursements Summary'!$E:$E,'Disbursements Summary'!$C:$C,$C68,'Disbursements Summary'!$A:$A,"OMIG")</f>
        <v>0</v>
      </c>
      <c r="FL68" s="55">
        <f>SUMIFS('Awards Summary'!$H:$H,'Awards Summary'!$B:$B,$C68,'Awards Summary'!$J:$J,"OSC")</f>
        <v>0</v>
      </c>
      <c r="FM68" s="55">
        <f>SUMIFS('Disbursements Summary'!$E:$E,'Disbursements Summary'!$C:$C,$C68,'Disbursements Summary'!$A:$A,"OSC")</f>
        <v>0</v>
      </c>
      <c r="FN68" s="55">
        <f>SUMIFS('Awards Summary'!$H:$H,'Awards Summary'!$B:$B,$C68,'Awards Summary'!$J:$J,"OWIG")</f>
        <v>0</v>
      </c>
      <c r="FO68" s="55">
        <f>SUMIFS('Disbursements Summary'!$E:$E,'Disbursements Summary'!$C:$C,$C68,'Disbursements Summary'!$A:$A,"OWIG")</f>
        <v>0</v>
      </c>
      <c r="FP68" s="55">
        <f>SUMIFS('Awards Summary'!$H:$H,'Awards Summary'!$B:$B,$C68,'Awards Summary'!$J:$J,"OGDEN")</f>
        <v>0</v>
      </c>
      <c r="FQ68" s="55">
        <f>SUMIFS('Disbursements Summary'!$E:$E,'Disbursements Summary'!$C:$C,$C68,'Disbursements Summary'!$A:$A,"OGDEN")</f>
        <v>0</v>
      </c>
      <c r="FR68" s="55">
        <f>SUMIFS('Awards Summary'!$H:$H,'Awards Summary'!$B:$B,$C68,'Awards Summary'!$J:$J,"ORDA")</f>
        <v>0</v>
      </c>
      <c r="FS68" s="55">
        <f>SUMIFS('Disbursements Summary'!$E:$E,'Disbursements Summary'!$C:$C,$C68,'Disbursements Summary'!$A:$A,"ORDA")</f>
        <v>0</v>
      </c>
      <c r="FT68" s="55">
        <f>SUMIFS('Awards Summary'!$H:$H,'Awards Summary'!$B:$B,$C68,'Awards Summary'!$J:$J,"OSWEGO")</f>
        <v>0</v>
      </c>
      <c r="FU68" s="55">
        <f>SUMIFS('Disbursements Summary'!$E:$E,'Disbursements Summary'!$C:$C,$C68,'Disbursements Summary'!$A:$A,"OSWEGO")</f>
        <v>0</v>
      </c>
      <c r="FV68" s="55">
        <f>SUMIFS('Awards Summary'!$H:$H,'Awards Summary'!$B:$B,$C68,'Awards Summary'!$J:$J,"PERB")</f>
        <v>0</v>
      </c>
      <c r="FW68" s="55">
        <f>SUMIFS('Disbursements Summary'!$E:$E,'Disbursements Summary'!$C:$C,$C68,'Disbursements Summary'!$A:$A,"PERB")</f>
        <v>0</v>
      </c>
      <c r="FX68" s="55">
        <f>SUMIFS('Awards Summary'!$H:$H,'Awards Summary'!$B:$B,$C68,'Awards Summary'!$J:$J,"RGRTA")</f>
        <v>0</v>
      </c>
      <c r="FY68" s="55">
        <f>SUMIFS('Disbursements Summary'!$E:$E,'Disbursements Summary'!$C:$C,$C68,'Disbursements Summary'!$A:$A,"RGRTA")</f>
        <v>0</v>
      </c>
      <c r="FZ68" s="55">
        <f>SUMIFS('Awards Summary'!$H:$H,'Awards Summary'!$B:$B,$C68,'Awards Summary'!$J:$J,"RIOC")</f>
        <v>0</v>
      </c>
      <c r="GA68" s="55">
        <f>SUMIFS('Disbursements Summary'!$E:$E,'Disbursements Summary'!$C:$C,$C68,'Disbursements Summary'!$A:$A,"RIOC")</f>
        <v>0</v>
      </c>
      <c r="GB68" s="55">
        <f>SUMIFS('Awards Summary'!$H:$H,'Awards Summary'!$B:$B,$C68,'Awards Summary'!$J:$J,"RPCI")</f>
        <v>0</v>
      </c>
      <c r="GC68" s="55">
        <f>SUMIFS('Disbursements Summary'!$E:$E,'Disbursements Summary'!$C:$C,$C68,'Disbursements Summary'!$A:$A,"RPCI")</f>
        <v>0</v>
      </c>
      <c r="GD68" s="55">
        <f>SUMIFS('Awards Summary'!$H:$H,'Awards Summary'!$B:$B,$C68,'Awards Summary'!$J:$J,"SMDA")</f>
        <v>0</v>
      </c>
      <c r="GE68" s="55">
        <f>SUMIFS('Disbursements Summary'!$E:$E,'Disbursements Summary'!$C:$C,$C68,'Disbursements Summary'!$A:$A,"SMDA")</f>
        <v>0</v>
      </c>
      <c r="GF68" s="55">
        <f>SUMIFS('Awards Summary'!$H:$H,'Awards Summary'!$B:$B,$C68,'Awards Summary'!$J:$J,"SCOC")</f>
        <v>0</v>
      </c>
      <c r="GG68" s="55">
        <f>SUMIFS('Disbursements Summary'!$E:$E,'Disbursements Summary'!$C:$C,$C68,'Disbursements Summary'!$A:$A,"SCOC")</f>
        <v>0</v>
      </c>
      <c r="GH68" s="55">
        <f>SUMIFS('Awards Summary'!$H:$H,'Awards Summary'!$B:$B,$C68,'Awards Summary'!$J:$J,"SUCF")</f>
        <v>0</v>
      </c>
      <c r="GI68" s="55">
        <f>SUMIFS('Disbursements Summary'!$E:$E,'Disbursements Summary'!$C:$C,$C68,'Disbursements Summary'!$A:$A,"SUCF")</f>
        <v>0</v>
      </c>
      <c r="GJ68" s="55">
        <f>SUMIFS('Awards Summary'!$H:$H,'Awards Summary'!$B:$B,$C68,'Awards Summary'!$J:$J,"SUNY")</f>
        <v>0</v>
      </c>
      <c r="GK68" s="55">
        <f>SUMIFS('Disbursements Summary'!$E:$E,'Disbursements Summary'!$C:$C,$C68,'Disbursements Summary'!$A:$A,"SUNY")</f>
        <v>0</v>
      </c>
      <c r="GL68" s="55">
        <f>SUMIFS('Awards Summary'!$H:$H,'Awards Summary'!$B:$B,$C68,'Awards Summary'!$J:$J,"SRAA")</f>
        <v>0</v>
      </c>
      <c r="GM68" s="55">
        <f>SUMIFS('Disbursements Summary'!$E:$E,'Disbursements Summary'!$C:$C,$C68,'Disbursements Summary'!$A:$A,"SRAA")</f>
        <v>0</v>
      </c>
      <c r="GN68" s="55">
        <f>SUMIFS('Awards Summary'!$H:$H,'Awards Summary'!$B:$B,$C68,'Awards Summary'!$J:$J,"UNDC")</f>
        <v>0</v>
      </c>
      <c r="GO68" s="55">
        <f>SUMIFS('Disbursements Summary'!$E:$E,'Disbursements Summary'!$C:$C,$C68,'Disbursements Summary'!$A:$A,"UNDC")</f>
        <v>0</v>
      </c>
      <c r="GP68" s="55">
        <f>SUMIFS('Awards Summary'!$H:$H,'Awards Summary'!$B:$B,$C68,'Awards Summary'!$J:$J,"MVWA")</f>
        <v>0</v>
      </c>
      <c r="GQ68" s="55">
        <f>SUMIFS('Disbursements Summary'!$E:$E,'Disbursements Summary'!$C:$C,$C68,'Disbursements Summary'!$A:$A,"MVWA")</f>
        <v>0</v>
      </c>
      <c r="GR68" s="55">
        <f>SUMIFS('Awards Summary'!$H:$H,'Awards Summary'!$B:$B,$C68,'Awards Summary'!$J:$J,"WMC")</f>
        <v>0</v>
      </c>
      <c r="GS68" s="55">
        <f>SUMIFS('Disbursements Summary'!$E:$E,'Disbursements Summary'!$C:$C,$C68,'Disbursements Summary'!$A:$A,"WMC")</f>
        <v>0</v>
      </c>
      <c r="GT68" s="55">
        <f>SUMIFS('Awards Summary'!$H:$H,'Awards Summary'!$B:$B,$C68,'Awards Summary'!$J:$J,"WCB")</f>
        <v>0</v>
      </c>
      <c r="GU68" s="55">
        <f>SUMIFS('Disbursements Summary'!$E:$E,'Disbursements Summary'!$C:$C,$C68,'Disbursements Summary'!$A:$A,"WCB")</f>
        <v>0</v>
      </c>
      <c r="GV68" s="32">
        <f t="shared" si="5"/>
        <v>0</v>
      </c>
      <c r="GW68" s="32">
        <f t="shared" si="6"/>
        <v>0</v>
      </c>
      <c r="GX68" s="30" t="b">
        <f t="shared" si="7"/>
        <v>1</v>
      </c>
      <c r="GY68" s="30" t="b">
        <f t="shared" si="8"/>
        <v>1</v>
      </c>
    </row>
    <row r="69" spans="1:207" s="30" customFormat="1">
      <c r="A69" s="22" t="str">
        <f t="shared" si="9"/>
        <v/>
      </c>
      <c r="B69" s="40" t="s">
        <v>121</v>
      </c>
      <c r="C69" s="16">
        <v>151134</v>
      </c>
      <c r="D69" s="26">
        <f>COUNTIF('Awards Summary'!B:B,"151134")</f>
        <v>0</v>
      </c>
      <c r="E69" s="45">
        <f>SUMIFS('Awards Summary'!H:H,'Awards Summary'!B:B,"151134")</f>
        <v>0</v>
      </c>
      <c r="F69" s="46">
        <f>SUMIFS('Disbursements Summary'!E:E,'Disbursements Summary'!C:C, "151134")</f>
        <v>0</v>
      </c>
      <c r="H69" s="55">
        <f>SUMIFS('Awards Summary'!$H:$H,'Awards Summary'!$B:$B,$C69,'Awards Summary'!$J:$J,"APA")</f>
        <v>0</v>
      </c>
      <c r="I69" s="55">
        <f>SUMIFS('Disbursements Summary'!$E:$E,'Disbursements Summary'!$C:$C,$C69,'Disbursements Summary'!$A:$A,"APA")</f>
        <v>0</v>
      </c>
      <c r="J69" s="55">
        <f>SUMIFS('Awards Summary'!$H:$H,'Awards Summary'!$B:$B,$C69,'Awards Summary'!$J:$J,"Ag&amp;Horse")</f>
        <v>0</v>
      </c>
      <c r="K69" s="55">
        <f>SUMIFS('Disbursements Summary'!$E:$E,'Disbursements Summary'!$C:$C,$C69,'Disbursements Summary'!$A:$A,"Ag&amp;Horse")</f>
        <v>0</v>
      </c>
      <c r="L69" s="55">
        <f>SUMIFS('Awards Summary'!$H:$H,'Awards Summary'!$B:$B,$C69,'Awards Summary'!$J:$J,"ACAA")</f>
        <v>0</v>
      </c>
      <c r="M69" s="55">
        <f>SUMIFS('Disbursements Summary'!$E:$E,'Disbursements Summary'!$C:$C,$C69,'Disbursements Summary'!$A:$A,"ACAA")</f>
        <v>0</v>
      </c>
      <c r="N69" s="55">
        <f>SUMIFS('Awards Summary'!$H:$H,'Awards Summary'!$B:$B,$C69,'Awards Summary'!$J:$J,"PortAlbany")</f>
        <v>0</v>
      </c>
      <c r="O69" s="55">
        <f>SUMIFS('Disbursements Summary'!$E:$E,'Disbursements Summary'!$C:$C,$C69,'Disbursements Summary'!$A:$A,"PortAlbany")</f>
        <v>0</v>
      </c>
      <c r="P69" s="55">
        <f>SUMIFS('Awards Summary'!$H:$H,'Awards Summary'!$B:$B,$C69,'Awards Summary'!$J:$J,"SLA")</f>
        <v>0</v>
      </c>
      <c r="Q69" s="55">
        <f>SUMIFS('Disbursements Summary'!$E:$E,'Disbursements Summary'!$C:$C,$C69,'Disbursements Summary'!$A:$A,"SLA")</f>
        <v>0</v>
      </c>
      <c r="R69" s="55">
        <f>SUMIFS('Awards Summary'!$H:$H,'Awards Summary'!$B:$B,$C69,'Awards Summary'!$J:$J,"BPCA")</f>
        <v>0</v>
      </c>
      <c r="S69" s="55">
        <f>SUMIFS('Disbursements Summary'!$E:$E,'Disbursements Summary'!$C:$C,$C69,'Disbursements Summary'!$A:$A,"BPCA")</f>
        <v>0</v>
      </c>
      <c r="T69" s="55">
        <f>SUMIFS('Awards Summary'!$H:$H,'Awards Summary'!$B:$B,$C69,'Awards Summary'!$J:$J,"ELECTIONS")</f>
        <v>0</v>
      </c>
      <c r="U69" s="55">
        <f>SUMIFS('Disbursements Summary'!$E:$E,'Disbursements Summary'!$C:$C,$C69,'Disbursements Summary'!$A:$A,"ELECTIONS")</f>
        <v>0</v>
      </c>
      <c r="V69" s="55">
        <f>SUMIFS('Awards Summary'!$H:$H,'Awards Summary'!$B:$B,$C69,'Awards Summary'!$J:$J,"BFSA")</f>
        <v>0</v>
      </c>
      <c r="W69" s="55">
        <f>SUMIFS('Disbursements Summary'!$E:$E,'Disbursements Summary'!$C:$C,$C69,'Disbursements Summary'!$A:$A,"BFSA")</f>
        <v>0</v>
      </c>
      <c r="X69" s="55">
        <f>SUMIFS('Awards Summary'!$H:$H,'Awards Summary'!$B:$B,$C69,'Awards Summary'!$J:$J,"CDTA")</f>
        <v>0</v>
      </c>
      <c r="Y69" s="55">
        <f>SUMIFS('Disbursements Summary'!$E:$E,'Disbursements Summary'!$C:$C,$C69,'Disbursements Summary'!$A:$A,"CDTA")</f>
        <v>0</v>
      </c>
      <c r="Z69" s="55">
        <f>SUMIFS('Awards Summary'!$H:$H,'Awards Summary'!$B:$B,$C69,'Awards Summary'!$J:$J,"CCWSA")</f>
        <v>0</v>
      </c>
      <c r="AA69" s="55">
        <f>SUMIFS('Disbursements Summary'!$E:$E,'Disbursements Summary'!$C:$C,$C69,'Disbursements Summary'!$A:$A,"CCWSA")</f>
        <v>0</v>
      </c>
      <c r="AB69" s="55">
        <f>SUMIFS('Awards Summary'!$H:$H,'Awards Summary'!$B:$B,$C69,'Awards Summary'!$J:$J,"CNYRTA")</f>
        <v>0</v>
      </c>
      <c r="AC69" s="55">
        <f>SUMIFS('Disbursements Summary'!$E:$E,'Disbursements Summary'!$C:$C,$C69,'Disbursements Summary'!$A:$A,"CNYRTA")</f>
        <v>0</v>
      </c>
      <c r="AD69" s="55">
        <f>SUMIFS('Awards Summary'!$H:$H,'Awards Summary'!$B:$B,$C69,'Awards Summary'!$J:$J,"CUCF")</f>
        <v>0</v>
      </c>
      <c r="AE69" s="55">
        <f>SUMIFS('Disbursements Summary'!$E:$E,'Disbursements Summary'!$C:$C,$C69,'Disbursements Summary'!$A:$A,"CUCF")</f>
        <v>0</v>
      </c>
      <c r="AF69" s="55">
        <f>SUMIFS('Awards Summary'!$H:$H,'Awards Summary'!$B:$B,$C69,'Awards Summary'!$J:$J,"CUNY")</f>
        <v>0</v>
      </c>
      <c r="AG69" s="55">
        <f>SUMIFS('Disbursements Summary'!$E:$E,'Disbursements Summary'!$C:$C,$C69,'Disbursements Summary'!$A:$A,"CUNY")</f>
        <v>0</v>
      </c>
      <c r="AH69" s="55">
        <f>SUMIFS('Awards Summary'!$H:$H,'Awards Summary'!$B:$B,$C69,'Awards Summary'!$J:$J,"ARTS")</f>
        <v>0</v>
      </c>
      <c r="AI69" s="55">
        <f>SUMIFS('Disbursements Summary'!$E:$E,'Disbursements Summary'!$C:$C,$C69,'Disbursements Summary'!$A:$A,"ARTS")</f>
        <v>0</v>
      </c>
      <c r="AJ69" s="55">
        <f>SUMIFS('Awards Summary'!$H:$H,'Awards Summary'!$B:$B,$C69,'Awards Summary'!$J:$J,"AG&amp;MKTS")</f>
        <v>0</v>
      </c>
      <c r="AK69" s="55">
        <f>SUMIFS('Disbursements Summary'!$E:$E,'Disbursements Summary'!$C:$C,$C69,'Disbursements Summary'!$A:$A,"AG&amp;MKTS")</f>
        <v>0</v>
      </c>
      <c r="AL69" s="55">
        <f>SUMIFS('Awards Summary'!$H:$H,'Awards Summary'!$B:$B,$C69,'Awards Summary'!$J:$J,"CS")</f>
        <v>0</v>
      </c>
      <c r="AM69" s="55">
        <f>SUMIFS('Disbursements Summary'!$E:$E,'Disbursements Summary'!$C:$C,$C69,'Disbursements Summary'!$A:$A,"CS")</f>
        <v>0</v>
      </c>
      <c r="AN69" s="55">
        <f>SUMIFS('Awards Summary'!$H:$H,'Awards Summary'!$B:$B,$C69,'Awards Summary'!$J:$J,"DOCCS")</f>
        <v>0</v>
      </c>
      <c r="AO69" s="55">
        <f>SUMIFS('Disbursements Summary'!$E:$E,'Disbursements Summary'!$C:$C,$C69,'Disbursements Summary'!$A:$A,"DOCCS")</f>
        <v>0</v>
      </c>
      <c r="AP69" s="55">
        <f>SUMIFS('Awards Summary'!$H:$H,'Awards Summary'!$B:$B,$C69,'Awards Summary'!$J:$J,"DED")</f>
        <v>0</v>
      </c>
      <c r="AQ69" s="55">
        <f>SUMIFS('Disbursements Summary'!$E:$E,'Disbursements Summary'!$C:$C,$C69,'Disbursements Summary'!$A:$A,"DED")</f>
        <v>0</v>
      </c>
      <c r="AR69" s="55">
        <f>SUMIFS('Awards Summary'!$H:$H,'Awards Summary'!$B:$B,$C69,'Awards Summary'!$J:$J,"DEC")</f>
        <v>0</v>
      </c>
      <c r="AS69" s="55">
        <f>SUMIFS('Disbursements Summary'!$E:$E,'Disbursements Summary'!$C:$C,$C69,'Disbursements Summary'!$A:$A,"DEC")</f>
        <v>0</v>
      </c>
      <c r="AT69" s="55">
        <f>SUMIFS('Awards Summary'!$H:$H,'Awards Summary'!$B:$B,$C69,'Awards Summary'!$J:$J,"DFS")</f>
        <v>0</v>
      </c>
      <c r="AU69" s="55">
        <f>SUMIFS('Disbursements Summary'!$E:$E,'Disbursements Summary'!$C:$C,$C69,'Disbursements Summary'!$A:$A,"DFS")</f>
        <v>0</v>
      </c>
      <c r="AV69" s="55">
        <f>SUMIFS('Awards Summary'!$H:$H,'Awards Summary'!$B:$B,$C69,'Awards Summary'!$J:$J,"DOH")</f>
        <v>0</v>
      </c>
      <c r="AW69" s="55">
        <f>SUMIFS('Disbursements Summary'!$E:$E,'Disbursements Summary'!$C:$C,$C69,'Disbursements Summary'!$A:$A,"DOH")</f>
        <v>0</v>
      </c>
      <c r="AX69" s="55">
        <f>SUMIFS('Awards Summary'!$H:$H,'Awards Summary'!$B:$B,$C69,'Awards Summary'!$J:$J,"DOL")</f>
        <v>0</v>
      </c>
      <c r="AY69" s="55">
        <f>SUMIFS('Disbursements Summary'!$E:$E,'Disbursements Summary'!$C:$C,$C69,'Disbursements Summary'!$A:$A,"DOL")</f>
        <v>0</v>
      </c>
      <c r="AZ69" s="55">
        <f>SUMIFS('Awards Summary'!$H:$H,'Awards Summary'!$B:$B,$C69,'Awards Summary'!$J:$J,"DMV")</f>
        <v>0</v>
      </c>
      <c r="BA69" s="55">
        <f>SUMIFS('Disbursements Summary'!$E:$E,'Disbursements Summary'!$C:$C,$C69,'Disbursements Summary'!$A:$A,"DMV")</f>
        <v>0</v>
      </c>
      <c r="BB69" s="55">
        <f>SUMIFS('Awards Summary'!$H:$H,'Awards Summary'!$B:$B,$C69,'Awards Summary'!$J:$J,"DPS")</f>
        <v>0</v>
      </c>
      <c r="BC69" s="55">
        <f>SUMIFS('Disbursements Summary'!$E:$E,'Disbursements Summary'!$C:$C,$C69,'Disbursements Summary'!$A:$A,"DPS")</f>
        <v>0</v>
      </c>
      <c r="BD69" s="55">
        <f>SUMIFS('Awards Summary'!$H:$H,'Awards Summary'!$B:$B,$C69,'Awards Summary'!$J:$J,"DOS")</f>
        <v>0</v>
      </c>
      <c r="BE69" s="55">
        <f>SUMIFS('Disbursements Summary'!$E:$E,'Disbursements Summary'!$C:$C,$C69,'Disbursements Summary'!$A:$A,"DOS")</f>
        <v>0</v>
      </c>
      <c r="BF69" s="55">
        <f>SUMIFS('Awards Summary'!$H:$H,'Awards Summary'!$B:$B,$C69,'Awards Summary'!$J:$J,"TAX")</f>
        <v>0</v>
      </c>
      <c r="BG69" s="55">
        <f>SUMIFS('Disbursements Summary'!$E:$E,'Disbursements Summary'!$C:$C,$C69,'Disbursements Summary'!$A:$A,"TAX")</f>
        <v>0</v>
      </c>
      <c r="BH69" s="55">
        <f>SUMIFS('Awards Summary'!$H:$H,'Awards Summary'!$B:$B,$C69,'Awards Summary'!$J:$J,"DOT")</f>
        <v>0</v>
      </c>
      <c r="BI69" s="55">
        <f>SUMIFS('Disbursements Summary'!$E:$E,'Disbursements Summary'!$C:$C,$C69,'Disbursements Summary'!$A:$A,"DOT")</f>
        <v>0</v>
      </c>
      <c r="BJ69" s="55">
        <f>SUMIFS('Awards Summary'!$H:$H,'Awards Summary'!$B:$B,$C69,'Awards Summary'!$J:$J,"DANC")</f>
        <v>0</v>
      </c>
      <c r="BK69" s="55">
        <f>SUMIFS('Disbursements Summary'!$E:$E,'Disbursements Summary'!$C:$C,$C69,'Disbursements Summary'!$A:$A,"DANC")</f>
        <v>0</v>
      </c>
      <c r="BL69" s="55">
        <f>SUMIFS('Awards Summary'!$H:$H,'Awards Summary'!$B:$B,$C69,'Awards Summary'!$J:$J,"DOB")</f>
        <v>0</v>
      </c>
      <c r="BM69" s="55">
        <f>SUMIFS('Disbursements Summary'!$E:$E,'Disbursements Summary'!$C:$C,$C69,'Disbursements Summary'!$A:$A,"DOB")</f>
        <v>0</v>
      </c>
      <c r="BN69" s="55">
        <f>SUMIFS('Awards Summary'!$H:$H,'Awards Summary'!$B:$B,$C69,'Awards Summary'!$J:$J,"DCJS")</f>
        <v>0</v>
      </c>
      <c r="BO69" s="55">
        <f>SUMIFS('Disbursements Summary'!$E:$E,'Disbursements Summary'!$C:$C,$C69,'Disbursements Summary'!$A:$A,"DCJS")</f>
        <v>0</v>
      </c>
      <c r="BP69" s="55">
        <f>SUMIFS('Awards Summary'!$H:$H,'Awards Summary'!$B:$B,$C69,'Awards Summary'!$J:$J,"DHSES")</f>
        <v>0</v>
      </c>
      <c r="BQ69" s="55">
        <f>SUMIFS('Disbursements Summary'!$E:$E,'Disbursements Summary'!$C:$C,$C69,'Disbursements Summary'!$A:$A,"DHSES")</f>
        <v>0</v>
      </c>
      <c r="BR69" s="55">
        <f>SUMIFS('Awards Summary'!$H:$H,'Awards Summary'!$B:$B,$C69,'Awards Summary'!$J:$J,"DHR")</f>
        <v>0</v>
      </c>
      <c r="BS69" s="55">
        <f>SUMIFS('Disbursements Summary'!$E:$E,'Disbursements Summary'!$C:$C,$C69,'Disbursements Summary'!$A:$A,"DHR")</f>
        <v>0</v>
      </c>
      <c r="BT69" s="55">
        <f>SUMIFS('Awards Summary'!$H:$H,'Awards Summary'!$B:$B,$C69,'Awards Summary'!$J:$J,"DMNA")</f>
        <v>0</v>
      </c>
      <c r="BU69" s="55">
        <f>SUMIFS('Disbursements Summary'!$E:$E,'Disbursements Summary'!$C:$C,$C69,'Disbursements Summary'!$A:$A,"DMNA")</f>
        <v>0</v>
      </c>
      <c r="BV69" s="55">
        <f>SUMIFS('Awards Summary'!$H:$H,'Awards Summary'!$B:$B,$C69,'Awards Summary'!$J:$J,"TROOPERS")</f>
        <v>0</v>
      </c>
      <c r="BW69" s="55">
        <f>SUMIFS('Disbursements Summary'!$E:$E,'Disbursements Summary'!$C:$C,$C69,'Disbursements Summary'!$A:$A,"TROOPERS")</f>
        <v>0</v>
      </c>
      <c r="BX69" s="55">
        <f>SUMIFS('Awards Summary'!$H:$H,'Awards Summary'!$B:$B,$C69,'Awards Summary'!$J:$J,"DVA")</f>
        <v>0</v>
      </c>
      <c r="BY69" s="55">
        <f>SUMIFS('Disbursements Summary'!$E:$E,'Disbursements Summary'!$C:$C,$C69,'Disbursements Summary'!$A:$A,"DVA")</f>
        <v>0</v>
      </c>
      <c r="BZ69" s="55">
        <f>SUMIFS('Awards Summary'!$H:$H,'Awards Summary'!$B:$B,$C69,'Awards Summary'!$J:$J,"DASNY")</f>
        <v>0</v>
      </c>
      <c r="CA69" s="55">
        <f>SUMIFS('Disbursements Summary'!$E:$E,'Disbursements Summary'!$C:$C,$C69,'Disbursements Summary'!$A:$A,"DASNY")</f>
        <v>0</v>
      </c>
      <c r="CB69" s="55">
        <f>SUMIFS('Awards Summary'!$H:$H,'Awards Summary'!$B:$B,$C69,'Awards Summary'!$J:$J,"EGG")</f>
        <v>0</v>
      </c>
      <c r="CC69" s="55">
        <f>SUMIFS('Disbursements Summary'!$E:$E,'Disbursements Summary'!$C:$C,$C69,'Disbursements Summary'!$A:$A,"EGG")</f>
        <v>0</v>
      </c>
      <c r="CD69" s="55">
        <f>SUMIFS('Awards Summary'!$H:$H,'Awards Summary'!$B:$B,$C69,'Awards Summary'!$J:$J,"ESD")</f>
        <v>0</v>
      </c>
      <c r="CE69" s="55">
        <f>SUMIFS('Disbursements Summary'!$E:$E,'Disbursements Summary'!$C:$C,$C69,'Disbursements Summary'!$A:$A,"ESD")</f>
        <v>0</v>
      </c>
      <c r="CF69" s="55">
        <f>SUMIFS('Awards Summary'!$H:$H,'Awards Summary'!$B:$B,$C69,'Awards Summary'!$J:$J,"EFC")</f>
        <v>0</v>
      </c>
      <c r="CG69" s="55">
        <f>SUMIFS('Disbursements Summary'!$E:$E,'Disbursements Summary'!$C:$C,$C69,'Disbursements Summary'!$A:$A,"EFC")</f>
        <v>0</v>
      </c>
      <c r="CH69" s="55">
        <f>SUMIFS('Awards Summary'!$H:$H,'Awards Summary'!$B:$B,$C69,'Awards Summary'!$J:$J,"ECFSA")</f>
        <v>0</v>
      </c>
      <c r="CI69" s="55">
        <f>SUMIFS('Disbursements Summary'!$E:$E,'Disbursements Summary'!$C:$C,$C69,'Disbursements Summary'!$A:$A,"ECFSA")</f>
        <v>0</v>
      </c>
      <c r="CJ69" s="55">
        <f>SUMIFS('Awards Summary'!$H:$H,'Awards Summary'!$B:$B,$C69,'Awards Summary'!$J:$J,"ECMC")</f>
        <v>0</v>
      </c>
      <c r="CK69" s="55">
        <f>SUMIFS('Disbursements Summary'!$E:$E,'Disbursements Summary'!$C:$C,$C69,'Disbursements Summary'!$A:$A,"ECMC")</f>
        <v>0</v>
      </c>
      <c r="CL69" s="55">
        <f>SUMIFS('Awards Summary'!$H:$H,'Awards Summary'!$B:$B,$C69,'Awards Summary'!$J:$J,"CHAMBER")</f>
        <v>0</v>
      </c>
      <c r="CM69" s="55">
        <f>SUMIFS('Disbursements Summary'!$E:$E,'Disbursements Summary'!$C:$C,$C69,'Disbursements Summary'!$A:$A,"CHAMBER")</f>
        <v>0</v>
      </c>
      <c r="CN69" s="55">
        <f>SUMIFS('Awards Summary'!$H:$H,'Awards Summary'!$B:$B,$C69,'Awards Summary'!$J:$J,"GAMING")</f>
        <v>0</v>
      </c>
      <c r="CO69" s="55">
        <f>SUMIFS('Disbursements Summary'!$E:$E,'Disbursements Summary'!$C:$C,$C69,'Disbursements Summary'!$A:$A,"GAMING")</f>
        <v>0</v>
      </c>
      <c r="CP69" s="55">
        <f>SUMIFS('Awards Summary'!$H:$H,'Awards Summary'!$B:$B,$C69,'Awards Summary'!$J:$J,"GOER")</f>
        <v>0</v>
      </c>
      <c r="CQ69" s="55">
        <f>SUMIFS('Disbursements Summary'!$E:$E,'Disbursements Summary'!$C:$C,$C69,'Disbursements Summary'!$A:$A,"GOER")</f>
        <v>0</v>
      </c>
      <c r="CR69" s="55">
        <f>SUMIFS('Awards Summary'!$H:$H,'Awards Summary'!$B:$B,$C69,'Awards Summary'!$J:$J,"HESC")</f>
        <v>0</v>
      </c>
      <c r="CS69" s="55">
        <f>SUMIFS('Disbursements Summary'!$E:$E,'Disbursements Summary'!$C:$C,$C69,'Disbursements Summary'!$A:$A,"HESC")</f>
        <v>0</v>
      </c>
      <c r="CT69" s="55">
        <f>SUMIFS('Awards Summary'!$H:$H,'Awards Summary'!$B:$B,$C69,'Awards Summary'!$J:$J,"GOSR")</f>
        <v>0</v>
      </c>
      <c r="CU69" s="55">
        <f>SUMIFS('Disbursements Summary'!$E:$E,'Disbursements Summary'!$C:$C,$C69,'Disbursements Summary'!$A:$A,"GOSR")</f>
        <v>0</v>
      </c>
      <c r="CV69" s="55">
        <f>SUMIFS('Awards Summary'!$H:$H,'Awards Summary'!$B:$B,$C69,'Awards Summary'!$J:$J,"HRPT")</f>
        <v>0</v>
      </c>
      <c r="CW69" s="55">
        <f>SUMIFS('Disbursements Summary'!$E:$E,'Disbursements Summary'!$C:$C,$C69,'Disbursements Summary'!$A:$A,"HRPT")</f>
        <v>0</v>
      </c>
      <c r="CX69" s="55">
        <f>SUMIFS('Awards Summary'!$H:$H,'Awards Summary'!$B:$B,$C69,'Awards Summary'!$J:$J,"HRBRRD")</f>
        <v>0</v>
      </c>
      <c r="CY69" s="55">
        <f>SUMIFS('Disbursements Summary'!$E:$E,'Disbursements Summary'!$C:$C,$C69,'Disbursements Summary'!$A:$A,"HRBRRD")</f>
        <v>0</v>
      </c>
      <c r="CZ69" s="55">
        <f>SUMIFS('Awards Summary'!$H:$H,'Awards Summary'!$B:$B,$C69,'Awards Summary'!$J:$J,"ITS")</f>
        <v>0</v>
      </c>
      <c r="DA69" s="55">
        <f>SUMIFS('Disbursements Summary'!$E:$E,'Disbursements Summary'!$C:$C,$C69,'Disbursements Summary'!$A:$A,"ITS")</f>
        <v>0</v>
      </c>
      <c r="DB69" s="55">
        <f>SUMIFS('Awards Summary'!$H:$H,'Awards Summary'!$B:$B,$C69,'Awards Summary'!$J:$J,"JAVITS")</f>
        <v>0</v>
      </c>
      <c r="DC69" s="55">
        <f>SUMIFS('Disbursements Summary'!$E:$E,'Disbursements Summary'!$C:$C,$C69,'Disbursements Summary'!$A:$A,"JAVITS")</f>
        <v>0</v>
      </c>
      <c r="DD69" s="55">
        <f>SUMIFS('Awards Summary'!$H:$H,'Awards Summary'!$B:$B,$C69,'Awards Summary'!$J:$J,"JCOPE")</f>
        <v>0</v>
      </c>
      <c r="DE69" s="55">
        <f>SUMIFS('Disbursements Summary'!$E:$E,'Disbursements Summary'!$C:$C,$C69,'Disbursements Summary'!$A:$A,"JCOPE")</f>
        <v>0</v>
      </c>
      <c r="DF69" s="55">
        <f>SUMIFS('Awards Summary'!$H:$H,'Awards Summary'!$B:$B,$C69,'Awards Summary'!$J:$J,"JUSTICE")</f>
        <v>0</v>
      </c>
      <c r="DG69" s="55">
        <f>SUMIFS('Disbursements Summary'!$E:$E,'Disbursements Summary'!$C:$C,$C69,'Disbursements Summary'!$A:$A,"JUSTICE")</f>
        <v>0</v>
      </c>
      <c r="DH69" s="55">
        <f>SUMIFS('Awards Summary'!$H:$H,'Awards Summary'!$B:$B,$C69,'Awards Summary'!$J:$J,"LCWSA")</f>
        <v>0</v>
      </c>
      <c r="DI69" s="55">
        <f>SUMIFS('Disbursements Summary'!$E:$E,'Disbursements Summary'!$C:$C,$C69,'Disbursements Summary'!$A:$A,"LCWSA")</f>
        <v>0</v>
      </c>
      <c r="DJ69" s="55">
        <f>SUMIFS('Awards Summary'!$H:$H,'Awards Summary'!$B:$B,$C69,'Awards Summary'!$J:$J,"LIPA")</f>
        <v>0</v>
      </c>
      <c r="DK69" s="55">
        <f>SUMIFS('Disbursements Summary'!$E:$E,'Disbursements Summary'!$C:$C,$C69,'Disbursements Summary'!$A:$A,"LIPA")</f>
        <v>0</v>
      </c>
      <c r="DL69" s="55">
        <f>SUMIFS('Awards Summary'!$H:$H,'Awards Summary'!$B:$B,$C69,'Awards Summary'!$J:$J,"MTA")</f>
        <v>0</v>
      </c>
      <c r="DM69" s="55">
        <f>SUMIFS('Disbursements Summary'!$E:$E,'Disbursements Summary'!$C:$C,$C69,'Disbursements Summary'!$A:$A,"MTA")</f>
        <v>0</v>
      </c>
      <c r="DN69" s="55">
        <f>SUMIFS('Awards Summary'!$H:$H,'Awards Summary'!$B:$B,$C69,'Awards Summary'!$J:$J,"NIFA")</f>
        <v>0</v>
      </c>
      <c r="DO69" s="55">
        <f>SUMIFS('Disbursements Summary'!$E:$E,'Disbursements Summary'!$C:$C,$C69,'Disbursements Summary'!$A:$A,"NIFA")</f>
        <v>0</v>
      </c>
      <c r="DP69" s="55">
        <f>SUMIFS('Awards Summary'!$H:$H,'Awards Summary'!$B:$B,$C69,'Awards Summary'!$J:$J,"NHCC")</f>
        <v>0</v>
      </c>
      <c r="DQ69" s="55">
        <f>SUMIFS('Disbursements Summary'!$E:$E,'Disbursements Summary'!$C:$C,$C69,'Disbursements Summary'!$A:$A,"NHCC")</f>
        <v>0</v>
      </c>
      <c r="DR69" s="55">
        <f>SUMIFS('Awards Summary'!$H:$H,'Awards Summary'!$B:$B,$C69,'Awards Summary'!$J:$J,"NHT")</f>
        <v>0</v>
      </c>
      <c r="DS69" s="55">
        <f>SUMIFS('Disbursements Summary'!$E:$E,'Disbursements Summary'!$C:$C,$C69,'Disbursements Summary'!$A:$A,"NHT")</f>
        <v>0</v>
      </c>
      <c r="DT69" s="55">
        <f>SUMIFS('Awards Summary'!$H:$H,'Awards Summary'!$B:$B,$C69,'Awards Summary'!$J:$J,"NYPA")</f>
        <v>0</v>
      </c>
      <c r="DU69" s="55">
        <f>SUMIFS('Disbursements Summary'!$E:$E,'Disbursements Summary'!$C:$C,$C69,'Disbursements Summary'!$A:$A,"NYPA")</f>
        <v>0</v>
      </c>
      <c r="DV69" s="55">
        <f>SUMIFS('Awards Summary'!$H:$H,'Awards Summary'!$B:$B,$C69,'Awards Summary'!$J:$J,"NYSBA")</f>
        <v>0</v>
      </c>
      <c r="DW69" s="55">
        <f>SUMIFS('Disbursements Summary'!$E:$E,'Disbursements Summary'!$C:$C,$C69,'Disbursements Summary'!$A:$A,"NYSBA")</f>
        <v>0</v>
      </c>
      <c r="DX69" s="55">
        <f>SUMIFS('Awards Summary'!$H:$H,'Awards Summary'!$B:$B,$C69,'Awards Summary'!$J:$J,"NYSERDA")</f>
        <v>0</v>
      </c>
      <c r="DY69" s="55">
        <f>SUMIFS('Disbursements Summary'!$E:$E,'Disbursements Summary'!$C:$C,$C69,'Disbursements Summary'!$A:$A,"NYSERDA")</f>
        <v>0</v>
      </c>
      <c r="DZ69" s="55">
        <f>SUMIFS('Awards Summary'!$H:$H,'Awards Summary'!$B:$B,$C69,'Awards Summary'!$J:$J,"DHCR")</f>
        <v>0</v>
      </c>
      <c r="EA69" s="55">
        <f>SUMIFS('Disbursements Summary'!$E:$E,'Disbursements Summary'!$C:$C,$C69,'Disbursements Summary'!$A:$A,"DHCR")</f>
        <v>0</v>
      </c>
      <c r="EB69" s="55">
        <f>SUMIFS('Awards Summary'!$H:$H,'Awards Summary'!$B:$B,$C69,'Awards Summary'!$J:$J,"HFA")</f>
        <v>0</v>
      </c>
      <c r="EC69" s="55">
        <f>SUMIFS('Disbursements Summary'!$E:$E,'Disbursements Summary'!$C:$C,$C69,'Disbursements Summary'!$A:$A,"HFA")</f>
        <v>0</v>
      </c>
      <c r="ED69" s="55">
        <f>SUMIFS('Awards Summary'!$H:$H,'Awards Summary'!$B:$B,$C69,'Awards Summary'!$J:$J,"NYSIF")</f>
        <v>0</v>
      </c>
      <c r="EE69" s="55">
        <f>SUMIFS('Disbursements Summary'!$E:$E,'Disbursements Summary'!$C:$C,$C69,'Disbursements Summary'!$A:$A,"NYSIF")</f>
        <v>0</v>
      </c>
      <c r="EF69" s="55">
        <f>SUMIFS('Awards Summary'!$H:$H,'Awards Summary'!$B:$B,$C69,'Awards Summary'!$J:$J,"NYBREDS")</f>
        <v>0</v>
      </c>
      <c r="EG69" s="55">
        <f>SUMIFS('Disbursements Summary'!$E:$E,'Disbursements Summary'!$C:$C,$C69,'Disbursements Summary'!$A:$A,"NYBREDS")</f>
        <v>0</v>
      </c>
      <c r="EH69" s="55">
        <f>SUMIFS('Awards Summary'!$H:$H,'Awards Summary'!$B:$B,$C69,'Awards Summary'!$J:$J,"NYSTA")</f>
        <v>0</v>
      </c>
      <c r="EI69" s="55">
        <f>SUMIFS('Disbursements Summary'!$E:$E,'Disbursements Summary'!$C:$C,$C69,'Disbursements Summary'!$A:$A,"NYSTA")</f>
        <v>0</v>
      </c>
      <c r="EJ69" s="55">
        <f>SUMIFS('Awards Summary'!$H:$H,'Awards Summary'!$B:$B,$C69,'Awards Summary'!$J:$J,"NFWB")</f>
        <v>0</v>
      </c>
      <c r="EK69" s="55">
        <f>SUMIFS('Disbursements Summary'!$E:$E,'Disbursements Summary'!$C:$C,$C69,'Disbursements Summary'!$A:$A,"NFWB")</f>
        <v>0</v>
      </c>
      <c r="EL69" s="55">
        <f>SUMIFS('Awards Summary'!$H:$H,'Awards Summary'!$B:$B,$C69,'Awards Summary'!$J:$J,"NFTA")</f>
        <v>0</v>
      </c>
      <c r="EM69" s="55">
        <f>SUMIFS('Disbursements Summary'!$E:$E,'Disbursements Summary'!$C:$C,$C69,'Disbursements Summary'!$A:$A,"NFTA")</f>
        <v>0</v>
      </c>
      <c r="EN69" s="55">
        <f>SUMIFS('Awards Summary'!$H:$H,'Awards Summary'!$B:$B,$C69,'Awards Summary'!$J:$J,"OPWDD")</f>
        <v>0</v>
      </c>
      <c r="EO69" s="55">
        <f>SUMIFS('Disbursements Summary'!$E:$E,'Disbursements Summary'!$C:$C,$C69,'Disbursements Summary'!$A:$A,"OPWDD")</f>
        <v>0</v>
      </c>
      <c r="EP69" s="55">
        <f>SUMIFS('Awards Summary'!$H:$H,'Awards Summary'!$B:$B,$C69,'Awards Summary'!$J:$J,"AGING")</f>
        <v>0</v>
      </c>
      <c r="EQ69" s="55">
        <f>SUMIFS('Disbursements Summary'!$E:$E,'Disbursements Summary'!$C:$C,$C69,'Disbursements Summary'!$A:$A,"AGING")</f>
        <v>0</v>
      </c>
      <c r="ER69" s="55">
        <f>SUMIFS('Awards Summary'!$H:$H,'Awards Summary'!$B:$B,$C69,'Awards Summary'!$J:$J,"OPDV")</f>
        <v>0</v>
      </c>
      <c r="ES69" s="55">
        <f>SUMIFS('Disbursements Summary'!$E:$E,'Disbursements Summary'!$C:$C,$C69,'Disbursements Summary'!$A:$A,"OPDV")</f>
        <v>0</v>
      </c>
      <c r="ET69" s="55">
        <f>SUMIFS('Awards Summary'!$H:$H,'Awards Summary'!$B:$B,$C69,'Awards Summary'!$J:$J,"OVS")</f>
        <v>0</v>
      </c>
      <c r="EU69" s="55">
        <f>SUMIFS('Disbursements Summary'!$E:$E,'Disbursements Summary'!$C:$C,$C69,'Disbursements Summary'!$A:$A,"OVS")</f>
        <v>0</v>
      </c>
      <c r="EV69" s="55">
        <f>SUMIFS('Awards Summary'!$H:$H,'Awards Summary'!$B:$B,$C69,'Awards Summary'!$J:$J,"OASAS")</f>
        <v>0</v>
      </c>
      <c r="EW69" s="55">
        <f>SUMIFS('Disbursements Summary'!$E:$E,'Disbursements Summary'!$C:$C,$C69,'Disbursements Summary'!$A:$A,"OASAS")</f>
        <v>0</v>
      </c>
      <c r="EX69" s="55">
        <f>SUMIFS('Awards Summary'!$H:$H,'Awards Summary'!$B:$B,$C69,'Awards Summary'!$J:$J,"OCFS")</f>
        <v>0</v>
      </c>
      <c r="EY69" s="55">
        <f>SUMIFS('Disbursements Summary'!$E:$E,'Disbursements Summary'!$C:$C,$C69,'Disbursements Summary'!$A:$A,"OCFS")</f>
        <v>0</v>
      </c>
      <c r="EZ69" s="55">
        <f>SUMIFS('Awards Summary'!$H:$H,'Awards Summary'!$B:$B,$C69,'Awards Summary'!$J:$J,"OGS")</f>
        <v>0</v>
      </c>
      <c r="FA69" s="55">
        <f>SUMIFS('Disbursements Summary'!$E:$E,'Disbursements Summary'!$C:$C,$C69,'Disbursements Summary'!$A:$A,"OGS")</f>
        <v>0</v>
      </c>
      <c r="FB69" s="55">
        <f>SUMIFS('Awards Summary'!$H:$H,'Awards Summary'!$B:$B,$C69,'Awards Summary'!$J:$J,"OMH")</f>
        <v>0</v>
      </c>
      <c r="FC69" s="55">
        <f>SUMIFS('Disbursements Summary'!$E:$E,'Disbursements Summary'!$C:$C,$C69,'Disbursements Summary'!$A:$A,"OMH")</f>
        <v>0</v>
      </c>
      <c r="FD69" s="55">
        <f>SUMIFS('Awards Summary'!$H:$H,'Awards Summary'!$B:$B,$C69,'Awards Summary'!$J:$J,"PARKS")</f>
        <v>0</v>
      </c>
      <c r="FE69" s="55">
        <f>SUMIFS('Disbursements Summary'!$E:$E,'Disbursements Summary'!$C:$C,$C69,'Disbursements Summary'!$A:$A,"PARKS")</f>
        <v>0</v>
      </c>
      <c r="FF69" s="55">
        <f>SUMIFS('Awards Summary'!$H:$H,'Awards Summary'!$B:$B,$C69,'Awards Summary'!$J:$J,"OTDA")</f>
        <v>0</v>
      </c>
      <c r="FG69" s="55">
        <f>SUMIFS('Disbursements Summary'!$E:$E,'Disbursements Summary'!$C:$C,$C69,'Disbursements Summary'!$A:$A,"OTDA")</f>
        <v>0</v>
      </c>
      <c r="FH69" s="55">
        <f>SUMIFS('Awards Summary'!$H:$H,'Awards Summary'!$B:$B,$C69,'Awards Summary'!$J:$J,"OIG")</f>
        <v>0</v>
      </c>
      <c r="FI69" s="55">
        <f>SUMIFS('Disbursements Summary'!$E:$E,'Disbursements Summary'!$C:$C,$C69,'Disbursements Summary'!$A:$A,"OIG")</f>
        <v>0</v>
      </c>
      <c r="FJ69" s="55">
        <f>SUMIFS('Awards Summary'!$H:$H,'Awards Summary'!$B:$B,$C69,'Awards Summary'!$J:$J,"OMIG")</f>
        <v>0</v>
      </c>
      <c r="FK69" s="55">
        <f>SUMIFS('Disbursements Summary'!$E:$E,'Disbursements Summary'!$C:$C,$C69,'Disbursements Summary'!$A:$A,"OMIG")</f>
        <v>0</v>
      </c>
      <c r="FL69" s="55">
        <f>SUMIFS('Awards Summary'!$H:$H,'Awards Summary'!$B:$B,$C69,'Awards Summary'!$J:$J,"OSC")</f>
        <v>0</v>
      </c>
      <c r="FM69" s="55">
        <f>SUMIFS('Disbursements Summary'!$E:$E,'Disbursements Summary'!$C:$C,$C69,'Disbursements Summary'!$A:$A,"OSC")</f>
        <v>0</v>
      </c>
      <c r="FN69" s="55">
        <f>SUMIFS('Awards Summary'!$H:$H,'Awards Summary'!$B:$B,$C69,'Awards Summary'!$J:$J,"OWIG")</f>
        <v>0</v>
      </c>
      <c r="FO69" s="55">
        <f>SUMIFS('Disbursements Summary'!$E:$E,'Disbursements Summary'!$C:$C,$C69,'Disbursements Summary'!$A:$A,"OWIG")</f>
        <v>0</v>
      </c>
      <c r="FP69" s="55">
        <f>SUMIFS('Awards Summary'!$H:$H,'Awards Summary'!$B:$B,$C69,'Awards Summary'!$J:$J,"OGDEN")</f>
        <v>0</v>
      </c>
      <c r="FQ69" s="55">
        <f>SUMIFS('Disbursements Summary'!$E:$E,'Disbursements Summary'!$C:$C,$C69,'Disbursements Summary'!$A:$A,"OGDEN")</f>
        <v>0</v>
      </c>
      <c r="FR69" s="55">
        <f>SUMIFS('Awards Summary'!$H:$H,'Awards Summary'!$B:$B,$C69,'Awards Summary'!$J:$J,"ORDA")</f>
        <v>0</v>
      </c>
      <c r="FS69" s="55">
        <f>SUMIFS('Disbursements Summary'!$E:$E,'Disbursements Summary'!$C:$C,$C69,'Disbursements Summary'!$A:$A,"ORDA")</f>
        <v>0</v>
      </c>
      <c r="FT69" s="55">
        <f>SUMIFS('Awards Summary'!$H:$H,'Awards Summary'!$B:$B,$C69,'Awards Summary'!$J:$J,"OSWEGO")</f>
        <v>0</v>
      </c>
      <c r="FU69" s="55">
        <f>SUMIFS('Disbursements Summary'!$E:$E,'Disbursements Summary'!$C:$C,$C69,'Disbursements Summary'!$A:$A,"OSWEGO")</f>
        <v>0</v>
      </c>
      <c r="FV69" s="55">
        <f>SUMIFS('Awards Summary'!$H:$H,'Awards Summary'!$B:$B,$C69,'Awards Summary'!$J:$J,"PERB")</f>
        <v>0</v>
      </c>
      <c r="FW69" s="55">
        <f>SUMIFS('Disbursements Summary'!$E:$E,'Disbursements Summary'!$C:$C,$C69,'Disbursements Summary'!$A:$A,"PERB")</f>
        <v>0</v>
      </c>
      <c r="FX69" s="55">
        <f>SUMIFS('Awards Summary'!$H:$H,'Awards Summary'!$B:$B,$C69,'Awards Summary'!$J:$J,"RGRTA")</f>
        <v>0</v>
      </c>
      <c r="FY69" s="55">
        <f>SUMIFS('Disbursements Summary'!$E:$E,'Disbursements Summary'!$C:$C,$C69,'Disbursements Summary'!$A:$A,"RGRTA")</f>
        <v>0</v>
      </c>
      <c r="FZ69" s="55">
        <f>SUMIFS('Awards Summary'!$H:$H,'Awards Summary'!$B:$B,$C69,'Awards Summary'!$J:$J,"RIOC")</f>
        <v>0</v>
      </c>
      <c r="GA69" s="55">
        <f>SUMIFS('Disbursements Summary'!$E:$E,'Disbursements Summary'!$C:$C,$C69,'Disbursements Summary'!$A:$A,"RIOC")</f>
        <v>0</v>
      </c>
      <c r="GB69" s="55">
        <f>SUMIFS('Awards Summary'!$H:$H,'Awards Summary'!$B:$B,$C69,'Awards Summary'!$J:$J,"RPCI")</f>
        <v>0</v>
      </c>
      <c r="GC69" s="55">
        <f>SUMIFS('Disbursements Summary'!$E:$E,'Disbursements Summary'!$C:$C,$C69,'Disbursements Summary'!$A:$A,"RPCI")</f>
        <v>0</v>
      </c>
      <c r="GD69" s="55">
        <f>SUMIFS('Awards Summary'!$H:$H,'Awards Summary'!$B:$B,$C69,'Awards Summary'!$J:$J,"SMDA")</f>
        <v>0</v>
      </c>
      <c r="GE69" s="55">
        <f>SUMIFS('Disbursements Summary'!$E:$E,'Disbursements Summary'!$C:$C,$C69,'Disbursements Summary'!$A:$A,"SMDA")</f>
        <v>0</v>
      </c>
      <c r="GF69" s="55">
        <f>SUMIFS('Awards Summary'!$H:$H,'Awards Summary'!$B:$B,$C69,'Awards Summary'!$J:$J,"SCOC")</f>
        <v>0</v>
      </c>
      <c r="GG69" s="55">
        <f>SUMIFS('Disbursements Summary'!$E:$E,'Disbursements Summary'!$C:$C,$C69,'Disbursements Summary'!$A:$A,"SCOC")</f>
        <v>0</v>
      </c>
      <c r="GH69" s="55">
        <f>SUMIFS('Awards Summary'!$H:$H,'Awards Summary'!$B:$B,$C69,'Awards Summary'!$J:$J,"SUCF")</f>
        <v>0</v>
      </c>
      <c r="GI69" s="55">
        <f>SUMIFS('Disbursements Summary'!$E:$E,'Disbursements Summary'!$C:$C,$C69,'Disbursements Summary'!$A:$A,"SUCF")</f>
        <v>0</v>
      </c>
      <c r="GJ69" s="55">
        <f>SUMIFS('Awards Summary'!$H:$H,'Awards Summary'!$B:$B,$C69,'Awards Summary'!$J:$J,"SUNY")</f>
        <v>0</v>
      </c>
      <c r="GK69" s="55">
        <f>SUMIFS('Disbursements Summary'!$E:$E,'Disbursements Summary'!$C:$C,$C69,'Disbursements Summary'!$A:$A,"SUNY")</f>
        <v>0</v>
      </c>
      <c r="GL69" s="55">
        <f>SUMIFS('Awards Summary'!$H:$H,'Awards Summary'!$B:$B,$C69,'Awards Summary'!$J:$J,"SRAA")</f>
        <v>0</v>
      </c>
      <c r="GM69" s="55">
        <f>SUMIFS('Disbursements Summary'!$E:$E,'Disbursements Summary'!$C:$C,$C69,'Disbursements Summary'!$A:$A,"SRAA")</f>
        <v>0</v>
      </c>
      <c r="GN69" s="55">
        <f>SUMIFS('Awards Summary'!$H:$H,'Awards Summary'!$B:$B,$C69,'Awards Summary'!$J:$J,"UNDC")</f>
        <v>0</v>
      </c>
      <c r="GO69" s="55">
        <f>SUMIFS('Disbursements Summary'!$E:$E,'Disbursements Summary'!$C:$C,$C69,'Disbursements Summary'!$A:$A,"UNDC")</f>
        <v>0</v>
      </c>
      <c r="GP69" s="55">
        <f>SUMIFS('Awards Summary'!$H:$H,'Awards Summary'!$B:$B,$C69,'Awards Summary'!$J:$J,"MVWA")</f>
        <v>0</v>
      </c>
      <c r="GQ69" s="55">
        <f>SUMIFS('Disbursements Summary'!$E:$E,'Disbursements Summary'!$C:$C,$C69,'Disbursements Summary'!$A:$A,"MVWA")</f>
        <v>0</v>
      </c>
      <c r="GR69" s="55">
        <f>SUMIFS('Awards Summary'!$H:$H,'Awards Summary'!$B:$B,$C69,'Awards Summary'!$J:$J,"WMC")</f>
        <v>0</v>
      </c>
      <c r="GS69" s="55">
        <f>SUMIFS('Disbursements Summary'!$E:$E,'Disbursements Summary'!$C:$C,$C69,'Disbursements Summary'!$A:$A,"WMC")</f>
        <v>0</v>
      </c>
      <c r="GT69" s="55">
        <f>SUMIFS('Awards Summary'!$H:$H,'Awards Summary'!$B:$B,$C69,'Awards Summary'!$J:$J,"WCB")</f>
        <v>0</v>
      </c>
      <c r="GU69" s="55">
        <f>SUMIFS('Disbursements Summary'!$E:$E,'Disbursements Summary'!$C:$C,$C69,'Disbursements Summary'!$A:$A,"WCB")</f>
        <v>0</v>
      </c>
      <c r="GV69" s="32">
        <f t="shared" si="5"/>
        <v>0</v>
      </c>
      <c r="GW69" s="32">
        <f t="shared" si="6"/>
        <v>0</v>
      </c>
      <c r="GX69" s="30" t="b">
        <f t="shared" si="7"/>
        <v>1</v>
      </c>
      <c r="GY69" s="30" t="b">
        <f t="shared" si="8"/>
        <v>1</v>
      </c>
    </row>
    <row r="70" spans="1:207" s="30" customFormat="1">
      <c r="A70" s="22" t="str">
        <f t="shared" si="9"/>
        <v/>
      </c>
      <c r="B70" s="40" t="s">
        <v>116</v>
      </c>
      <c r="C70" s="16">
        <v>151137</v>
      </c>
      <c r="D70" s="26">
        <f>COUNTIF('Awards Summary'!B:B,"151137")</f>
        <v>0</v>
      </c>
      <c r="E70" s="45">
        <f>SUMIFS('Awards Summary'!H:H,'Awards Summary'!B:B,"151137")</f>
        <v>0</v>
      </c>
      <c r="F70" s="46">
        <f>SUMIFS('Disbursements Summary'!E:E,'Disbursements Summary'!C:C, "151137")</f>
        <v>0</v>
      </c>
      <c r="H70" s="55">
        <f>SUMIFS('Awards Summary'!$H:$H,'Awards Summary'!$B:$B,$C70,'Awards Summary'!$J:$J,"APA")</f>
        <v>0</v>
      </c>
      <c r="I70" s="55">
        <f>SUMIFS('Disbursements Summary'!$E:$E,'Disbursements Summary'!$C:$C,$C70,'Disbursements Summary'!$A:$A,"APA")</f>
        <v>0</v>
      </c>
      <c r="J70" s="55">
        <f>SUMIFS('Awards Summary'!$H:$H,'Awards Summary'!$B:$B,$C70,'Awards Summary'!$J:$J,"Ag&amp;Horse")</f>
        <v>0</v>
      </c>
      <c r="K70" s="55">
        <f>SUMIFS('Disbursements Summary'!$E:$E,'Disbursements Summary'!$C:$C,$C70,'Disbursements Summary'!$A:$A,"Ag&amp;Horse")</f>
        <v>0</v>
      </c>
      <c r="L70" s="55">
        <f>SUMIFS('Awards Summary'!$H:$H,'Awards Summary'!$B:$B,$C70,'Awards Summary'!$J:$J,"ACAA")</f>
        <v>0</v>
      </c>
      <c r="M70" s="55">
        <f>SUMIFS('Disbursements Summary'!$E:$E,'Disbursements Summary'!$C:$C,$C70,'Disbursements Summary'!$A:$A,"ACAA")</f>
        <v>0</v>
      </c>
      <c r="N70" s="55">
        <f>SUMIFS('Awards Summary'!$H:$H,'Awards Summary'!$B:$B,$C70,'Awards Summary'!$J:$J,"PortAlbany")</f>
        <v>0</v>
      </c>
      <c r="O70" s="55">
        <f>SUMIFS('Disbursements Summary'!$E:$E,'Disbursements Summary'!$C:$C,$C70,'Disbursements Summary'!$A:$A,"PortAlbany")</f>
        <v>0</v>
      </c>
      <c r="P70" s="55">
        <f>SUMIFS('Awards Summary'!$H:$H,'Awards Summary'!$B:$B,$C70,'Awards Summary'!$J:$J,"SLA")</f>
        <v>0</v>
      </c>
      <c r="Q70" s="55">
        <f>SUMIFS('Disbursements Summary'!$E:$E,'Disbursements Summary'!$C:$C,$C70,'Disbursements Summary'!$A:$A,"SLA")</f>
        <v>0</v>
      </c>
      <c r="R70" s="55">
        <f>SUMIFS('Awards Summary'!$H:$H,'Awards Summary'!$B:$B,$C70,'Awards Summary'!$J:$J,"BPCA")</f>
        <v>0</v>
      </c>
      <c r="S70" s="55">
        <f>SUMIFS('Disbursements Summary'!$E:$E,'Disbursements Summary'!$C:$C,$C70,'Disbursements Summary'!$A:$A,"BPCA")</f>
        <v>0</v>
      </c>
      <c r="T70" s="55">
        <f>SUMIFS('Awards Summary'!$H:$H,'Awards Summary'!$B:$B,$C70,'Awards Summary'!$J:$J,"ELECTIONS")</f>
        <v>0</v>
      </c>
      <c r="U70" s="55">
        <f>SUMIFS('Disbursements Summary'!$E:$E,'Disbursements Summary'!$C:$C,$C70,'Disbursements Summary'!$A:$A,"ELECTIONS")</f>
        <v>0</v>
      </c>
      <c r="V70" s="55">
        <f>SUMIFS('Awards Summary'!$H:$H,'Awards Summary'!$B:$B,$C70,'Awards Summary'!$J:$J,"BFSA")</f>
        <v>0</v>
      </c>
      <c r="W70" s="55">
        <f>SUMIFS('Disbursements Summary'!$E:$E,'Disbursements Summary'!$C:$C,$C70,'Disbursements Summary'!$A:$A,"BFSA")</f>
        <v>0</v>
      </c>
      <c r="X70" s="55">
        <f>SUMIFS('Awards Summary'!$H:$H,'Awards Summary'!$B:$B,$C70,'Awards Summary'!$J:$J,"CDTA")</f>
        <v>0</v>
      </c>
      <c r="Y70" s="55">
        <f>SUMIFS('Disbursements Summary'!$E:$E,'Disbursements Summary'!$C:$C,$C70,'Disbursements Summary'!$A:$A,"CDTA")</f>
        <v>0</v>
      </c>
      <c r="Z70" s="55">
        <f>SUMIFS('Awards Summary'!$H:$H,'Awards Summary'!$B:$B,$C70,'Awards Summary'!$J:$J,"CCWSA")</f>
        <v>0</v>
      </c>
      <c r="AA70" s="55">
        <f>SUMIFS('Disbursements Summary'!$E:$E,'Disbursements Summary'!$C:$C,$C70,'Disbursements Summary'!$A:$A,"CCWSA")</f>
        <v>0</v>
      </c>
      <c r="AB70" s="55">
        <f>SUMIFS('Awards Summary'!$H:$H,'Awards Summary'!$B:$B,$C70,'Awards Summary'!$J:$J,"CNYRTA")</f>
        <v>0</v>
      </c>
      <c r="AC70" s="55">
        <f>SUMIFS('Disbursements Summary'!$E:$E,'Disbursements Summary'!$C:$C,$C70,'Disbursements Summary'!$A:$A,"CNYRTA")</f>
        <v>0</v>
      </c>
      <c r="AD70" s="55">
        <f>SUMIFS('Awards Summary'!$H:$H,'Awards Summary'!$B:$B,$C70,'Awards Summary'!$J:$J,"CUCF")</f>
        <v>0</v>
      </c>
      <c r="AE70" s="55">
        <f>SUMIFS('Disbursements Summary'!$E:$E,'Disbursements Summary'!$C:$C,$C70,'Disbursements Summary'!$A:$A,"CUCF")</f>
        <v>0</v>
      </c>
      <c r="AF70" s="55">
        <f>SUMIFS('Awards Summary'!$H:$H,'Awards Summary'!$B:$B,$C70,'Awards Summary'!$J:$J,"CUNY")</f>
        <v>0</v>
      </c>
      <c r="AG70" s="55">
        <f>SUMIFS('Disbursements Summary'!$E:$E,'Disbursements Summary'!$C:$C,$C70,'Disbursements Summary'!$A:$A,"CUNY")</f>
        <v>0</v>
      </c>
      <c r="AH70" s="55">
        <f>SUMIFS('Awards Summary'!$H:$H,'Awards Summary'!$B:$B,$C70,'Awards Summary'!$J:$J,"ARTS")</f>
        <v>0</v>
      </c>
      <c r="AI70" s="55">
        <f>SUMIFS('Disbursements Summary'!$E:$E,'Disbursements Summary'!$C:$C,$C70,'Disbursements Summary'!$A:$A,"ARTS")</f>
        <v>0</v>
      </c>
      <c r="AJ70" s="55">
        <f>SUMIFS('Awards Summary'!$H:$H,'Awards Summary'!$B:$B,$C70,'Awards Summary'!$J:$J,"AG&amp;MKTS")</f>
        <v>0</v>
      </c>
      <c r="AK70" s="55">
        <f>SUMIFS('Disbursements Summary'!$E:$E,'Disbursements Summary'!$C:$C,$C70,'Disbursements Summary'!$A:$A,"AG&amp;MKTS")</f>
        <v>0</v>
      </c>
      <c r="AL70" s="55">
        <f>SUMIFS('Awards Summary'!$H:$H,'Awards Summary'!$B:$B,$C70,'Awards Summary'!$J:$J,"CS")</f>
        <v>0</v>
      </c>
      <c r="AM70" s="55">
        <f>SUMIFS('Disbursements Summary'!$E:$E,'Disbursements Summary'!$C:$C,$C70,'Disbursements Summary'!$A:$A,"CS")</f>
        <v>0</v>
      </c>
      <c r="AN70" s="55">
        <f>SUMIFS('Awards Summary'!$H:$H,'Awards Summary'!$B:$B,$C70,'Awards Summary'!$J:$J,"DOCCS")</f>
        <v>0</v>
      </c>
      <c r="AO70" s="55">
        <f>SUMIFS('Disbursements Summary'!$E:$E,'Disbursements Summary'!$C:$C,$C70,'Disbursements Summary'!$A:$A,"DOCCS")</f>
        <v>0</v>
      </c>
      <c r="AP70" s="55">
        <f>SUMIFS('Awards Summary'!$H:$H,'Awards Summary'!$B:$B,$C70,'Awards Summary'!$J:$J,"DED")</f>
        <v>0</v>
      </c>
      <c r="AQ70" s="55">
        <f>SUMIFS('Disbursements Summary'!$E:$E,'Disbursements Summary'!$C:$C,$C70,'Disbursements Summary'!$A:$A,"DED")</f>
        <v>0</v>
      </c>
      <c r="AR70" s="55">
        <f>SUMIFS('Awards Summary'!$H:$H,'Awards Summary'!$B:$B,$C70,'Awards Summary'!$J:$J,"DEC")</f>
        <v>0</v>
      </c>
      <c r="AS70" s="55">
        <f>SUMIFS('Disbursements Summary'!$E:$E,'Disbursements Summary'!$C:$C,$C70,'Disbursements Summary'!$A:$A,"DEC")</f>
        <v>0</v>
      </c>
      <c r="AT70" s="55">
        <f>SUMIFS('Awards Summary'!$H:$H,'Awards Summary'!$B:$B,$C70,'Awards Summary'!$J:$J,"DFS")</f>
        <v>0</v>
      </c>
      <c r="AU70" s="55">
        <f>SUMIFS('Disbursements Summary'!$E:$E,'Disbursements Summary'!$C:$C,$C70,'Disbursements Summary'!$A:$A,"DFS")</f>
        <v>0</v>
      </c>
      <c r="AV70" s="55">
        <f>SUMIFS('Awards Summary'!$H:$H,'Awards Summary'!$B:$B,$C70,'Awards Summary'!$J:$J,"DOH")</f>
        <v>0</v>
      </c>
      <c r="AW70" s="55">
        <f>SUMIFS('Disbursements Summary'!$E:$E,'Disbursements Summary'!$C:$C,$C70,'Disbursements Summary'!$A:$A,"DOH")</f>
        <v>0</v>
      </c>
      <c r="AX70" s="55">
        <f>SUMIFS('Awards Summary'!$H:$H,'Awards Summary'!$B:$B,$C70,'Awards Summary'!$J:$J,"DOL")</f>
        <v>0</v>
      </c>
      <c r="AY70" s="55">
        <f>SUMIFS('Disbursements Summary'!$E:$E,'Disbursements Summary'!$C:$C,$C70,'Disbursements Summary'!$A:$A,"DOL")</f>
        <v>0</v>
      </c>
      <c r="AZ70" s="55">
        <f>SUMIFS('Awards Summary'!$H:$H,'Awards Summary'!$B:$B,$C70,'Awards Summary'!$J:$J,"DMV")</f>
        <v>0</v>
      </c>
      <c r="BA70" s="55">
        <f>SUMIFS('Disbursements Summary'!$E:$E,'Disbursements Summary'!$C:$C,$C70,'Disbursements Summary'!$A:$A,"DMV")</f>
        <v>0</v>
      </c>
      <c r="BB70" s="55">
        <f>SUMIFS('Awards Summary'!$H:$H,'Awards Summary'!$B:$B,$C70,'Awards Summary'!$J:$J,"DPS")</f>
        <v>0</v>
      </c>
      <c r="BC70" s="55">
        <f>SUMIFS('Disbursements Summary'!$E:$E,'Disbursements Summary'!$C:$C,$C70,'Disbursements Summary'!$A:$A,"DPS")</f>
        <v>0</v>
      </c>
      <c r="BD70" s="55">
        <f>SUMIFS('Awards Summary'!$H:$H,'Awards Summary'!$B:$B,$C70,'Awards Summary'!$J:$J,"DOS")</f>
        <v>0</v>
      </c>
      <c r="BE70" s="55">
        <f>SUMIFS('Disbursements Summary'!$E:$E,'Disbursements Summary'!$C:$C,$C70,'Disbursements Summary'!$A:$A,"DOS")</f>
        <v>0</v>
      </c>
      <c r="BF70" s="55">
        <f>SUMIFS('Awards Summary'!$H:$H,'Awards Summary'!$B:$B,$C70,'Awards Summary'!$J:$J,"TAX")</f>
        <v>0</v>
      </c>
      <c r="BG70" s="55">
        <f>SUMIFS('Disbursements Summary'!$E:$E,'Disbursements Summary'!$C:$C,$C70,'Disbursements Summary'!$A:$A,"TAX")</f>
        <v>0</v>
      </c>
      <c r="BH70" s="55">
        <f>SUMIFS('Awards Summary'!$H:$H,'Awards Summary'!$B:$B,$C70,'Awards Summary'!$J:$J,"DOT")</f>
        <v>0</v>
      </c>
      <c r="BI70" s="55">
        <f>SUMIFS('Disbursements Summary'!$E:$E,'Disbursements Summary'!$C:$C,$C70,'Disbursements Summary'!$A:$A,"DOT")</f>
        <v>0</v>
      </c>
      <c r="BJ70" s="55">
        <f>SUMIFS('Awards Summary'!$H:$H,'Awards Summary'!$B:$B,$C70,'Awards Summary'!$J:$J,"DANC")</f>
        <v>0</v>
      </c>
      <c r="BK70" s="55">
        <f>SUMIFS('Disbursements Summary'!$E:$E,'Disbursements Summary'!$C:$C,$C70,'Disbursements Summary'!$A:$A,"DANC")</f>
        <v>0</v>
      </c>
      <c r="BL70" s="55">
        <f>SUMIFS('Awards Summary'!$H:$H,'Awards Summary'!$B:$B,$C70,'Awards Summary'!$J:$J,"DOB")</f>
        <v>0</v>
      </c>
      <c r="BM70" s="55">
        <f>SUMIFS('Disbursements Summary'!$E:$E,'Disbursements Summary'!$C:$C,$C70,'Disbursements Summary'!$A:$A,"DOB")</f>
        <v>0</v>
      </c>
      <c r="BN70" s="55">
        <f>SUMIFS('Awards Summary'!$H:$H,'Awards Summary'!$B:$B,$C70,'Awards Summary'!$J:$J,"DCJS")</f>
        <v>0</v>
      </c>
      <c r="BO70" s="55">
        <f>SUMIFS('Disbursements Summary'!$E:$E,'Disbursements Summary'!$C:$C,$C70,'Disbursements Summary'!$A:$A,"DCJS")</f>
        <v>0</v>
      </c>
      <c r="BP70" s="55">
        <f>SUMIFS('Awards Summary'!$H:$H,'Awards Summary'!$B:$B,$C70,'Awards Summary'!$J:$J,"DHSES")</f>
        <v>0</v>
      </c>
      <c r="BQ70" s="55">
        <f>SUMIFS('Disbursements Summary'!$E:$E,'Disbursements Summary'!$C:$C,$C70,'Disbursements Summary'!$A:$A,"DHSES")</f>
        <v>0</v>
      </c>
      <c r="BR70" s="55">
        <f>SUMIFS('Awards Summary'!$H:$H,'Awards Summary'!$B:$B,$C70,'Awards Summary'!$J:$J,"DHR")</f>
        <v>0</v>
      </c>
      <c r="BS70" s="55">
        <f>SUMIFS('Disbursements Summary'!$E:$E,'Disbursements Summary'!$C:$C,$C70,'Disbursements Summary'!$A:$A,"DHR")</f>
        <v>0</v>
      </c>
      <c r="BT70" s="55">
        <f>SUMIFS('Awards Summary'!$H:$H,'Awards Summary'!$B:$B,$C70,'Awards Summary'!$J:$J,"DMNA")</f>
        <v>0</v>
      </c>
      <c r="BU70" s="55">
        <f>SUMIFS('Disbursements Summary'!$E:$E,'Disbursements Summary'!$C:$C,$C70,'Disbursements Summary'!$A:$A,"DMNA")</f>
        <v>0</v>
      </c>
      <c r="BV70" s="55">
        <f>SUMIFS('Awards Summary'!$H:$H,'Awards Summary'!$B:$B,$C70,'Awards Summary'!$J:$J,"TROOPERS")</f>
        <v>0</v>
      </c>
      <c r="BW70" s="55">
        <f>SUMIFS('Disbursements Summary'!$E:$E,'Disbursements Summary'!$C:$C,$C70,'Disbursements Summary'!$A:$A,"TROOPERS")</f>
        <v>0</v>
      </c>
      <c r="BX70" s="55">
        <f>SUMIFS('Awards Summary'!$H:$H,'Awards Summary'!$B:$B,$C70,'Awards Summary'!$J:$J,"DVA")</f>
        <v>0</v>
      </c>
      <c r="BY70" s="55">
        <f>SUMIFS('Disbursements Summary'!$E:$E,'Disbursements Summary'!$C:$C,$C70,'Disbursements Summary'!$A:$A,"DVA")</f>
        <v>0</v>
      </c>
      <c r="BZ70" s="55">
        <f>SUMIFS('Awards Summary'!$H:$H,'Awards Summary'!$B:$B,$C70,'Awards Summary'!$J:$J,"DASNY")</f>
        <v>0</v>
      </c>
      <c r="CA70" s="55">
        <f>SUMIFS('Disbursements Summary'!$E:$E,'Disbursements Summary'!$C:$C,$C70,'Disbursements Summary'!$A:$A,"DASNY")</f>
        <v>0</v>
      </c>
      <c r="CB70" s="55">
        <f>SUMIFS('Awards Summary'!$H:$H,'Awards Summary'!$B:$B,$C70,'Awards Summary'!$J:$J,"EGG")</f>
        <v>0</v>
      </c>
      <c r="CC70" s="55">
        <f>SUMIFS('Disbursements Summary'!$E:$E,'Disbursements Summary'!$C:$C,$C70,'Disbursements Summary'!$A:$A,"EGG")</f>
        <v>0</v>
      </c>
      <c r="CD70" s="55">
        <f>SUMIFS('Awards Summary'!$H:$H,'Awards Summary'!$B:$B,$C70,'Awards Summary'!$J:$J,"ESD")</f>
        <v>0</v>
      </c>
      <c r="CE70" s="55">
        <f>SUMIFS('Disbursements Summary'!$E:$E,'Disbursements Summary'!$C:$C,$C70,'Disbursements Summary'!$A:$A,"ESD")</f>
        <v>0</v>
      </c>
      <c r="CF70" s="55">
        <f>SUMIFS('Awards Summary'!$H:$H,'Awards Summary'!$B:$B,$C70,'Awards Summary'!$J:$J,"EFC")</f>
        <v>0</v>
      </c>
      <c r="CG70" s="55">
        <f>SUMIFS('Disbursements Summary'!$E:$E,'Disbursements Summary'!$C:$C,$C70,'Disbursements Summary'!$A:$A,"EFC")</f>
        <v>0</v>
      </c>
      <c r="CH70" s="55">
        <f>SUMIFS('Awards Summary'!$H:$H,'Awards Summary'!$B:$B,$C70,'Awards Summary'!$J:$J,"ECFSA")</f>
        <v>0</v>
      </c>
      <c r="CI70" s="55">
        <f>SUMIFS('Disbursements Summary'!$E:$E,'Disbursements Summary'!$C:$C,$C70,'Disbursements Summary'!$A:$A,"ECFSA")</f>
        <v>0</v>
      </c>
      <c r="CJ70" s="55">
        <f>SUMIFS('Awards Summary'!$H:$H,'Awards Summary'!$B:$B,$C70,'Awards Summary'!$J:$J,"ECMC")</f>
        <v>0</v>
      </c>
      <c r="CK70" s="55">
        <f>SUMIFS('Disbursements Summary'!$E:$E,'Disbursements Summary'!$C:$C,$C70,'Disbursements Summary'!$A:$A,"ECMC")</f>
        <v>0</v>
      </c>
      <c r="CL70" s="55">
        <f>SUMIFS('Awards Summary'!$H:$H,'Awards Summary'!$B:$B,$C70,'Awards Summary'!$J:$J,"CHAMBER")</f>
        <v>0</v>
      </c>
      <c r="CM70" s="55">
        <f>SUMIFS('Disbursements Summary'!$E:$E,'Disbursements Summary'!$C:$C,$C70,'Disbursements Summary'!$A:$A,"CHAMBER")</f>
        <v>0</v>
      </c>
      <c r="CN70" s="55">
        <f>SUMIFS('Awards Summary'!$H:$H,'Awards Summary'!$B:$B,$C70,'Awards Summary'!$J:$J,"GAMING")</f>
        <v>0</v>
      </c>
      <c r="CO70" s="55">
        <f>SUMIFS('Disbursements Summary'!$E:$E,'Disbursements Summary'!$C:$C,$C70,'Disbursements Summary'!$A:$A,"GAMING")</f>
        <v>0</v>
      </c>
      <c r="CP70" s="55">
        <f>SUMIFS('Awards Summary'!$H:$H,'Awards Summary'!$B:$B,$C70,'Awards Summary'!$J:$J,"GOER")</f>
        <v>0</v>
      </c>
      <c r="CQ70" s="55">
        <f>SUMIFS('Disbursements Summary'!$E:$E,'Disbursements Summary'!$C:$C,$C70,'Disbursements Summary'!$A:$A,"GOER")</f>
        <v>0</v>
      </c>
      <c r="CR70" s="55">
        <f>SUMIFS('Awards Summary'!$H:$H,'Awards Summary'!$B:$B,$C70,'Awards Summary'!$J:$J,"HESC")</f>
        <v>0</v>
      </c>
      <c r="CS70" s="55">
        <f>SUMIFS('Disbursements Summary'!$E:$E,'Disbursements Summary'!$C:$C,$C70,'Disbursements Summary'!$A:$A,"HESC")</f>
        <v>0</v>
      </c>
      <c r="CT70" s="55">
        <f>SUMIFS('Awards Summary'!$H:$H,'Awards Summary'!$B:$B,$C70,'Awards Summary'!$J:$J,"GOSR")</f>
        <v>0</v>
      </c>
      <c r="CU70" s="55">
        <f>SUMIFS('Disbursements Summary'!$E:$E,'Disbursements Summary'!$C:$C,$C70,'Disbursements Summary'!$A:$A,"GOSR")</f>
        <v>0</v>
      </c>
      <c r="CV70" s="55">
        <f>SUMIFS('Awards Summary'!$H:$H,'Awards Summary'!$B:$B,$C70,'Awards Summary'!$J:$J,"HRPT")</f>
        <v>0</v>
      </c>
      <c r="CW70" s="55">
        <f>SUMIFS('Disbursements Summary'!$E:$E,'Disbursements Summary'!$C:$C,$C70,'Disbursements Summary'!$A:$A,"HRPT")</f>
        <v>0</v>
      </c>
      <c r="CX70" s="55">
        <f>SUMIFS('Awards Summary'!$H:$H,'Awards Summary'!$B:$B,$C70,'Awards Summary'!$J:$J,"HRBRRD")</f>
        <v>0</v>
      </c>
      <c r="CY70" s="55">
        <f>SUMIFS('Disbursements Summary'!$E:$E,'Disbursements Summary'!$C:$C,$C70,'Disbursements Summary'!$A:$A,"HRBRRD")</f>
        <v>0</v>
      </c>
      <c r="CZ70" s="55">
        <f>SUMIFS('Awards Summary'!$H:$H,'Awards Summary'!$B:$B,$C70,'Awards Summary'!$J:$J,"ITS")</f>
        <v>0</v>
      </c>
      <c r="DA70" s="55">
        <f>SUMIFS('Disbursements Summary'!$E:$E,'Disbursements Summary'!$C:$C,$C70,'Disbursements Summary'!$A:$A,"ITS")</f>
        <v>0</v>
      </c>
      <c r="DB70" s="55">
        <f>SUMIFS('Awards Summary'!$H:$H,'Awards Summary'!$B:$B,$C70,'Awards Summary'!$J:$J,"JAVITS")</f>
        <v>0</v>
      </c>
      <c r="DC70" s="55">
        <f>SUMIFS('Disbursements Summary'!$E:$E,'Disbursements Summary'!$C:$C,$C70,'Disbursements Summary'!$A:$A,"JAVITS")</f>
        <v>0</v>
      </c>
      <c r="DD70" s="55">
        <f>SUMIFS('Awards Summary'!$H:$H,'Awards Summary'!$B:$B,$C70,'Awards Summary'!$J:$J,"JCOPE")</f>
        <v>0</v>
      </c>
      <c r="DE70" s="55">
        <f>SUMIFS('Disbursements Summary'!$E:$E,'Disbursements Summary'!$C:$C,$C70,'Disbursements Summary'!$A:$A,"JCOPE")</f>
        <v>0</v>
      </c>
      <c r="DF70" s="55">
        <f>SUMIFS('Awards Summary'!$H:$H,'Awards Summary'!$B:$B,$C70,'Awards Summary'!$J:$J,"JUSTICE")</f>
        <v>0</v>
      </c>
      <c r="DG70" s="55">
        <f>SUMIFS('Disbursements Summary'!$E:$E,'Disbursements Summary'!$C:$C,$C70,'Disbursements Summary'!$A:$A,"JUSTICE")</f>
        <v>0</v>
      </c>
      <c r="DH70" s="55">
        <f>SUMIFS('Awards Summary'!$H:$H,'Awards Summary'!$B:$B,$C70,'Awards Summary'!$J:$J,"LCWSA")</f>
        <v>0</v>
      </c>
      <c r="DI70" s="55">
        <f>SUMIFS('Disbursements Summary'!$E:$E,'Disbursements Summary'!$C:$C,$C70,'Disbursements Summary'!$A:$A,"LCWSA")</f>
        <v>0</v>
      </c>
      <c r="DJ70" s="55">
        <f>SUMIFS('Awards Summary'!$H:$H,'Awards Summary'!$B:$B,$C70,'Awards Summary'!$J:$J,"LIPA")</f>
        <v>0</v>
      </c>
      <c r="DK70" s="55">
        <f>SUMIFS('Disbursements Summary'!$E:$E,'Disbursements Summary'!$C:$C,$C70,'Disbursements Summary'!$A:$A,"LIPA")</f>
        <v>0</v>
      </c>
      <c r="DL70" s="55">
        <f>SUMIFS('Awards Summary'!$H:$H,'Awards Summary'!$B:$B,$C70,'Awards Summary'!$J:$J,"MTA")</f>
        <v>0</v>
      </c>
      <c r="DM70" s="55">
        <f>SUMIFS('Disbursements Summary'!$E:$E,'Disbursements Summary'!$C:$C,$C70,'Disbursements Summary'!$A:$A,"MTA")</f>
        <v>0</v>
      </c>
      <c r="DN70" s="55">
        <f>SUMIFS('Awards Summary'!$H:$H,'Awards Summary'!$B:$B,$C70,'Awards Summary'!$J:$J,"NIFA")</f>
        <v>0</v>
      </c>
      <c r="DO70" s="55">
        <f>SUMIFS('Disbursements Summary'!$E:$E,'Disbursements Summary'!$C:$C,$C70,'Disbursements Summary'!$A:$A,"NIFA")</f>
        <v>0</v>
      </c>
      <c r="DP70" s="55">
        <f>SUMIFS('Awards Summary'!$H:$H,'Awards Summary'!$B:$B,$C70,'Awards Summary'!$J:$J,"NHCC")</f>
        <v>0</v>
      </c>
      <c r="DQ70" s="55">
        <f>SUMIFS('Disbursements Summary'!$E:$E,'Disbursements Summary'!$C:$C,$C70,'Disbursements Summary'!$A:$A,"NHCC")</f>
        <v>0</v>
      </c>
      <c r="DR70" s="55">
        <f>SUMIFS('Awards Summary'!$H:$H,'Awards Summary'!$B:$B,$C70,'Awards Summary'!$J:$J,"NHT")</f>
        <v>0</v>
      </c>
      <c r="DS70" s="55">
        <f>SUMIFS('Disbursements Summary'!$E:$E,'Disbursements Summary'!$C:$C,$C70,'Disbursements Summary'!$A:$A,"NHT")</f>
        <v>0</v>
      </c>
      <c r="DT70" s="55">
        <f>SUMIFS('Awards Summary'!$H:$H,'Awards Summary'!$B:$B,$C70,'Awards Summary'!$J:$J,"NYPA")</f>
        <v>0</v>
      </c>
      <c r="DU70" s="55">
        <f>SUMIFS('Disbursements Summary'!$E:$E,'Disbursements Summary'!$C:$C,$C70,'Disbursements Summary'!$A:$A,"NYPA")</f>
        <v>0</v>
      </c>
      <c r="DV70" s="55">
        <f>SUMIFS('Awards Summary'!$H:$H,'Awards Summary'!$B:$B,$C70,'Awards Summary'!$J:$J,"NYSBA")</f>
        <v>0</v>
      </c>
      <c r="DW70" s="55">
        <f>SUMIFS('Disbursements Summary'!$E:$E,'Disbursements Summary'!$C:$C,$C70,'Disbursements Summary'!$A:$A,"NYSBA")</f>
        <v>0</v>
      </c>
      <c r="DX70" s="55">
        <f>SUMIFS('Awards Summary'!$H:$H,'Awards Summary'!$B:$B,$C70,'Awards Summary'!$J:$J,"NYSERDA")</f>
        <v>0</v>
      </c>
      <c r="DY70" s="55">
        <f>SUMIFS('Disbursements Summary'!$E:$E,'Disbursements Summary'!$C:$C,$C70,'Disbursements Summary'!$A:$A,"NYSERDA")</f>
        <v>0</v>
      </c>
      <c r="DZ70" s="55">
        <f>SUMIFS('Awards Summary'!$H:$H,'Awards Summary'!$B:$B,$C70,'Awards Summary'!$J:$J,"DHCR")</f>
        <v>0</v>
      </c>
      <c r="EA70" s="55">
        <f>SUMIFS('Disbursements Summary'!$E:$E,'Disbursements Summary'!$C:$C,$C70,'Disbursements Summary'!$A:$A,"DHCR")</f>
        <v>0</v>
      </c>
      <c r="EB70" s="55">
        <f>SUMIFS('Awards Summary'!$H:$H,'Awards Summary'!$B:$B,$C70,'Awards Summary'!$J:$J,"HFA")</f>
        <v>0</v>
      </c>
      <c r="EC70" s="55">
        <f>SUMIFS('Disbursements Summary'!$E:$E,'Disbursements Summary'!$C:$C,$C70,'Disbursements Summary'!$A:$A,"HFA")</f>
        <v>0</v>
      </c>
      <c r="ED70" s="55">
        <f>SUMIFS('Awards Summary'!$H:$H,'Awards Summary'!$B:$B,$C70,'Awards Summary'!$J:$J,"NYSIF")</f>
        <v>0</v>
      </c>
      <c r="EE70" s="55">
        <f>SUMIFS('Disbursements Summary'!$E:$E,'Disbursements Summary'!$C:$C,$C70,'Disbursements Summary'!$A:$A,"NYSIF")</f>
        <v>0</v>
      </c>
      <c r="EF70" s="55">
        <f>SUMIFS('Awards Summary'!$H:$H,'Awards Summary'!$B:$B,$C70,'Awards Summary'!$J:$J,"NYBREDS")</f>
        <v>0</v>
      </c>
      <c r="EG70" s="55">
        <f>SUMIFS('Disbursements Summary'!$E:$E,'Disbursements Summary'!$C:$C,$C70,'Disbursements Summary'!$A:$A,"NYBREDS")</f>
        <v>0</v>
      </c>
      <c r="EH70" s="55">
        <f>SUMIFS('Awards Summary'!$H:$H,'Awards Summary'!$B:$B,$C70,'Awards Summary'!$J:$J,"NYSTA")</f>
        <v>0</v>
      </c>
      <c r="EI70" s="55">
        <f>SUMIFS('Disbursements Summary'!$E:$E,'Disbursements Summary'!$C:$C,$C70,'Disbursements Summary'!$A:$A,"NYSTA")</f>
        <v>0</v>
      </c>
      <c r="EJ70" s="55">
        <f>SUMIFS('Awards Summary'!$H:$H,'Awards Summary'!$B:$B,$C70,'Awards Summary'!$J:$J,"NFWB")</f>
        <v>0</v>
      </c>
      <c r="EK70" s="55">
        <f>SUMIFS('Disbursements Summary'!$E:$E,'Disbursements Summary'!$C:$C,$C70,'Disbursements Summary'!$A:$A,"NFWB")</f>
        <v>0</v>
      </c>
      <c r="EL70" s="55">
        <f>SUMIFS('Awards Summary'!$H:$H,'Awards Summary'!$B:$B,$C70,'Awards Summary'!$J:$J,"NFTA")</f>
        <v>0</v>
      </c>
      <c r="EM70" s="55">
        <f>SUMIFS('Disbursements Summary'!$E:$E,'Disbursements Summary'!$C:$C,$C70,'Disbursements Summary'!$A:$A,"NFTA")</f>
        <v>0</v>
      </c>
      <c r="EN70" s="55">
        <f>SUMIFS('Awards Summary'!$H:$H,'Awards Summary'!$B:$B,$C70,'Awards Summary'!$J:$J,"OPWDD")</f>
        <v>0</v>
      </c>
      <c r="EO70" s="55">
        <f>SUMIFS('Disbursements Summary'!$E:$E,'Disbursements Summary'!$C:$C,$C70,'Disbursements Summary'!$A:$A,"OPWDD")</f>
        <v>0</v>
      </c>
      <c r="EP70" s="55">
        <f>SUMIFS('Awards Summary'!$H:$H,'Awards Summary'!$B:$B,$C70,'Awards Summary'!$J:$J,"AGING")</f>
        <v>0</v>
      </c>
      <c r="EQ70" s="55">
        <f>SUMIFS('Disbursements Summary'!$E:$E,'Disbursements Summary'!$C:$C,$C70,'Disbursements Summary'!$A:$A,"AGING")</f>
        <v>0</v>
      </c>
      <c r="ER70" s="55">
        <f>SUMIFS('Awards Summary'!$H:$H,'Awards Summary'!$B:$B,$C70,'Awards Summary'!$J:$J,"OPDV")</f>
        <v>0</v>
      </c>
      <c r="ES70" s="55">
        <f>SUMIFS('Disbursements Summary'!$E:$E,'Disbursements Summary'!$C:$C,$C70,'Disbursements Summary'!$A:$A,"OPDV")</f>
        <v>0</v>
      </c>
      <c r="ET70" s="55">
        <f>SUMIFS('Awards Summary'!$H:$H,'Awards Summary'!$B:$B,$C70,'Awards Summary'!$J:$J,"OVS")</f>
        <v>0</v>
      </c>
      <c r="EU70" s="55">
        <f>SUMIFS('Disbursements Summary'!$E:$E,'Disbursements Summary'!$C:$C,$C70,'Disbursements Summary'!$A:$A,"OVS")</f>
        <v>0</v>
      </c>
      <c r="EV70" s="55">
        <f>SUMIFS('Awards Summary'!$H:$H,'Awards Summary'!$B:$B,$C70,'Awards Summary'!$J:$J,"OASAS")</f>
        <v>0</v>
      </c>
      <c r="EW70" s="55">
        <f>SUMIFS('Disbursements Summary'!$E:$E,'Disbursements Summary'!$C:$C,$C70,'Disbursements Summary'!$A:$A,"OASAS")</f>
        <v>0</v>
      </c>
      <c r="EX70" s="55">
        <f>SUMIFS('Awards Summary'!$H:$H,'Awards Summary'!$B:$B,$C70,'Awards Summary'!$J:$J,"OCFS")</f>
        <v>0</v>
      </c>
      <c r="EY70" s="55">
        <f>SUMIFS('Disbursements Summary'!$E:$E,'Disbursements Summary'!$C:$C,$C70,'Disbursements Summary'!$A:$A,"OCFS")</f>
        <v>0</v>
      </c>
      <c r="EZ70" s="55">
        <f>SUMIFS('Awards Summary'!$H:$H,'Awards Summary'!$B:$B,$C70,'Awards Summary'!$J:$J,"OGS")</f>
        <v>0</v>
      </c>
      <c r="FA70" s="55">
        <f>SUMIFS('Disbursements Summary'!$E:$E,'Disbursements Summary'!$C:$C,$C70,'Disbursements Summary'!$A:$A,"OGS")</f>
        <v>0</v>
      </c>
      <c r="FB70" s="55">
        <f>SUMIFS('Awards Summary'!$H:$H,'Awards Summary'!$B:$B,$C70,'Awards Summary'!$J:$J,"OMH")</f>
        <v>0</v>
      </c>
      <c r="FC70" s="55">
        <f>SUMIFS('Disbursements Summary'!$E:$E,'Disbursements Summary'!$C:$C,$C70,'Disbursements Summary'!$A:$A,"OMH")</f>
        <v>0</v>
      </c>
      <c r="FD70" s="55">
        <f>SUMIFS('Awards Summary'!$H:$H,'Awards Summary'!$B:$B,$C70,'Awards Summary'!$J:$J,"PARKS")</f>
        <v>0</v>
      </c>
      <c r="FE70" s="55">
        <f>SUMIFS('Disbursements Summary'!$E:$E,'Disbursements Summary'!$C:$C,$C70,'Disbursements Summary'!$A:$A,"PARKS")</f>
        <v>0</v>
      </c>
      <c r="FF70" s="55">
        <f>SUMIFS('Awards Summary'!$H:$H,'Awards Summary'!$B:$B,$C70,'Awards Summary'!$J:$J,"OTDA")</f>
        <v>0</v>
      </c>
      <c r="FG70" s="55">
        <f>SUMIFS('Disbursements Summary'!$E:$E,'Disbursements Summary'!$C:$C,$C70,'Disbursements Summary'!$A:$A,"OTDA")</f>
        <v>0</v>
      </c>
      <c r="FH70" s="55">
        <f>SUMIFS('Awards Summary'!$H:$H,'Awards Summary'!$B:$B,$C70,'Awards Summary'!$J:$J,"OIG")</f>
        <v>0</v>
      </c>
      <c r="FI70" s="55">
        <f>SUMIFS('Disbursements Summary'!$E:$E,'Disbursements Summary'!$C:$C,$C70,'Disbursements Summary'!$A:$A,"OIG")</f>
        <v>0</v>
      </c>
      <c r="FJ70" s="55">
        <f>SUMIFS('Awards Summary'!$H:$H,'Awards Summary'!$B:$B,$C70,'Awards Summary'!$J:$J,"OMIG")</f>
        <v>0</v>
      </c>
      <c r="FK70" s="55">
        <f>SUMIFS('Disbursements Summary'!$E:$E,'Disbursements Summary'!$C:$C,$C70,'Disbursements Summary'!$A:$A,"OMIG")</f>
        <v>0</v>
      </c>
      <c r="FL70" s="55">
        <f>SUMIFS('Awards Summary'!$H:$H,'Awards Summary'!$B:$B,$C70,'Awards Summary'!$J:$J,"OSC")</f>
        <v>0</v>
      </c>
      <c r="FM70" s="55">
        <f>SUMIFS('Disbursements Summary'!$E:$E,'Disbursements Summary'!$C:$C,$C70,'Disbursements Summary'!$A:$A,"OSC")</f>
        <v>0</v>
      </c>
      <c r="FN70" s="55">
        <f>SUMIFS('Awards Summary'!$H:$H,'Awards Summary'!$B:$B,$C70,'Awards Summary'!$J:$J,"OWIG")</f>
        <v>0</v>
      </c>
      <c r="FO70" s="55">
        <f>SUMIFS('Disbursements Summary'!$E:$E,'Disbursements Summary'!$C:$C,$C70,'Disbursements Summary'!$A:$A,"OWIG")</f>
        <v>0</v>
      </c>
      <c r="FP70" s="55">
        <f>SUMIFS('Awards Summary'!$H:$H,'Awards Summary'!$B:$B,$C70,'Awards Summary'!$J:$J,"OGDEN")</f>
        <v>0</v>
      </c>
      <c r="FQ70" s="55">
        <f>SUMIFS('Disbursements Summary'!$E:$E,'Disbursements Summary'!$C:$C,$C70,'Disbursements Summary'!$A:$A,"OGDEN")</f>
        <v>0</v>
      </c>
      <c r="FR70" s="55">
        <f>SUMIFS('Awards Summary'!$H:$H,'Awards Summary'!$B:$B,$C70,'Awards Summary'!$J:$J,"ORDA")</f>
        <v>0</v>
      </c>
      <c r="FS70" s="55">
        <f>SUMIFS('Disbursements Summary'!$E:$E,'Disbursements Summary'!$C:$C,$C70,'Disbursements Summary'!$A:$A,"ORDA")</f>
        <v>0</v>
      </c>
      <c r="FT70" s="55">
        <f>SUMIFS('Awards Summary'!$H:$H,'Awards Summary'!$B:$B,$C70,'Awards Summary'!$J:$J,"OSWEGO")</f>
        <v>0</v>
      </c>
      <c r="FU70" s="55">
        <f>SUMIFS('Disbursements Summary'!$E:$E,'Disbursements Summary'!$C:$C,$C70,'Disbursements Summary'!$A:$A,"OSWEGO")</f>
        <v>0</v>
      </c>
      <c r="FV70" s="55">
        <f>SUMIFS('Awards Summary'!$H:$H,'Awards Summary'!$B:$B,$C70,'Awards Summary'!$J:$J,"PERB")</f>
        <v>0</v>
      </c>
      <c r="FW70" s="55">
        <f>SUMIFS('Disbursements Summary'!$E:$E,'Disbursements Summary'!$C:$C,$C70,'Disbursements Summary'!$A:$A,"PERB")</f>
        <v>0</v>
      </c>
      <c r="FX70" s="55">
        <f>SUMIFS('Awards Summary'!$H:$H,'Awards Summary'!$B:$B,$C70,'Awards Summary'!$J:$J,"RGRTA")</f>
        <v>0</v>
      </c>
      <c r="FY70" s="55">
        <f>SUMIFS('Disbursements Summary'!$E:$E,'Disbursements Summary'!$C:$C,$C70,'Disbursements Summary'!$A:$A,"RGRTA")</f>
        <v>0</v>
      </c>
      <c r="FZ70" s="55">
        <f>SUMIFS('Awards Summary'!$H:$H,'Awards Summary'!$B:$B,$C70,'Awards Summary'!$J:$J,"RIOC")</f>
        <v>0</v>
      </c>
      <c r="GA70" s="55">
        <f>SUMIFS('Disbursements Summary'!$E:$E,'Disbursements Summary'!$C:$C,$C70,'Disbursements Summary'!$A:$A,"RIOC")</f>
        <v>0</v>
      </c>
      <c r="GB70" s="55">
        <f>SUMIFS('Awards Summary'!$H:$H,'Awards Summary'!$B:$B,$C70,'Awards Summary'!$J:$J,"RPCI")</f>
        <v>0</v>
      </c>
      <c r="GC70" s="55">
        <f>SUMIFS('Disbursements Summary'!$E:$E,'Disbursements Summary'!$C:$C,$C70,'Disbursements Summary'!$A:$A,"RPCI")</f>
        <v>0</v>
      </c>
      <c r="GD70" s="55">
        <f>SUMIFS('Awards Summary'!$H:$H,'Awards Summary'!$B:$B,$C70,'Awards Summary'!$J:$J,"SMDA")</f>
        <v>0</v>
      </c>
      <c r="GE70" s="55">
        <f>SUMIFS('Disbursements Summary'!$E:$E,'Disbursements Summary'!$C:$C,$C70,'Disbursements Summary'!$A:$A,"SMDA")</f>
        <v>0</v>
      </c>
      <c r="GF70" s="55">
        <f>SUMIFS('Awards Summary'!$H:$H,'Awards Summary'!$B:$B,$C70,'Awards Summary'!$J:$J,"SCOC")</f>
        <v>0</v>
      </c>
      <c r="GG70" s="55">
        <f>SUMIFS('Disbursements Summary'!$E:$E,'Disbursements Summary'!$C:$C,$C70,'Disbursements Summary'!$A:$A,"SCOC")</f>
        <v>0</v>
      </c>
      <c r="GH70" s="55">
        <f>SUMIFS('Awards Summary'!$H:$H,'Awards Summary'!$B:$B,$C70,'Awards Summary'!$J:$J,"SUCF")</f>
        <v>0</v>
      </c>
      <c r="GI70" s="55">
        <f>SUMIFS('Disbursements Summary'!$E:$E,'Disbursements Summary'!$C:$C,$C70,'Disbursements Summary'!$A:$A,"SUCF")</f>
        <v>0</v>
      </c>
      <c r="GJ70" s="55">
        <f>SUMIFS('Awards Summary'!$H:$H,'Awards Summary'!$B:$B,$C70,'Awards Summary'!$J:$J,"SUNY")</f>
        <v>0</v>
      </c>
      <c r="GK70" s="55">
        <f>SUMIFS('Disbursements Summary'!$E:$E,'Disbursements Summary'!$C:$C,$C70,'Disbursements Summary'!$A:$A,"SUNY")</f>
        <v>0</v>
      </c>
      <c r="GL70" s="55">
        <f>SUMIFS('Awards Summary'!$H:$H,'Awards Summary'!$B:$B,$C70,'Awards Summary'!$J:$J,"SRAA")</f>
        <v>0</v>
      </c>
      <c r="GM70" s="55">
        <f>SUMIFS('Disbursements Summary'!$E:$E,'Disbursements Summary'!$C:$C,$C70,'Disbursements Summary'!$A:$A,"SRAA")</f>
        <v>0</v>
      </c>
      <c r="GN70" s="55">
        <f>SUMIFS('Awards Summary'!$H:$H,'Awards Summary'!$B:$B,$C70,'Awards Summary'!$J:$J,"UNDC")</f>
        <v>0</v>
      </c>
      <c r="GO70" s="55">
        <f>SUMIFS('Disbursements Summary'!$E:$E,'Disbursements Summary'!$C:$C,$C70,'Disbursements Summary'!$A:$A,"UNDC")</f>
        <v>0</v>
      </c>
      <c r="GP70" s="55">
        <f>SUMIFS('Awards Summary'!$H:$H,'Awards Summary'!$B:$B,$C70,'Awards Summary'!$J:$J,"MVWA")</f>
        <v>0</v>
      </c>
      <c r="GQ70" s="55">
        <f>SUMIFS('Disbursements Summary'!$E:$E,'Disbursements Summary'!$C:$C,$C70,'Disbursements Summary'!$A:$A,"MVWA")</f>
        <v>0</v>
      </c>
      <c r="GR70" s="55">
        <f>SUMIFS('Awards Summary'!$H:$H,'Awards Summary'!$B:$B,$C70,'Awards Summary'!$J:$J,"WMC")</f>
        <v>0</v>
      </c>
      <c r="GS70" s="55">
        <f>SUMIFS('Disbursements Summary'!$E:$E,'Disbursements Summary'!$C:$C,$C70,'Disbursements Summary'!$A:$A,"WMC")</f>
        <v>0</v>
      </c>
      <c r="GT70" s="55">
        <f>SUMIFS('Awards Summary'!$H:$H,'Awards Summary'!$B:$B,$C70,'Awards Summary'!$J:$J,"WCB")</f>
        <v>0</v>
      </c>
      <c r="GU70" s="55">
        <f>SUMIFS('Disbursements Summary'!$E:$E,'Disbursements Summary'!$C:$C,$C70,'Disbursements Summary'!$A:$A,"WCB")</f>
        <v>0</v>
      </c>
      <c r="GV70" s="32">
        <f t="shared" si="5"/>
        <v>0</v>
      </c>
      <c r="GW70" s="32">
        <f t="shared" si="6"/>
        <v>0</v>
      </c>
      <c r="GX70" s="30" t="b">
        <f t="shared" si="7"/>
        <v>1</v>
      </c>
      <c r="GY70" s="30" t="b">
        <f t="shared" si="8"/>
        <v>1</v>
      </c>
    </row>
    <row r="71" spans="1:207" s="30" customFormat="1">
      <c r="A71" s="22" t="str">
        <f t="shared" si="9"/>
        <v/>
      </c>
      <c r="B71" s="195" t="s">
        <v>482</v>
      </c>
      <c r="C71" s="65">
        <v>151142</v>
      </c>
      <c r="D71" s="26">
        <f>COUNTIF('Awards Summary'!B:B,"151142")</f>
        <v>0</v>
      </c>
      <c r="E71" s="45">
        <f>SUMIFS('Awards Summary'!H:H,'Awards Summary'!B:B,"151142")</f>
        <v>0</v>
      </c>
      <c r="F71" s="46">
        <f>SUMIFS('Disbursements Summary'!E:E,'Disbursements Summary'!C:C, "151142")</f>
        <v>0</v>
      </c>
      <c r="H71" s="55">
        <f>SUMIFS('Awards Summary'!$H:$H,'Awards Summary'!$B:$B,$C71,'Awards Summary'!$J:$J,"APA")</f>
        <v>0</v>
      </c>
      <c r="I71" s="55">
        <f>SUMIFS('Disbursements Summary'!$E:$E,'Disbursements Summary'!$C:$C,$C71,'Disbursements Summary'!$A:$A,"APA")</f>
        <v>0</v>
      </c>
      <c r="J71" s="55">
        <f>SUMIFS('Awards Summary'!$H:$H,'Awards Summary'!$B:$B,$C71,'Awards Summary'!$J:$J,"Ag&amp;Horse")</f>
        <v>0</v>
      </c>
      <c r="K71" s="55">
        <f>SUMIFS('Disbursements Summary'!$E:$E,'Disbursements Summary'!$C:$C,$C71,'Disbursements Summary'!$A:$A,"Ag&amp;Horse")</f>
        <v>0</v>
      </c>
      <c r="L71" s="55">
        <f>SUMIFS('Awards Summary'!$H:$H,'Awards Summary'!$B:$B,$C71,'Awards Summary'!$J:$J,"ACAA")</f>
        <v>0</v>
      </c>
      <c r="M71" s="55">
        <f>SUMIFS('Disbursements Summary'!$E:$E,'Disbursements Summary'!$C:$C,$C71,'Disbursements Summary'!$A:$A,"ACAA")</f>
        <v>0</v>
      </c>
      <c r="N71" s="55">
        <f>SUMIFS('Awards Summary'!$H:$H,'Awards Summary'!$B:$B,$C71,'Awards Summary'!$J:$J,"PortAlbany")</f>
        <v>0</v>
      </c>
      <c r="O71" s="55">
        <f>SUMIFS('Disbursements Summary'!$E:$E,'Disbursements Summary'!$C:$C,$C71,'Disbursements Summary'!$A:$A,"PortAlbany")</f>
        <v>0</v>
      </c>
      <c r="P71" s="55">
        <f>SUMIFS('Awards Summary'!$H:$H,'Awards Summary'!$B:$B,$C71,'Awards Summary'!$J:$J,"SLA")</f>
        <v>0</v>
      </c>
      <c r="Q71" s="55">
        <f>SUMIFS('Disbursements Summary'!$E:$E,'Disbursements Summary'!$C:$C,$C71,'Disbursements Summary'!$A:$A,"SLA")</f>
        <v>0</v>
      </c>
      <c r="R71" s="55">
        <f>SUMIFS('Awards Summary'!$H:$H,'Awards Summary'!$B:$B,$C71,'Awards Summary'!$J:$J,"BPCA")</f>
        <v>0</v>
      </c>
      <c r="S71" s="55">
        <f>SUMIFS('Disbursements Summary'!$E:$E,'Disbursements Summary'!$C:$C,$C71,'Disbursements Summary'!$A:$A,"BPCA")</f>
        <v>0</v>
      </c>
      <c r="T71" s="55">
        <f>SUMIFS('Awards Summary'!$H:$H,'Awards Summary'!$B:$B,$C71,'Awards Summary'!$J:$J,"ELECTIONS")</f>
        <v>0</v>
      </c>
      <c r="U71" s="55">
        <f>SUMIFS('Disbursements Summary'!$E:$E,'Disbursements Summary'!$C:$C,$C71,'Disbursements Summary'!$A:$A,"ELECTIONS")</f>
        <v>0</v>
      </c>
      <c r="V71" s="55">
        <f>SUMIFS('Awards Summary'!$H:$H,'Awards Summary'!$B:$B,$C71,'Awards Summary'!$J:$J,"BFSA")</f>
        <v>0</v>
      </c>
      <c r="W71" s="55">
        <f>SUMIFS('Disbursements Summary'!$E:$E,'Disbursements Summary'!$C:$C,$C71,'Disbursements Summary'!$A:$A,"BFSA")</f>
        <v>0</v>
      </c>
      <c r="X71" s="55">
        <f>SUMIFS('Awards Summary'!$H:$H,'Awards Summary'!$B:$B,$C71,'Awards Summary'!$J:$J,"CDTA")</f>
        <v>0</v>
      </c>
      <c r="Y71" s="55">
        <f>SUMIFS('Disbursements Summary'!$E:$E,'Disbursements Summary'!$C:$C,$C71,'Disbursements Summary'!$A:$A,"CDTA")</f>
        <v>0</v>
      </c>
      <c r="Z71" s="55">
        <f>SUMIFS('Awards Summary'!$H:$H,'Awards Summary'!$B:$B,$C71,'Awards Summary'!$J:$J,"CCWSA")</f>
        <v>0</v>
      </c>
      <c r="AA71" s="55">
        <f>SUMIFS('Disbursements Summary'!$E:$E,'Disbursements Summary'!$C:$C,$C71,'Disbursements Summary'!$A:$A,"CCWSA")</f>
        <v>0</v>
      </c>
      <c r="AB71" s="55">
        <f>SUMIFS('Awards Summary'!$H:$H,'Awards Summary'!$B:$B,$C71,'Awards Summary'!$J:$J,"CNYRTA")</f>
        <v>0</v>
      </c>
      <c r="AC71" s="55">
        <f>SUMIFS('Disbursements Summary'!$E:$E,'Disbursements Summary'!$C:$C,$C71,'Disbursements Summary'!$A:$A,"CNYRTA")</f>
        <v>0</v>
      </c>
      <c r="AD71" s="55">
        <f>SUMIFS('Awards Summary'!$H:$H,'Awards Summary'!$B:$B,$C71,'Awards Summary'!$J:$J,"CUCF")</f>
        <v>0</v>
      </c>
      <c r="AE71" s="55">
        <f>SUMIFS('Disbursements Summary'!$E:$E,'Disbursements Summary'!$C:$C,$C71,'Disbursements Summary'!$A:$A,"CUCF")</f>
        <v>0</v>
      </c>
      <c r="AF71" s="55">
        <f>SUMIFS('Awards Summary'!$H:$H,'Awards Summary'!$B:$B,$C71,'Awards Summary'!$J:$J,"CUNY")</f>
        <v>0</v>
      </c>
      <c r="AG71" s="55">
        <f>SUMIFS('Disbursements Summary'!$E:$E,'Disbursements Summary'!$C:$C,$C71,'Disbursements Summary'!$A:$A,"CUNY")</f>
        <v>0</v>
      </c>
      <c r="AH71" s="55">
        <f>SUMIFS('Awards Summary'!$H:$H,'Awards Summary'!$B:$B,$C71,'Awards Summary'!$J:$J,"ARTS")</f>
        <v>0</v>
      </c>
      <c r="AI71" s="55">
        <f>SUMIFS('Disbursements Summary'!$E:$E,'Disbursements Summary'!$C:$C,$C71,'Disbursements Summary'!$A:$A,"ARTS")</f>
        <v>0</v>
      </c>
      <c r="AJ71" s="55">
        <f>SUMIFS('Awards Summary'!$H:$H,'Awards Summary'!$B:$B,$C71,'Awards Summary'!$J:$J,"AG&amp;MKTS")</f>
        <v>0</v>
      </c>
      <c r="AK71" s="55">
        <f>SUMIFS('Disbursements Summary'!$E:$E,'Disbursements Summary'!$C:$C,$C71,'Disbursements Summary'!$A:$A,"AG&amp;MKTS")</f>
        <v>0</v>
      </c>
      <c r="AL71" s="55">
        <f>SUMIFS('Awards Summary'!$H:$H,'Awards Summary'!$B:$B,$C71,'Awards Summary'!$J:$J,"CS")</f>
        <v>0</v>
      </c>
      <c r="AM71" s="55">
        <f>SUMIFS('Disbursements Summary'!$E:$E,'Disbursements Summary'!$C:$C,$C71,'Disbursements Summary'!$A:$A,"CS")</f>
        <v>0</v>
      </c>
      <c r="AN71" s="55">
        <f>SUMIFS('Awards Summary'!$H:$H,'Awards Summary'!$B:$B,$C71,'Awards Summary'!$J:$J,"DOCCS")</f>
        <v>0</v>
      </c>
      <c r="AO71" s="55">
        <f>SUMIFS('Disbursements Summary'!$E:$E,'Disbursements Summary'!$C:$C,$C71,'Disbursements Summary'!$A:$A,"DOCCS")</f>
        <v>0</v>
      </c>
      <c r="AP71" s="55">
        <f>SUMIFS('Awards Summary'!$H:$H,'Awards Summary'!$B:$B,$C71,'Awards Summary'!$J:$J,"DED")</f>
        <v>0</v>
      </c>
      <c r="AQ71" s="55">
        <f>SUMIFS('Disbursements Summary'!$E:$E,'Disbursements Summary'!$C:$C,$C71,'Disbursements Summary'!$A:$A,"DED")</f>
        <v>0</v>
      </c>
      <c r="AR71" s="55">
        <f>SUMIFS('Awards Summary'!$H:$H,'Awards Summary'!$B:$B,$C71,'Awards Summary'!$J:$J,"DEC")</f>
        <v>0</v>
      </c>
      <c r="AS71" s="55">
        <f>SUMIFS('Disbursements Summary'!$E:$E,'Disbursements Summary'!$C:$C,$C71,'Disbursements Summary'!$A:$A,"DEC")</f>
        <v>0</v>
      </c>
      <c r="AT71" s="55">
        <f>SUMIFS('Awards Summary'!$H:$H,'Awards Summary'!$B:$B,$C71,'Awards Summary'!$J:$J,"DFS")</f>
        <v>0</v>
      </c>
      <c r="AU71" s="55">
        <f>SUMIFS('Disbursements Summary'!$E:$E,'Disbursements Summary'!$C:$C,$C71,'Disbursements Summary'!$A:$A,"DFS")</f>
        <v>0</v>
      </c>
      <c r="AV71" s="55">
        <f>SUMIFS('Awards Summary'!$H:$H,'Awards Summary'!$B:$B,$C71,'Awards Summary'!$J:$J,"DOH")</f>
        <v>0</v>
      </c>
      <c r="AW71" s="55">
        <f>SUMIFS('Disbursements Summary'!$E:$E,'Disbursements Summary'!$C:$C,$C71,'Disbursements Summary'!$A:$A,"DOH")</f>
        <v>0</v>
      </c>
      <c r="AX71" s="55">
        <f>SUMIFS('Awards Summary'!$H:$H,'Awards Summary'!$B:$B,$C71,'Awards Summary'!$J:$J,"DOL")</f>
        <v>0</v>
      </c>
      <c r="AY71" s="55">
        <f>SUMIFS('Disbursements Summary'!$E:$E,'Disbursements Summary'!$C:$C,$C71,'Disbursements Summary'!$A:$A,"DOL")</f>
        <v>0</v>
      </c>
      <c r="AZ71" s="55">
        <f>SUMIFS('Awards Summary'!$H:$H,'Awards Summary'!$B:$B,$C71,'Awards Summary'!$J:$J,"DMV")</f>
        <v>0</v>
      </c>
      <c r="BA71" s="55">
        <f>SUMIFS('Disbursements Summary'!$E:$E,'Disbursements Summary'!$C:$C,$C71,'Disbursements Summary'!$A:$A,"DMV")</f>
        <v>0</v>
      </c>
      <c r="BB71" s="55">
        <f>SUMIFS('Awards Summary'!$H:$H,'Awards Summary'!$B:$B,$C71,'Awards Summary'!$J:$J,"DPS")</f>
        <v>0</v>
      </c>
      <c r="BC71" s="55">
        <f>SUMIFS('Disbursements Summary'!$E:$E,'Disbursements Summary'!$C:$C,$C71,'Disbursements Summary'!$A:$A,"DPS")</f>
        <v>0</v>
      </c>
      <c r="BD71" s="55">
        <f>SUMIFS('Awards Summary'!$H:$H,'Awards Summary'!$B:$B,$C71,'Awards Summary'!$J:$J,"DOS")</f>
        <v>0</v>
      </c>
      <c r="BE71" s="55">
        <f>SUMIFS('Disbursements Summary'!$E:$E,'Disbursements Summary'!$C:$C,$C71,'Disbursements Summary'!$A:$A,"DOS")</f>
        <v>0</v>
      </c>
      <c r="BF71" s="55">
        <f>SUMIFS('Awards Summary'!$H:$H,'Awards Summary'!$B:$B,$C71,'Awards Summary'!$J:$J,"TAX")</f>
        <v>0</v>
      </c>
      <c r="BG71" s="55">
        <f>SUMIFS('Disbursements Summary'!$E:$E,'Disbursements Summary'!$C:$C,$C71,'Disbursements Summary'!$A:$A,"TAX")</f>
        <v>0</v>
      </c>
      <c r="BH71" s="55">
        <f>SUMIFS('Awards Summary'!$H:$H,'Awards Summary'!$B:$B,$C71,'Awards Summary'!$J:$J,"DOT")</f>
        <v>0</v>
      </c>
      <c r="BI71" s="55">
        <f>SUMIFS('Disbursements Summary'!$E:$E,'Disbursements Summary'!$C:$C,$C71,'Disbursements Summary'!$A:$A,"DOT")</f>
        <v>0</v>
      </c>
      <c r="BJ71" s="55">
        <f>SUMIFS('Awards Summary'!$H:$H,'Awards Summary'!$B:$B,$C71,'Awards Summary'!$J:$J,"DANC")</f>
        <v>0</v>
      </c>
      <c r="BK71" s="55">
        <f>SUMIFS('Disbursements Summary'!$E:$E,'Disbursements Summary'!$C:$C,$C71,'Disbursements Summary'!$A:$A,"DANC")</f>
        <v>0</v>
      </c>
      <c r="BL71" s="55">
        <f>SUMIFS('Awards Summary'!$H:$H,'Awards Summary'!$B:$B,$C71,'Awards Summary'!$J:$J,"DOB")</f>
        <v>0</v>
      </c>
      <c r="BM71" s="55">
        <f>SUMIFS('Disbursements Summary'!$E:$E,'Disbursements Summary'!$C:$C,$C71,'Disbursements Summary'!$A:$A,"DOB")</f>
        <v>0</v>
      </c>
      <c r="BN71" s="55">
        <f>SUMIFS('Awards Summary'!$H:$H,'Awards Summary'!$B:$B,$C71,'Awards Summary'!$J:$J,"DCJS")</f>
        <v>0</v>
      </c>
      <c r="BO71" s="55">
        <f>SUMIFS('Disbursements Summary'!$E:$E,'Disbursements Summary'!$C:$C,$C71,'Disbursements Summary'!$A:$A,"DCJS")</f>
        <v>0</v>
      </c>
      <c r="BP71" s="55">
        <f>SUMIFS('Awards Summary'!$H:$H,'Awards Summary'!$B:$B,$C71,'Awards Summary'!$J:$J,"DHSES")</f>
        <v>0</v>
      </c>
      <c r="BQ71" s="55">
        <f>SUMIFS('Disbursements Summary'!$E:$E,'Disbursements Summary'!$C:$C,$C71,'Disbursements Summary'!$A:$A,"DHSES")</f>
        <v>0</v>
      </c>
      <c r="BR71" s="55">
        <f>SUMIFS('Awards Summary'!$H:$H,'Awards Summary'!$B:$B,$C71,'Awards Summary'!$J:$J,"DHR")</f>
        <v>0</v>
      </c>
      <c r="BS71" s="55">
        <f>SUMIFS('Disbursements Summary'!$E:$E,'Disbursements Summary'!$C:$C,$C71,'Disbursements Summary'!$A:$A,"DHR")</f>
        <v>0</v>
      </c>
      <c r="BT71" s="55">
        <f>SUMIFS('Awards Summary'!$H:$H,'Awards Summary'!$B:$B,$C71,'Awards Summary'!$J:$J,"DMNA")</f>
        <v>0</v>
      </c>
      <c r="BU71" s="55">
        <f>SUMIFS('Disbursements Summary'!$E:$E,'Disbursements Summary'!$C:$C,$C71,'Disbursements Summary'!$A:$A,"DMNA")</f>
        <v>0</v>
      </c>
      <c r="BV71" s="55">
        <f>SUMIFS('Awards Summary'!$H:$H,'Awards Summary'!$B:$B,$C71,'Awards Summary'!$J:$J,"TROOPERS")</f>
        <v>0</v>
      </c>
      <c r="BW71" s="55">
        <f>SUMIFS('Disbursements Summary'!$E:$E,'Disbursements Summary'!$C:$C,$C71,'Disbursements Summary'!$A:$A,"TROOPERS")</f>
        <v>0</v>
      </c>
      <c r="BX71" s="55">
        <f>SUMIFS('Awards Summary'!$H:$H,'Awards Summary'!$B:$B,$C71,'Awards Summary'!$J:$J,"DVA")</f>
        <v>0</v>
      </c>
      <c r="BY71" s="55">
        <f>SUMIFS('Disbursements Summary'!$E:$E,'Disbursements Summary'!$C:$C,$C71,'Disbursements Summary'!$A:$A,"DVA")</f>
        <v>0</v>
      </c>
      <c r="BZ71" s="55">
        <f>SUMIFS('Awards Summary'!$H:$H,'Awards Summary'!$B:$B,$C71,'Awards Summary'!$J:$J,"DASNY")</f>
        <v>0</v>
      </c>
      <c r="CA71" s="55">
        <f>SUMIFS('Disbursements Summary'!$E:$E,'Disbursements Summary'!$C:$C,$C71,'Disbursements Summary'!$A:$A,"DASNY")</f>
        <v>0</v>
      </c>
      <c r="CB71" s="55">
        <f>SUMIFS('Awards Summary'!$H:$H,'Awards Summary'!$B:$B,$C71,'Awards Summary'!$J:$J,"EGG")</f>
        <v>0</v>
      </c>
      <c r="CC71" s="55">
        <f>SUMIFS('Disbursements Summary'!$E:$E,'Disbursements Summary'!$C:$C,$C71,'Disbursements Summary'!$A:$A,"EGG")</f>
        <v>0</v>
      </c>
      <c r="CD71" s="55">
        <f>SUMIFS('Awards Summary'!$H:$H,'Awards Summary'!$B:$B,$C71,'Awards Summary'!$J:$J,"ESD")</f>
        <v>0</v>
      </c>
      <c r="CE71" s="55">
        <f>SUMIFS('Disbursements Summary'!$E:$E,'Disbursements Summary'!$C:$C,$C71,'Disbursements Summary'!$A:$A,"ESD")</f>
        <v>0</v>
      </c>
      <c r="CF71" s="55">
        <f>SUMIFS('Awards Summary'!$H:$H,'Awards Summary'!$B:$B,$C71,'Awards Summary'!$J:$J,"EFC")</f>
        <v>0</v>
      </c>
      <c r="CG71" s="55">
        <f>SUMIFS('Disbursements Summary'!$E:$E,'Disbursements Summary'!$C:$C,$C71,'Disbursements Summary'!$A:$A,"EFC")</f>
        <v>0</v>
      </c>
      <c r="CH71" s="55">
        <f>SUMIFS('Awards Summary'!$H:$H,'Awards Summary'!$B:$B,$C71,'Awards Summary'!$J:$J,"ECFSA")</f>
        <v>0</v>
      </c>
      <c r="CI71" s="55">
        <f>SUMIFS('Disbursements Summary'!$E:$E,'Disbursements Summary'!$C:$C,$C71,'Disbursements Summary'!$A:$A,"ECFSA")</f>
        <v>0</v>
      </c>
      <c r="CJ71" s="55">
        <f>SUMIFS('Awards Summary'!$H:$H,'Awards Summary'!$B:$B,$C71,'Awards Summary'!$J:$J,"ECMC")</f>
        <v>0</v>
      </c>
      <c r="CK71" s="55">
        <f>SUMIFS('Disbursements Summary'!$E:$E,'Disbursements Summary'!$C:$C,$C71,'Disbursements Summary'!$A:$A,"ECMC")</f>
        <v>0</v>
      </c>
      <c r="CL71" s="55">
        <f>SUMIFS('Awards Summary'!$H:$H,'Awards Summary'!$B:$B,$C71,'Awards Summary'!$J:$J,"CHAMBER")</f>
        <v>0</v>
      </c>
      <c r="CM71" s="55">
        <f>SUMIFS('Disbursements Summary'!$E:$E,'Disbursements Summary'!$C:$C,$C71,'Disbursements Summary'!$A:$A,"CHAMBER")</f>
        <v>0</v>
      </c>
      <c r="CN71" s="55">
        <f>SUMIFS('Awards Summary'!$H:$H,'Awards Summary'!$B:$B,$C71,'Awards Summary'!$J:$J,"GAMING")</f>
        <v>0</v>
      </c>
      <c r="CO71" s="55">
        <f>SUMIFS('Disbursements Summary'!$E:$E,'Disbursements Summary'!$C:$C,$C71,'Disbursements Summary'!$A:$A,"GAMING")</f>
        <v>0</v>
      </c>
      <c r="CP71" s="55">
        <f>SUMIFS('Awards Summary'!$H:$H,'Awards Summary'!$B:$B,$C71,'Awards Summary'!$J:$J,"GOER")</f>
        <v>0</v>
      </c>
      <c r="CQ71" s="55">
        <f>SUMIFS('Disbursements Summary'!$E:$E,'Disbursements Summary'!$C:$C,$C71,'Disbursements Summary'!$A:$A,"GOER")</f>
        <v>0</v>
      </c>
      <c r="CR71" s="55">
        <f>SUMIFS('Awards Summary'!$H:$H,'Awards Summary'!$B:$B,$C71,'Awards Summary'!$J:$J,"HESC")</f>
        <v>0</v>
      </c>
      <c r="CS71" s="55">
        <f>SUMIFS('Disbursements Summary'!$E:$E,'Disbursements Summary'!$C:$C,$C71,'Disbursements Summary'!$A:$A,"HESC")</f>
        <v>0</v>
      </c>
      <c r="CT71" s="55">
        <f>SUMIFS('Awards Summary'!$H:$H,'Awards Summary'!$B:$B,$C71,'Awards Summary'!$J:$J,"GOSR")</f>
        <v>0</v>
      </c>
      <c r="CU71" s="55">
        <f>SUMIFS('Disbursements Summary'!$E:$E,'Disbursements Summary'!$C:$C,$C71,'Disbursements Summary'!$A:$A,"GOSR")</f>
        <v>0</v>
      </c>
      <c r="CV71" s="55">
        <f>SUMIFS('Awards Summary'!$H:$H,'Awards Summary'!$B:$B,$C71,'Awards Summary'!$J:$J,"HRPT")</f>
        <v>0</v>
      </c>
      <c r="CW71" s="55">
        <f>SUMIFS('Disbursements Summary'!$E:$E,'Disbursements Summary'!$C:$C,$C71,'Disbursements Summary'!$A:$A,"HRPT")</f>
        <v>0</v>
      </c>
      <c r="CX71" s="55">
        <f>SUMIFS('Awards Summary'!$H:$H,'Awards Summary'!$B:$B,$C71,'Awards Summary'!$J:$J,"HRBRRD")</f>
        <v>0</v>
      </c>
      <c r="CY71" s="55">
        <f>SUMIFS('Disbursements Summary'!$E:$E,'Disbursements Summary'!$C:$C,$C71,'Disbursements Summary'!$A:$A,"HRBRRD")</f>
        <v>0</v>
      </c>
      <c r="CZ71" s="55">
        <f>SUMIFS('Awards Summary'!$H:$H,'Awards Summary'!$B:$B,$C71,'Awards Summary'!$J:$J,"ITS")</f>
        <v>0</v>
      </c>
      <c r="DA71" s="55">
        <f>SUMIFS('Disbursements Summary'!$E:$E,'Disbursements Summary'!$C:$C,$C71,'Disbursements Summary'!$A:$A,"ITS")</f>
        <v>0</v>
      </c>
      <c r="DB71" s="55">
        <f>SUMIFS('Awards Summary'!$H:$H,'Awards Summary'!$B:$B,$C71,'Awards Summary'!$J:$J,"JAVITS")</f>
        <v>0</v>
      </c>
      <c r="DC71" s="55">
        <f>SUMIFS('Disbursements Summary'!$E:$E,'Disbursements Summary'!$C:$C,$C71,'Disbursements Summary'!$A:$A,"JAVITS")</f>
        <v>0</v>
      </c>
      <c r="DD71" s="55">
        <f>SUMIFS('Awards Summary'!$H:$H,'Awards Summary'!$B:$B,$C71,'Awards Summary'!$J:$J,"JCOPE")</f>
        <v>0</v>
      </c>
      <c r="DE71" s="55">
        <f>SUMIFS('Disbursements Summary'!$E:$E,'Disbursements Summary'!$C:$C,$C71,'Disbursements Summary'!$A:$A,"JCOPE")</f>
        <v>0</v>
      </c>
      <c r="DF71" s="55">
        <f>SUMIFS('Awards Summary'!$H:$H,'Awards Summary'!$B:$B,$C71,'Awards Summary'!$J:$J,"JUSTICE")</f>
        <v>0</v>
      </c>
      <c r="DG71" s="55">
        <f>SUMIFS('Disbursements Summary'!$E:$E,'Disbursements Summary'!$C:$C,$C71,'Disbursements Summary'!$A:$A,"JUSTICE")</f>
        <v>0</v>
      </c>
      <c r="DH71" s="55">
        <f>SUMIFS('Awards Summary'!$H:$H,'Awards Summary'!$B:$B,$C71,'Awards Summary'!$J:$J,"LCWSA")</f>
        <v>0</v>
      </c>
      <c r="DI71" s="55">
        <f>SUMIFS('Disbursements Summary'!$E:$E,'Disbursements Summary'!$C:$C,$C71,'Disbursements Summary'!$A:$A,"LCWSA")</f>
        <v>0</v>
      </c>
      <c r="DJ71" s="55">
        <f>SUMIFS('Awards Summary'!$H:$H,'Awards Summary'!$B:$B,$C71,'Awards Summary'!$J:$J,"LIPA")</f>
        <v>0</v>
      </c>
      <c r="DK71" s="55">
        <f>SUMIFS('Disbursements Summary'!$E:$E,'Disbursements Summary'!$C:$C,$C71,'Disbursements Summary'!$A:$A,"LIPA")</f>
        <v>0</v>
      </c>
      <c r="DL71" s="55">
        <f>SUMIFS('Awards Summary'!$H:$H,'Awards Summary'!$B:$B,$C71,'Awards Summary'!$J:$J,"MTA")</f>
        <v>0</v>
      </c>
      <c r="DM71" s="55">
        <f>SUMIFS('Disbursements Summary'!$E:$E,'Disbursements Summary'!$C:$C,$C71,'Disbursements Summary'!$A:$A,"MTA")</f>
        <v>0</v>
      </c>
      <c r="DN71" s="55">
        <f>SUMIFS('Awards Summary'!$H:$H,'Awards Summary'!$B:$B,$C71,'Awards Summary'!$J:$J,"NIFA")</f>
        <v>0</v>
      </c>
      <c r="DO71" s="55">
        <f>SUMIFS('Disbursements Summary'!$E:$E,'Disbursements Summary'!$C:$C,$C71,'Disbursements Summary'!$A:$A,"NIFA")</f>
        <v>0</v>
      </c>
      <c r="DP71" s="55">
        <f>SUMIFS('Awards Summary'!$H:$H,'Awards Summary'!$B:$B,$C71,'Awards Summary'!$J:$J,"NHCC")</f>
        <v>0</v>
      </c>
      <c r="DQ71" s="55">
        <f>SUMIFS('Disbursements Summary'!$E:$E,'Disbursements Summary'!$C:$C,$C71,'Disbursements Summary'!$A:$A,"NHCC")</f>
        <v>0</v>
      </c>
      <c r="DR71" s="55">
        <f>SUMIFS('Awards Summary'!$H:$H,'Awards Summary'!$B:$B,$C71,'Awards Summary'!$J:$J,"NHT")</f>
        <v>0</v>
      </c>
      <c r="DS71" s="55">
        <f>SUMIFS('Disbursements Summary'!$E:$E,'Disbursements Summary'!$C:$C,$C71,'Disbursements Summary'!$A:$A,"NHT")</f>
        <v>0</v>
      </c>
      <c r="DT71" s="55">
        <f>SUMIFS('Awards Summary'!$H:$H,'Awards Summary'!$B:$B,$C71,'Awards Summary'!$J:$J,"NYPA")</f>
        <v>0</v>
      </c>
      <c r="DU71" s="55">
        <f>SUMIFS('Disbursements Summary'!$E:$E,'Disbursements Summary'!$C:$C,$C71,'Disbursements Summary'!$A:$A,"NYPA")</f>
        <v>0</v>
      </c>
      <c r="DV71" s="55">
        <f>SUMIFS('Awards Summary'!$H:$H,'Awards Summary'!$B:$B,$C71,'Awards Summary'!$J:$J,"NYSBA")</f>
        <v>0</v>
      </c>
      <c r="DW71" s="55">
        <f>SUMIFS('Disbursements Summary'!$E:$E,'Disbursements Summary'!$C:$C,$C71,'Disbursements Summary'!$A:$A,"NYSBA")</f>
        <v>0</v>
      </c>
      <c r="DX71" s="55">
        <f>SUMIFS('Awards Summary'!$H:$H,'Awards Summary'!$B:$B,$C71,'Awards Summary'!$J:$J,"NYSERDA")</f>
        <v>0</v>
      </c>
      <c r="DY71" s="55">
        <f>SUMIFS('Disbursements Summary'!$E:$E,'Disbursements Summary'!$C:$C,$C71,'Disbursements Summary'!$A:$A,"NYSERDA")</f>
        <v>0</v>
      </c>
      <c r="DZ71" s="55">
        <f>SUMIFS('Awards Summary'!$H:$H,'Awards Summary'!$B:$B,$C71,'Awards Summary'!$J:$J,"DHCR")</f>
        <v>0</v>
      </c>
      <c r="EA71" s="55">
        <f>SUMIFS('Disbursements Summary'!$E:$E,'Disbursements Summary'!$C:$C,$C71,'Disbursements Summary'!$A:$A,"DHCR")</f>
        <v>0</v>
      </c>
      <c r="EB71" s="55">
        <f>SUMIFS('Awards Summary'!$H:$H,'Awards Summary'!$B:$B,$C71,'Awards Summary'!$J:$J,"HFA")</f>
        <v>0</v>
      </c>
      <c r="EC71" s="55">
        <f>SUMIFS('Disbursements Summary'!$E:$E,'Disbursements Summary'!$C:$C,$C71,'Disbursements Summary'!$A:$A,"HFA")</f>
        <v>0</v>
      </c>
      <c r="ED71" s="55">
        <f>SUMIFS('Awards Summary'!$H:$H,'Awards Summary'!$B:$B,$C71,'Awards Summary'!$J:$J,"NYSIF")</f>
        <v>0</v>
      </c>
      <c r="EE71" s="55">
        <f>SUMIFS('Disbursements Summary'!$E:$E,'Disbursements Summary'!$C:$C,$C71,'Disbursements Summary'!$A:$A,"NYSIF")</f>
        <v>0</v>
      </c>
      <c r="EF71" s="55">
        <f>SUMIFS('Awards Summary'!$H:$H,'Awards Summary'!$B:$B,$C71,'Awards Summary'!$J:$J,"NYBREDS")</f>
        <v>0</v>
      </c>
      <c r="EG71" s="55">
        <f>SUMIFS('Disbursements Summary'!$E:$E,'Disbursements Summary'!$C:$C,$C71,'Disbursements Summary'!$A:$A,"NYBREDS")</f>
        <v>0</v>
      </c>
      <c r="EH71" s="55">
        <f>SUMIFS('Awards Summary'!$H:$H,'Awards Summary'!$B:$B,$C71,'Awards Summary'!$J:$J,"NYSTA")</f>
        <v>0</v>
      </c>
      <c r="EI71" s="55">
        <f>SUMIFS('Disbursements Summary'!$E:$E,'Disbursements Summary'!$C:$C,$C71,'Disbursements Summary'!$A:$A,"NYSTA")</f>
        <v>0</v>
      </c>
      <c r="EJ71" s="55">
        <f>SUMIFS('Awards Summary'!$H:$H,'Awards Summary'!$B:$B,$C71,'Awards Summary'!$J:$J,"NFWB")</f>
        <v>0</v>
      </c>
      <c r="EK71" s="55">
        <f>SUMIFS('Disbursements Summary'!$E:$E,'Disbursements Summary'!$C:$C,$C71,'Disbursements Summary'!$A:$A,"NFWB")</f>
        <v>0</v>
      </c>
      <c r="EL71" s="55">
        <f>SUMIFS('Awards Summary'!$H:$H,'Awards Summary'!$B:$B,$C71,'Awards Summary'!$J:$J,"NFTA")</f>
        <v>0</v>
      </c>
      <c r="EM71" s="55">
        <f>SUMIFS('Disbursements Summary'!$E:$E,'Disbursements Summary'!$C:$C,$C71,'Disbursements Summary'!$A:$A,"NFTA")</f>
        <v>0</v>
      </c>
      <c r="EN71" s="55">
        <f>SUMIFS('Awards Summary'!$H:$H,'Awards Summary'!$B:$B,$C71,'Awards Summary'!$J:$J,"OPWDD")</f>
        <v>0</v>
      </c>
      <c r="EO71" s="55">
        <f>SUMIFS('Disbursements Summary'!$E:$E,'Disbursements Summary'!$C:$C,$C71,'Disbursements Summary'!$A:$A,"OPWDD")</f>
        <v>0</v>
      </c>
      <c r="EP71" s="55">
        <f>SUMIFS('Awards Summary'!$H:$H,'Awards Summary'!$B:$B,$C71,'Awards Summary'!$J:$J,"AGING")</f>
        <v>0</v>
      </c>
      <c r="EQ71" s="55">
        <f>SUMIFS('Disbursements Summary'!$E:$E,'Disbursements Summary'!$C:$C,$C71,'Disbursements Summary'!$A:$A,"AGING")</f>
        <v>0</v>
      </c>
      <c r="ER71" s="55">
        <f>SUMIFS('Awards Summary'!$H:$H,'Awards Summary'!$B:$B,$C71,'Awards Summary'!$J:$J,"OPDV")</f>
        <v>0</v>
      </c>
      <c r="ES71" s="55">
        <f>SUMIFS('Disbursements Summary'!$E:$E,'Disbursements Summary'!$C:$C,$C71,'Disbursements Summary'!$A:$A,"OPDV")</f>
        <v>0</v>
      </c>
      <c r="ET71" s="55">
        <f>SUMIFS('Awards Summary'!$H:$H,'Awards Summary'!$B:$B,$C71,'Awards Summary'!$J:$J,"OVS")</f>
        <v>0</v>
      </c>
      <c r="EU71" s="55">
        <f>SUMIFS('Disbursements Summary'!$E:$E,'Disbursements Summary'!$C:$C,$C71,'Disbursements Summary'!$A:$A,"OVS")</f>
        <v>0</v>
      </c>
      <c r="EV71" s="55">
        <f>SUMIFS('Awards Summary'!$H:$H,'Awards Summary'!$B:$B,$C71,'Awards Summary'!$J:$J,"OASAS")</f>
        <v>0</v>
      </c>
      <c r="EW71" s="55">
        <f>SUMIFS('Disbursements Summary'!$E:$E,'Disbursements Summary'!$C:$C,$C71,'Disbursements Summary'!$A:$A,"OASAS")</f>
        <v>0</v>
      </c>
      <c r="EX71" s="55">
        <f>SUMIFS('Awards Summary'!$H:$H,'Awards Summary'!$B:$B,$C71,'Awards Summary'!$J:$J,"OCFS")</f>
        <v>0</v>
      </c>
      <c r="EY71" s="55">
        <f>SUMIFS('Disbursements Summary'!$E:$E,'Disbursements Summary'!$C:$C,$C71,'Disbursements Summary'!$A:$A,"OCFS")</f>
        <v>0</v>
      </c>
      <c r="EZ71" s="55">
        <f>SUMIFS('Awards Summary'!$H:$H,'Awards Summary'!$B:$B,$C71,'Awards Summary'!$J:$J,"OGS")</f>
        <v>0</v>
      </c>
      <c r="FA71" s="55">
        <f>SUMIFS('Disbursements Summary'!$E:$E,'Disbursements Summary'!$C:$C,$C71,'Disbursements Summary'!$A:$A,"OGS")</f>
        <v>0</v>
      </c>
      <c r="FB71" s="55">
        <f>SUMIFS('Awards Summary'!$H:$H,'Awards Summary'!$B:$B,$C71,'Awards Summary'!$J:$J,"OMH")</f>
        <v>0</v>
      </c>
      <c r="FC71" s="55">
        <f>SUMIFS('Disbursements Summary'!$E:$E,'Disbursements Summary'!$C:$C,$C71,'Disbursements Summary'!$A:$A,"OMH")</f>
        <v>0</v>
      </c>
      <c r="FD71" s="55">
        <f>SUMIFS('Awards Summary'!$H:$H,'Awards Summary'!$B:$B,$C71,'Awards Summary'!$J:$J,"PARKS")</f>
        <v>0</v>
      </c>
      <c r="FE71" s="55">
        <f>SUMIFS('Disbursements Summary'!$E:$E,'Disbursements Summary'!$C:$C,$C71,'Disbursements Summary'!$A:$A,"PARKS")</f>
        <v>0</v>
      </c>
      <c r="FF71" s="55">
        <f>SUMIFS('Awards Summary'!$H:$H,'Awards Summary'!$B:$B,$C71,'Awards Summary'!$J:$J,"OTDA")</f>
        <v>0</v>
      </c>
      <c r="FG71" s="55">
        <f>SUMIFS('Disbursements Summary'!$E:$E,'Disbursements Summary'!$C:$C,$C71,'Disbursements Summary'!$A:$A,"OTDA")</f>
        <v>0</v>
      </c>
      <c r="FH71" s="55">
        <f>SUMIFS('Awards Summary'!$H:$H,'Awards Summary'!$B:$B,$C71,'Awards Summary'!$J:$J,"OIG")</f>
        <v>0</v>
      </c>
      <c r="FI71" s="55">
        <f>SUMIFS('Disbursements Summary'!$E:$E,'Disbursements Summary'!$C:$C,$C71,'Disbursements Summary'!$A:$A,"OIG")</f>
        <v>0</v>
      </c>
      <c r="FJ71" s="55">
        <f>SUMIFS('Awards Summary'!$H:$H,'Awards Summary'!$B:$B,$C71,'Awards Summary'!$J:$J,"OMIG")</f>
        <v>0</v>
      </c>
      <c r="FK71" s="55">
        <f>SUMIFS('Disbursements Summary'!$E:$E,'Disbursements Summary'!$C:$C,$C71,'Disbursements Summary'!$A:$A,"OMIG")</f>
        <v>0</v>
      </c>
      <c r="FL71" s="55">
        <f>SUMIFS('Awards Summary'!$H:$H,'Awards Summary'!$B:$B,$C71,'Awards Summary'!$J:$J,"OSC")</f>
        <v>0</v>
      </c>
      <c r="FM71" s="55">
        <f>SUMIFS('Disbursements Summary'!$E:$E,'Disbursements Summary'!$C:$C,$C71,'Disbursements Summary'!$A:$A,"OSC")</f>
        <v>0</v>
      </c>
      <c r="FN71" s="55">
        <f>SUMIFS('Awards Summary'!$H:$H,'Awards Summary'!$B:$B,$C71,'Awards Summary'!$J:$J,"OWIG")</f>
        <v>0</v>
      </c>
      <c r="FO71" s="55">
        <f>SUMIFS('Disbursements Summary'!$E:$E,'Disbursements Summary'!$C:$C,$C71,'Disbursements Summary'!$A:$A,"OWIG")</f>
        <v>0</v>
      </c>
      <c r="FP71" s="55">
        <f>SUMIFS('Awards Summary'!$H:$H,'Awards Summary'!$B:$B,$C71,'Awards Summary'!$J:$J,"OGDEN")</f>
        <v>0</v>
      </c>
      <c r="FQ71" s="55">
        <f>SUMIFS('Disbursements Summary'!$E:$E,'Disbursements Summary'!$C:$C,$C71,'Disbursements Summary'!$A:$A,"OGDEN")</f>
        <v>0</v>
      </c>
      <c r="FR71" s="55">
        <f>SUMIFS('Awards Summary'!$H:$H,'Awards Summary'!$B:$B,$C71,'Awards Summary'!$J:$J,"ORDA")</f>
        <v>0</v>
      </c>
      <c r="FS71" s="55">
        <f>SUMIFS('Disbursements Summary'!$E:$E,'Disbursements Summary'!$C:$C,$C71,'Disbursements Summary'!$A:$A,"ORDA")</f>
        <v>0</v>
      </c>
      <c r="FT71" s="55">
        <f>SUMIFS('Awards Summary'!$H:$H,'Awards Summary'!$B:$B,$C71,'Awards Summary'!$J:$J,"OSWEGO")</f>
        <v>0</v>
      </c>
      <c r="FU71" s="55">
        <f>SUMIFS('Disbursements Summary'!$E:$E,'Disbursements Summary'!$C:$C,$C71,'Disbursements Summary'!$A:$A,"OSWEGO")</f>
        <v>0</v>
      </c>
      <c r="FV71" s="55">
        <f>SUMIFS('Awards Summary'!$H:$H,'Awards Summary'!$B:$B,$C71,'Awards Summary'!$J:$J,"PERB")</f>
        <v>0</v>
      </c>
      <c r="FW71" s="55">
        <f>SUMIFS('Disbursements Summary'!$E:$E,'Disbursements Summary'!$C:$C,$C71,'Disbursements Summary'!$A:$A,"PERB")</f>
        <v>0</v>
      </c>
      <c r="FX71" s="55">
        <f>SUMIFS('Awards Summary'!$H:$H,'Awards Summary'!$B:$B,$C71,'Awards Summary'!$J:$J,"RGRTA")</f>
        <v>0</v>
      </c>
      <c r="FY71" s="55">
        <f>SUMIFS('Disbursements Summary'!$E:$E,'Disbursements Summary'!$C:$C,$C71,'Disbursements Summary'!$A:$A,"RGRTA")</f>
        <v>0</v>
      </c>
      <c r="FZ71" s="55">
        <f>SUMIFS('Awards Summary'!$H:$H,'Awards Summary'!$B:$B,$C71,'Awards Summary'!$J:$J,"RIOC")</f>
        <v>0</v>
      </c>
      <c r="GA71" s="55">
        <f>SUMIFS('Disbursements Summary'!$E:$E,'Disbursements Summary'!$C:$C,$C71,'Disbursements Summary'!$A:$A,"RIOC")</f>
        <v>0</v>
      </c>
      <c r="GB71" s="55">
        <f>SUMIFS('Awards Summary'!$H:$H,'Awards Summary'!$B:$B,$C71,'Awards Summary'!$J:$J,"RPCI")</f>
        <v>0</v>
      </c>
      <c r="GC71" s="55">
        <f>SUMIFS('Disbursements Summary'!$E:$E,'Disbursements Summary'!$C:$C,$C71,'Disbursements Summary'!$A:$A,"RPCI")</f>
        <v>0</v>
      </c>
      <c r="GD71" s="55">
        <f>SUMIFS('Awards Summary'!$H:$H,'Awards Summary'!$B:$B,$C71,'Awards Summary'!$J:$J,"SMDA")</f>
        <v>0</v>
      </c>
      <c r="GE71" s="55">
        <f>SUMIFS('Disbursements Summary'!$E:$E,'Disbursements Summary'!$C:$C,$C71,'Disbursements Summary'!$A:$A,"SMDA")</f>
        <v>0</v>
      </c>
      <c r="GF71" s="55">
        <f>SUMIFS('Awards Summary'!$H:$H,'Awards Summary'!$B:$B,$C71,'Awards Summary'!$J:$J,"SCOC")</f>
        <v>0</v>
      </c>
      <c r="GG71" s="55">
        <f>SUMIFS('Disbursements Summary'!$E:$E,'Disbursements Summary'!$C:$C,$C71,'Disbursements Summary'!$A:$A,"SCOC")</f>
        <v>0</v>
      </c>
      <c r="GH71" s="55">
        <f>SUMIFS('Awards Summary'!$H:$H,'Awards Summary'!$B:$B,$C71,'Awards Summary'!$J:$J,"SUCF")</f>
        <v>0</v>
      </c>
      <c r="GI71" s="55">
        <f>SUMIFS('Disbursements Summary'!$E:$E,'Disbursements Summary'!$C:$C,$C71,'Disbursements Summary'!$A:$A,"SUCF")</f>
        <v>0</v>
      </c>
      <c r="GJ71" s="55">
        <f>SUMIFS('Awards Summary'!$H:$H,'Awards Summary'!$B:$B,$C71,'Awards Summary'!$J:$J,"SUNY")</f>
        <v>0</v>
      </c>
      <c r="GK71" s="55">
        <f>SUMIFS('Disbursements Summary'!$E:$E,'Disbursements Summary'!$C:$C,$C71,'Disbursements Summary'!$A:$A,"SUNY")</f>
        <v>0</v>
      </c>
      <c r="GL71" s="55">
        <f>SUMIFS('Awards Summary'!$H:$H,'Awards Summary'!$B:$B,$C71,'Awards Summary'!$J:$J,"SRAA")</f>
        <v>0</v>
      </c>
      <c r="GM71" s="55">
        <f>SUMIFS('Disbursements Summary'!$E:$E,'Disbursements Summary'!$C:$C,$C71,'Disbursements Summary'!$A:$A,"SRAA")</f>
        <v>0</v>
      </c>
      <c r="GN71" s="55">
        <f>SUMIFS('Awards Summary'!$H:$H,'Awards Summary'!$B:$B,$C71,'Awards Summary'!$J:$J,"UNDC")</f>
        <v>0</v>
      </c>
      <c r="GO71" s="55">
        <f>SUMIFS('Disbursements Summary'!$E:$E,'Disbursements Summary'!$C:$C,$C71,'Disbursements Summary'!$A:$A,"UNDC")</f>
        <v>0</v>
      </c>
      <c r="GP71" s="55">
        <f>SUMIFS('Awards Summary'!$H:$H,'Awards Summary'!$B:$B,$C71,'Awards Summary'!$J:$J,"MVWA")</f>
        <v>0</v>
      </c>
      <c r="GQ71" s="55">
        <f>SUMIFS('Disbursements Summary'!$E:$E,'Disbursements Summary'!$C:$C,$C71,'Disbursements Summary'!$A:$A,"MVWA")</f>
        <v>0</v>
      </c>
      <c r="GR71" s="55">
        <f>SUMIFS('Awards Summary'!$H:$H,'Awards Summary'!$B:$B,$C71,'Awards Summary'!$J:$J,"WMC")</f>
        <v>0</v>
      </c>
      <c r="GS71" s="55">
        <f>SUMIFS('Disbursements Summary'!$E:$E,'Disbursements Summary'!$C:$C,$C71,'Disbursements Summary'!$A:$A,"WMC")</f>
        <v>0</v>
      </c>
      <c r="GT71" s="55">
        <f>SUMIFS('Awards Summary'!$H:$H,'Awards Summary'!$B:$B,$C71,'Awards Summary'!$J:$J,"WCB")</f>
        <v>0</v>
      </c>
      <c r="GU71" s="55">
        <f>SUMIFS('Disbursements Summary'!$E:$E,'Disbursements Summary'!$C:$C,$C71,'Disbursements Summary'!$A:$A,"WCB")</f>
        <v>0</v>
      </c>
      <c r="GV71" s="32">
        <f t="shared" si="5"/>
        <v>0</v>
      </c>
      <c r="GW71" s="32">
        <f t="shared" si="6"/>
        <v>0</v>
      </c>
      <c r="GX71" s="30" t="b">
        <f t="shared" si="7"/>
        <v>1</v>
      </c>
      <c r="GY71" s="30" t="b">
        <f t="shared" si="8"/>
        <v>1</v>
      </c>
    </row>
    <row r="72" spans="1:207" s="30" customFormat="1">
      <c r="A72" s="22" t="str">
        <f t="shared" si="9"/>
        <v/>
      </c>
      <c r="B72" s="40" t="s">
        <v>97</v>
      </c>
      <c r="C72" s="16">
        <v>151144</v>
      </c>
      <c r="D72" s="26">
        <f>COUNTIF('Awards Summary'!B:B,"151144")</f>
        <v>0</v>
      </c>
      <c r="E72" s="45">
        <f>SUMIFS('Awards Summary'!H:H,'Awards Summary'!B:B,"151144")</f>
        <v>0</v>
      </c>
      <c r="F72" s="46">
        <f>SUMIFS('Disbursements Summary'!E:E,'Disbursements Summary'!C:C, "151144")</f>
        <v>0</v>
      </c>
      <c r="H72" s="55">
        <f>SUMIFS('Awards Summary'!$H:$H,'Awards Summary'!$B:$B,$C72,'Awards Summary'!$J:$J,"APA")</f>
        <v>0</v>
      </c>
      <c r="I72" s="55">
        <f>SUMIFS('Disbursements Summary'!$E:$E,'Disbursements Summary'!$C:$C,$C72,'Disbursements Summary'!$A:$A,"APA")</f>
        <v>0</v>
      </c>
      <c r="J72" s="55">
        <f>SUMIFS('Awards Summary'!$H:$H,'Awards Summary'!$B:$B,$C72,'Awards Summary'!$J:$J,"Ag&amp;Horse")</f>
        <v>0</v>
      </c>
      <c r="K72" s="55">
        <f>SUMIFS('Disbursements Summary'!$E:$E,'Disbursements Summary'!$C:$C,$C72,'Disbursements Summary'!$A:$A,"Ag&amp;Horse")</f>
        <v>0</v>
      </c>
      <c r="L72" s="55">
        <f>SUMIFS('Awards Summary'!$H:$H,'Awards Summary'!$B:$B,$C72,'Awards Summary'!$J:$J,"ACAA")</f>
        <v>0</v>
      </c>
      <c r="M72" s="55">
        <f>SUMIFS('Disbursements Summary'!$E:$E,'Disbursements Summary'!$C:$C,$C72,'Disbursements Summary'!$A:$A,"ACAA")</f>
        <v>0</v>
      </c>
      <c r="N72" s="55">
        <f>SUMIFS('Awards Summary'!$H:$H,'Awards Summary'!$B:$B,$C72,'Awards Summary'!$J:$J,"PortAlbany")</f>
        <v>0</v>
      </c>
      <c r="O72" s="55">
        <f>SUMIFS('Disbursements Summary'!$E:$E,'Disbursements Summary'!$C:$C,$C72,'Disbursements Summary'!$A:$A,"PortAlbany")</f>
        <v>0</v>
      </c>
      <c r="P72" s="55">
        <f>SUMIFS('Awards Summary'!$H:$H,'Awards Summary'!$B:$B,$C72,'Awards Summary'!$J:$J,"SLA")</f>
        <v>0</v>
      </c>
      <c r="Q72" s="55">
        <f>SUMIFS('Disbursements Summary'!$E:$E,'Disbursements Summary'!$C:$C,$C72,'Disbursements Summary'!$A:$A,"SLA")</f>
        <v>0</v>
      </c>
      <c r="R72" s="55">
        <f>SUMIFS('Awards Summary'!$H:$H,'Awards Summary'!$B:$B,$C72,'Awards Summary'!$J:$J,"BPCA")</f>
        <v>0</v>
      </c>
      <c r="S72" s="55">
        <f>SUMIFS('Disbursements Summary'!$E:$E,'Disbursements Summary'!$C:$C,$C72,'Disbursements Summary'!$A:$A,"BPCA")</f>
        <v>0</v>
      </c>
      <c r="T72" s="55">
        <f>SUMIFS('Awards Summary'!$H:$H,'Awards Summary'!$B:$B,$C72,'Awards Summary'!$J:$J,"ELECTIONS")</f>
        <v>0</v>
      </c>
      <c r="U72" s="55">
        <f>SUMIFS('Disbursements Summary'!$E:$E,'Disbursements Summary'!$C:$C,$C72,'Disbursements Summary'!$A:$A,"ELECTIONS")</f>
        <v>0</v>
      </c>
      <c r="V72" s="55">
        <f>SUMIFS('Awards Summary'!$H:$H,'Awards Summary'!$B:$B,$C72,'Awards Summary'!$J:$J,"BFSA")</f>
        <v>0</v>
      </c>
      <c r="W72" s="55">
        <f>SUMIFS('Disbursements Summary'!$E:$E,'Disbursements Summary'!$C:$C,$C72,'Disbursements Summary'!$A:$A,"BFSA")</f>
        <v>0</v>
      </c>
      <c r="X72" s="55">
        <f>SUMIFS('Awards Summary'!$H:$H,'Awards Summary'!$B:$B,$C72,'Awards Summary'!$J:$J,"CDTA")</f>
        <v>0</v>
      </c>
      <c r="Y72" s="55">
        <f>SUMIFS('Disbursements Summary'!$E:$E,'Disbursements Summary'!$C:$C,$C72,'Disbursements Summary'!$A:$A,"CDTA")</f>
        <v>0</v>
      </c>
      <c r="Z72" s="55">
        <f>SUMIFS('Awards Summary'!$H:$H,'Awards Summary'!$B:$B,$C72,'Awards Summary'!$J:$J,"CCWSA")</f>
        <v>0</v>
      </c>
      <c r="AA72" s="55">
        <f>SUMIFS('Disbursements Summary'!$E:$E,'Disbursements Summary'!$C:$C,$C72,'Disbursements Summary'!$A:$A,"CCWSA")</f>
        <v>0</v>
      </c>
      <c r="AB72" s="55">
        <f>SUMIFS('Awards Summary'!$H:$H,'Awards Summary'!$B:$B,$C72,'Awards Summary'!$J:$J,"CNYRTA")</f>
        <v>0</v>
      </c>
      <c r="AC72" s="55">
        <f>SUMIFS('Disbursements Summary'!$E:$E,'Disbursements Summary'!$C:$C,$C72,'Disbursements Summary'!$A:$A,"CNYRTA")</f>
        <v>0</v>
      </c>
      <c r="AD72" s="55">
        <f>SUMIFS('Awards Summary'!$H:$H,'Awards Summary'!$B:$B,$C72,'Awards Summary'!$J:$J,"CUCF")</f>
        <v>0</v>
      </c>
      <c r="AE72" s="55">
        <f>SUMIFS('Disbursements Summary'!$E:$E,'Disbursements Summary'!$C:$C,$C72,'Disbursements Summary'!$A:$A,"CUCF")</f>
        <v>0</v>
      </c>
      <c r="AF72" s="55">
        <f>SUMIFS('Awards Summary'!$H:$H,'Awards Summary'!$B:$B,$C72,'Awards Summary'!$J:$J,"CUNY")</f>
        <v>0</v>
      </c>
      <c r="AG72" s="55">
        <f>SUMIFS('Disbursements Summary'!$E:$E,'Disbursements Summary'!$C:$C,$C72,'Disbursements Summary'!$A:$A,"CUNY")</f>
        <v>0</v>
      </c>
      <c r="AH72" s="55">
        <f>SUMIFS('Awards Summary'!$H:$H,'Awards Summary'!$B:$B,$C72,'Awards Summary'!$J:$J,"ARTS")</f>
        <v>0</v>
      </c>
      <c r="AI72" s="55">
        <f>SUMIFS('Disbursements Summary'!$E:$E,'Disbursements Summary'!$C:$C,$C72,'Disbursements Summary'!$A:$A,"ARTS")</f>
        <v>0</v>
      </c>
      <c r="AJ72" s="55">
        <f>SUMIFS('Awards Summary'!$H:$H,'Awards Summary'!$B:$B,$C72,'Awards Summary'!$J:$J,"AG&amp;MKTS")</f>
        <v>0</v>
      </c>
      <c r="AK72" s="55">
        <f>SUMIFS('Disbursements Summary'!$E:$E,'Disbursements Summary'!$C:$C,$C72,'Disbursements Summary'!$A:$A,"AG&amp;MKTS")</f>
        <v>0</v>
      </c>
      <c r="AL72" s="55">
        <f>SUMIFS('Awards Summary'!$H:$H,'Awards Summary'!$B:$B,$C72,'Awards Summary'!$J:$J,"CS")</f>
        <v>0</v>
      </c>
      <c r="AM72" s="55">
        <f>SUMIFS('Disbursements Summary'!$E:$E,'Disbursements Summary'!$C:$C,$C72,'Disbursements Summary'!$A:$A,"CS")</f>
        <v>0</v>
      </c>
      <c r="AN72" s="55">
        <f>SUMIFS('Awards Summary'!$H:$H,'Awards Summary'!$B:$B,$C72,'Awards Summary'!$J:$J,"DOCCS")</f>
        <v>0</v>
      </c>
      <c r="AO72" s="55">
        <f>SUMIFS('Disbursements Summary'!$E:$E,'Disbursements Summary'!$C:$C,$C72,'Disbursements Summary'!$A:$A,"DOCCS")</f>
        <v>0</v>
      </c>
      <c r="AP72" s="55">
        <f>SUMIFS('Awards Summary'!$H:$H,'Awards Summary'!$B:$B,$C72,'Awards Summary'!$J:$J,"DED")</f>
        <v>0</v>
      </c>
      <c r="AQ72" s="55">
        <f>SUMIFS('Disbursements Summary'!$E:$E,'Disbursements Summary'!$C:$C,$C72,'Disbursements Summary'!$A:$A,"DED")</f>
        <v>0</v>
      </c>
      <c r="AR72" s="55">
        <f>SUMIFS('Awards Summary'!$H:$H,'Awards Summary'!$B:$B,$C72,'Awards Summary'!$J:$J,"DEC")</f>
        <v>0</v>
      </c>
      <c r="AS72" s="55">
        <f>SUMIFS('Disbursements Summary'!$E:$E,'Disbursements Summary'!$C:$C,$C72,'Disbursements Summary'!$A:$A,"DEC")</f>
        <v>0</v>
      </c>
      <c r="AT72" s="55">
        <f>SUMIFS('Awards Summary'!$H:$H,'Awards Summary'!$B:$B,$C72,'Awards Summary'!$J:$J,"DFS")</f>
        <v>0</v>
      </c>
      <c r="AU72" s="55">
        <f>SUMIFS('Disbursements Summary'!$E:$E,'Disbursements Summary'!$C:$C,$C72,'Disbursements Summary'!$A:$A,"DFS")</f>
        <v>0</v>
      </c>
      <c r="AV72" s="55">
        <f>SUMIFS('Awards Summary'!$H:$H,'Awards Summary'!$B:$B,$C72,'Awards Summary'!$J:$J,"DOH")</f>
        <v>0</v>
      </c>
      <c r="AW72" s="55">
        <f>SUMIFS('Disbursements Summary'!$E:$E,'Disbursements Summary'!$C:$C,$C72,'Disbursements Summary'!$A:$A,"DOH")</f>
        <v>0</v>
      </c>
      <c r="AX72" s="55">
        <f>SUMIFS('Awards Summary'!$H:$H,'Awards Summary'!$B:$B,$C72,'Awards Summary'!$J:$J,"DOL")</f>
        <v>0</v>
      </c>
      <c r="AY72" s="55">
        <f>SUMIFS('Disbursements Summary'!$E:$E,'Disbursements Summary'!$C:$C,$C72,'Disbursements Summary'!$A:$A,"DOL")</f>
        <v>0</v>
      </c>
      <c r="AZ72" s="55">
        <f>SUMIFS('Awards Summary'!$H:$H,'Awards Summary'!$B:$B,$C72,'Awards Summary'!$J:$J,"DMV")</f>
        <v>0</v>
      </c>
      <c r="BA72" s="55">
        <f>SUMIFS('Disbursements Summary'!$E:$E,'Disbursements Summary'!$C:$C,$C72,'Disbursements Summary'!$A:$A,"DMV")</f>
        <v>0</v>
      </c>
      <c r="BB72" s="55">
        <f>SUMIFS('Awards Summary'!$H:$H,'Awards Summary'!$B:$B,$C72,'Awards Summary'!$J:$J,"DPS")</f>
        <v>0</v>
      </c>
      <c r="BC72" s="55">
        <f>SUMIFS('Disbursements Summary'!$E:$E,'Disbursements Summary'!$C:$C,$C72,'Disbursements Summary'!$A:$A,"DPS")</f>
        <v>0</v>
      </c>
      <c r="BD72" s="55">
        <f>SUMIFS('Awards Summary'!$H:$H,'Awards Summary'!$B:$B,$C72,'Awards Summary'!$J:$J,"DOS")</f>
        <v>0</v>
      </c>
      <c r="BE72" s="55">
        <f>SUMIFS('Disbursements Summary'!$E:$E,'Disbursements Summary'!$C:$C,$C72,'Disbursements Summary'!$A:$A,"DOS")</f>
        <v>0</v>
      </c>
      <c r="BF72" s="55">
        <f>SUMIFS('Awards Summary'!$H:$H,'Awards Summary'!$B:$B,$C72,'Awards Summary'!$J:$J,"TAX")</f>
        <v>0</v>
      </c>
      <c r="BG72" s="55">
        <f>SUMIFS('Disbursements Summary'!$E:$E,'Disbursements Summary'!$C:$C,$C72,'Disbursements Summary'!$A:$A,"TAX")</f>
        <v>0</v>
      </c>
      <c r="BH72" s="55">
        <f>SUMIFS('Awards Summary'!$H:$H,'Awards Summary'!$B:$B,$C72,'Awards Summary'!$J:$J,"DOT")</f>
        <v>0</v>
      </c>
      <c r="BI72" s="55">
        <f>SUMIFS('Disbursements Summary'!$E:$E,'Disbursements Summary'!$C:$C,$C72,'Disbursements Summary'!$A:$A,"DOT")</f>
        <v>0</v>
      </c>
      <c r="BJ72" s="55">
        <f>SUMIFS('Awards Summary'!$H:$H,'Awards Summary'!$B:$B,$C72,'Awards Summary'!$J:$J,"DANC")</f>
        <v>0</v>
      </c>
      <c r="BK72" s="55">
        <f>SUMIFS('Disbursements Summary'!$E:$E,'Disbursements Summary'!$C:$C,$C72,'Disbursements Summary'!$A:$A,"DANC")</f>
        <v>0</v>
      </c>
      <c r="BL72" s="55">
        <f>SUMIFS('Awards Summary'!$H:$H,'Awards Summary'!$B:$B,$C72,'Awards Summary'!$J:$J,"DOB")</f>
        <v>0</v>
      </c>
      <c r="BM72" s="55">
        <f>SUMIFS('Disbursements Summary'!$E:$E,'Disbursements Summary'!$C:$C,$C72,'Disbursements Summary'!$A:$A,"DOB")</f>
        <v>0</v>
      </c>
      <c r="BN72" s="55">
        <f>SUMIFS('Awards Summary'!$H:$H,'Awards Summary'!$B:$B,$C72,'Awards Summary'!$J:$J,"DCJS")</f>
        <v>0</v>
      </c>
      <c r="BO72" s="55">
        <f>SUMIFS('Disbursements Summary'!$E:$E,'Disbursements Summary'!$C:$C,$C72,'Disbursements Summary'!$A:$A,"DCJS")</f>
        <v>0</v>
      </c>
      <c r="BP72" s="55">
        <f>SUMIFS('Awards Summary'!$H:$H,'Awards Summary'!$B:$B,$C72,'Awards Summary'!$J:$J,"DHSES")</f>
        <v>0</v>
      </c>
      <c r="BQ72" s="55">
        <f>SUMIFS('Disbursements Summary'!$E:$E,'Disbursements Summary'!$C:$C,$C72,'Disbursements Summary'!$A:$A,"DHSES")</f>
        <v>0</v>
      </c>
      <c r="BR72" s="55">
        <f>SUMIFS('Awards Summary'!$H:$H,'Awards Summary'!$B:$B,$C72,'Awards Summary'!$J:$J,"DHR")</f>
        <v>0</v>
      </c>
      <c r="BS72" s="55">
        <f>SUMIFS('Disbursements Summary'!$E:$E,'Disbursements Summary'!$C:$C,$C72,'Disbursements Summary'!$A:$A,"DHR")</f>
        <v>0</v>
      </c>
      <c r="BT72" s="55">
        <f>SUMIFS('Awards Summary'!$H:$H,'Awards Summary'!$B:$B,$C72,'Awards Summary'!$J:$J,"DMNA")</f>
        <v>0</v>
      </c>
      <c r="BU72" s="55">
        <f>SUMIFS('Disbursements Summary'!$E:$E,'Disbursements Summary'!$C:$C,$C72,'Disbursements Summary'!$A:$A,"DMNA")</f>
        <v>0</v>
      </c>
      <c r="BV72" s="55">
        <f>SUMIFS('Awards Summary'!$H:$H,'Awards Summary'!$B:$B,$C72,'Awards Summary'!$J:$J,"TROOPERS")</f>
        <v>0</v>
      </c>
      <c r="BW72" s="55">
        <f>SUMIFS('Disbursements Summary'!$E:$E,'Disbursements Summary'!$C:$C,$C72,'Disbursements Summary'!$A:$A,"TROOPERS")</f>
        <v>0</v>
      </c>
      <c r="BX72" s="55">
        <f>SUMIFS('Awards Summary'!$H:$H,'Awards Summary'!$B:$B,$C72,'Awards Summary'!$J:$J,"DVA")</f>
        <v>0</v>
      </c>
      <c r="BY72" s="55">
        <f>SUMIFS('Disbursements Summary'!$E:$E,'Disbursements Summary'!$C:$C,$C72,'Disbursements Summary'!$A:$A,"DVA")</f>
        <v>0</v>
      </c>
      <c r="BZ72" s="55">
        <f>SUMIFS('Awards Summary'!$H:$H,'Awards Summary'!$B:$B,$C72,'Awards Summary'!$J:$J,"DASNY")</f>
        <v>0</v>
      </c>
      <c r="CA72" s="55">
        <f>SUMIFS('Disbursements Summary'!$E:$E,'Disbursements Summary'!$C:$C,$C72,'Disbursements Summary'!$A:$A,"DASNY")</f>
        <v>0</v>
      </c>
      <c r="CB72" s="55">
        <f>SUMIFS('Awards Summary'!$H:$H,'Awards Summary'!$B:$B,$C72,'Awards Summary'!$J:$J,"EGG")</f>
        <v>0</v>
      </c>
      <c r="CC72" s="55">
        <f>SUMIFS('Disbursements Summary'!$E:$E,'Disbursements Summary'!$C:$C,$C72,'Disbursements Summary'!$A:$A,"EGG")</f>
        <v>0</v>
      </c>
      <c r="CD72" s="55">
        <f>SUMIFS('Awards Summary'!$H:$H,'Awards Summary'!$B:$B,$C72,'Awards Summary'!$J:$J,"ESD")</f>
        <v>0</v>
      </c>
      <c r="CE72" s="55">
        <f>SUMIFS('Disbursements Summary'!$E:$E,'Disbursements Summary'!$C:$C,$C72,'Disbursements Summary'!$A:$A,"ESD")</f>
        <v>0</v>
      </c>
      <c r="CF72" s="55">
        <f>SUMIFS('Awards Summary'!$H:$H,'Awards Summary'!$B:$B,$C72,'Awards Summary'!$J:$J,"EFC")</f>
        <v>0</v>
      </c>
      <c r="CG72" s="55">
        <f>SUMIFS('Disbursements Summary'!$E:$E,'Disbursements Summary'!$C:$C,$C72,'Disbursements Summary'!$A:$A,"EFC")</f>
        <v>0</v>
      </c>
      <c r="CH72" s="55">
        <f>SUMIFS('Awards Summary'!$H:$H,'Awards Summary'!$B:$B,$C72,'Awards Summary'!$J:$J,"ECFSA")</f>
        <v>0</v>
      </c>
      <c r="CI72" s="55">
        <f>SUMIFS('Disbursements Summary'!$E:$E,'Disbursements Summary'!$C:$C,$C72,'Disbursements Summary'!$A:$A,"ECFSA")</f>
        <v>0</v>
      </c>
      <c r="CJ72" s="55">
        <f>SUMIFS('Awards Summary'!$H:$H,'Awards Summary'!$B:$B,$C72,'Awards Summary'!$J:$J,"ECMC")</f>
        <v>0</v>
      </c>
      <c r="CK72" s="55">
        <f>SUMIFS('Disbursements Summary'!$E:$E,'Disbursements Summary'!$C:$C,$C72,'Disbursements Summary'!$A:$A,"ECMC")</f>
        <v>0</v>
      </c>
      <c r="CL72" s="55">
        <f>SUMIFS('Awards Summary'!$H:$H,'Awards Summary'!$B:$B,$C72,'Awards Summary'!$J:$J,"CHAMBER")</f>
        <v>0</v>
      </c>
      <c r="CM72" s="55">
        <f>SUMIFS('Disbursements Summary'!$E:$E,'Disbursements Summary'!$C:$C,$C72,'Disbursements Summary'!$A:$A,"CHAMBER")</f>
        <v>0</v>
      </c>
      <c r="CN72" s="55">
        <f>SUMIFS('Awards Summary'!$H:$H,'Awards Summary'!$B:$B,$C72,'Awards Summary'!$J:$J,"GAMING")</f>
        <v>0</v>
      </c>
      <c r="CO72" s="55">
        <f>SUMIFS('Disbursements Summary'!$E:$E,'Disbursements Summary'!$C:$C,$C72,'Disbursements Summary'!$A:$A,"GAMING")</f>
        <v>0</v>
      </c>
      <c r="CP72" s="55">
        <f>SUMIFS('Awards Summary'!$H:$H,'Awards Summary'!$B:$B,$C72,'Awards Summary'!$J:$J,"GOER")</f>
        <v>0</v>
      </c>
      <c r="CQ72" s="55">
        <f>SUMIFS('Disbursements Summary'!$E:$E,'Disbursements Summary'!$C:$C,$C72,'Disbursements Summary'!$A:$A,"GOER")</f>
        <v>0</v>
      </c>
      <c r="CR72" s="55">
        <f>SUMIFS('Awards Summary'!$H:$H,'Awards Summary'!$B:$B,$C72,'Awards Summary'!$J:$J,"HESC")</f>
        <v>0</v>
      </c>
      <c r="CS72" s="55">
        <f>SUMIFS('Disbursements Summary'!$E:$E,'Disbursements Summary'!$C:$C,$C72,'Disbursements Summary'!$A:$A,"HESC")</f>
        <v>0</v>
      </c>
      <c r="CT72" s="55">
        <f>SUMIFS('Awards Summary'!$H:$H,'Awards Summary'!$B:$B,$C72,'Awards Summary'!$J:$J,"GOSR")</f>
        <v>0</v>
      </c>
      <c r="CU72" s="55">
        <f>SUMIFS('Disbursements Summary'!$E:$E,'Disbursements Summary'!$C:$C,$C72,'Disbursements Summary'!$A:$A,"GOSR")</f>
        <v>0</v>
      </c>
      <c r="CV72" s="55">
        <f>SUMIFS('Awards Summary'!$H:$H,'Awards Summary'!$B:$B,$C72,'Awards Summary'!$J:$J,"HRPT")</f>
        <v>0</v>
      </c>
      <c r="CW72" s="55">
        <f>SUMIFS('Disbursements Summary'!$E:$E,'Disbursements Summary'!$C:$C,$C72,'Disbursements Summary'!$A:$A,"HRPT")</f>
        <v>0</v>
      </c>
      <c r="CX72" s="55">
        <f>SUMIFS('Awards Summary'!$H:$H,'Awards Summary'!$B:$B,$C72,'Awards Summary'!$J:$J,"HRBRRD")</f>
        <v>0</v>
      </c>
      <c r="CY72" s="55">
        <f>SUMIFS('Disbursements Summary'!$E:$E,'Disbursements Summary'!$C:$C,$C72,'Disbursements Summary'!$A:$A,"HRBRRD")</f>
        <v>0</v>
      </c>
      <c r="CZ72" s="55">
        <f>SUMIFS('Awards Summary'!$H:$H,'Awards Summary'!$B:$B,$C72,'Awards Summary'!$J:$J,"ITS")</f>
        <v>0</v>
      </c>
      <c r="DA72" s="55">
        <f>SUMIFS('Disbursements Summary'!$E:$E,'Disbursements Summary'!$C:$C,$C72,'Disbursements Summary'!$A:$A,"ITS")</f>
        <v>0</v>
      </c>
      <c r="DB72" s="55">
        <f>SUMIFS('Awards Summary'!$H:$H,'Awards Summary'!$B:$B,$C72,'Awards Summary'!$J:$J,"JAVITS")</f>
        <v>0</v>
      </c>
      <c r="DC72" s="55">
        <f>SUMIFS('Disbursements Summary'!$E:$E,'Disbursements Summary'!$C:$C,$C72,'Disbursements Summary'!$A:$A,"JAVITS")</f>
        <v>0</v>
      </c>
      <c r="DD72" s="55">
        <f>SUMIFS('Awards Summary'!$H:$H,'Awards Summary'!$B:$B,$C72,'Awards Summary'!$J:$J,"JCOPE")</f>
        <v>0</v>
      </c>
      <c r="DE72" s="55">
        <f>SUMIFS('Disbursements Summary'!$E:$E,'Disbursements Summary'!$C:$C,$C72,'Disbursements Summary'!$A:$A,"JCOPE")</f>
        <v>0</v>
      </c>
      <c r="DF72" s="55">
        <f>SUMIFS('Awards Summary'!$H:$H,'Awards Summary'!$B:$B,$C72,'Awards Summary'!$J:$J,"JUSTICE")</f>
        <v>0</v>
      </c>
      <c r="DG72" s="55">
        <f>SUMIFS('Disbursements Summary'!$E:$E,'Disbursements Summary'!$C:$C,$C72,'Disbursements Summary'!$A:$A,"JUSTICE")</f>
        <v>0</v>
      </c>
      <c r="DH72" s="55">
        <f>SUMIFS('Awards Summary'!$H:$H,'Awards Summary'!$B:$B,$C72,'Awards Summary'!$J:$J,"LCWSA")</f>
        <v>0</v>
      </c>
      <c r="DI72" s="55">
        <f>SUMIFS('Disbursements Summary'!$E:$E,'Disbursements Summary'!$C:$C,$C72,'Disbursements Summary'!$A:$A,"LCWSA")</f>
        <v>0</v>
      </c>
      <c r="DJ72" s="55">
        <f>SUMIFS('Awards Summary'!$H:$H,'Awards Summary'!$B:$B,$C72,'Awards Summary'!$J:$J,"LIPA")</f>
        <v>0</v>
      </c>
      <c r="DK72" s="55">
        <f>SUMIFS('Disbursements Summary'!$E:$E,'Disbursements Summary'!$C:$C,$C72,'Disbursements Summary'!$A:$A,"LIPA")</f>
        <v>0</v>
      </c>
      <c r="DL72" s="55">
        <f>SUMIFS('Awards Summary'!$H:$H,'Awards Summary'!$B:$B,$C72,'Awards Summary'!$J:$J,"MTA")</f>
        <v>0</v>
      </c>
      <c r="DM72" s="55">
        <f>SUMIFS('Disbursements Summary'!$E:$E,'Disbursements Summary'!$C:$C,$C72,'Disbursements Summary'!$A:$A,"MTA")</f>
        <v>0</v>
      </c>
      <c r="DN72" s="55">
        <f>SUMIFS('Awards Summary'!$H:$H,'Awards Summary'!$B:$B,$C72,'Awards Summary'!$J:$J,"NIFA")</f>
        <v>0</v>
      </c>
      <c r="DO72" s="55">
        <f>SUMIFS('Disbursements Summary'!$E:$E,'Disbursements Summary'!$C:$C,$C72,'Disbursements Summary'!$A:$A,"NIFA")</f>
        <v>0</v>
      </c>
      <c r="DP72" s="55">
        <f>SUMIFS('Awards Summary'!$H:$H,'Awards Summary'!$B:$B,$C72,'Awards Summary'!$J:$J,"NHCC")</f>
        <v>0</v>
      </c>
      <c r="DQ72" s="55">
        <f>SUMIFS('Disbursements Summary'!$E:$E,'Disbursements Summary'!$C:$C,$C72,'Disbursements Summary'!$A:$A,"NHCC")</f>
        <v>0</v>
      </c>
      <c r="DR72" s="55">
        <f>SUMIFS('Awards Summary'!$H:$H,'Awards Summary'!$B:$B,$C72,'Awards Summary'!$J:$J,"NHT")</f>
        <v>0</v>
      </c>
      <c r="DS72" s="55">
        <f>SUMIFS('Disbursements Summary'!$E:$E,'Disbursements Summary'!$C:$C,$C72,'Disbursements Summary'!$A:$A,"NHT")</f>
        <v>0</v>
      </c>
      <c r="DT72" s="55">
        <f>SUMIFS('Awards Summary'!$H:$H,'Awards Summary'!$B:$B,$C72,'Awards Summary'!$J:$J,"NYPA")</f>
        <v>0</v>
      </c>
      <c r="DU72" s="55">
        <f>SUMIFS('Disbursements Summary'!$E:$E,'Disbursements Summary'!$C:$C,$C72,'Disbursements Summary'!$A:$A,"NYPA")</f>
        <v>0</v>
      </c>
      <c r="DV72" s="55">
        <f>SUMIFS('Awards Summary'!$H:$H,'Awards Summary'!$B:$B,$C72,'Awards Summary'!$J:$J,"NYSBA")</f>
        <v>0</v>
      </c>
      <c r="DW72" s="55">
        <f>SUMIFS('Disbursements Summary'!$E:$E,'Disbursements Summary'!$C:$C,$C72,'Disbursements Summary'!$A:$A,"NYSBA")</f>
        <v>0</v>
      </c>
      <c r="DX72" s="55">
        <f>SUMIFS('Awards Summary'!$H:$H,'Awards Summary'!$B:$B,$C72,'Awards Summary'!$J:$J,"NYSERDA")</f>
        <v>0</v>
      </c>
      <c r="DY72" s="55">
        <f>SUMIFS('Disbursements Summary'!$E:$E,'Disbursements Summary'!$C:$C,$C72,'Disbursements Summary'!$A:$A,"NYSERDA")</f>
        <v>0</v>
      </c>
      <c r="DZ72" s="55">
        <f>SUMIFS('Awards Summary'!$H:$H,'Awards Summary'!$B:$B,$C72,'Awards Summary'!$J:$J,"DHCR")</f>
        <v>0</v>
      </c>
      <c r="EA72" s="55">
        <f>SUMIFS('Disbursements Summary'!$E:$E,'Disbursements Summary'!$C:$C,$C72,'Disbursements Summary'!$A:$A,"DHCR")</f>
        <v>0</v>
      </c>
      <c r="EB72" s="55">
        <f>SUMIFS('Awards Summary'!$H:$H,'Awards Summary'!$B:$B,$C72,'Awards Summary'!$J:$J,"HFA")</f>
        <v>0</v>
      </c>
      <c r="EC72" s="55">
        <f>SUMIFS('Disbursements Summary'!$E:$E,'Disbursements Summary'!$C:$C,$C72,'Disbursements Summary'!$A:$A,"HFA")</f>
        <v>0</v>
      </c>
      <c r="ED72" s="55">
        <f>SUMIFS('Awards Summary'!$H:$H,'Awards Summary'!$B:$B,$C72,'Awards Summary'!$J:$J,"NYSIF")</f>
        <v>0</v>
      </c>
      <c r="EE72" s="55">
        <f>SUMIFS('Disbursements Summary'!$E:$E,'Disbursements Summary'!$C:$C,$C72,'Disbursements Summary'!$A:$A,"NYSIF")</f>
        <v>0</v>
      </c>
      <c r="EF72" s="55">
        <f>SUMIFS('Awards Summary'!$H:$H,'Awards Summary'!$B:$B,$C72,'Awards Summary'!$J:$J,"NYBREDS")</f>
        <v>0</v>
      </c>
      <c r="EG72" s="55">
        <f>SUMIFS('Disbursements Summary'!$E:$E,'Disbursements Summary'!$C:$C,$C72,'Disbursements Summary'!$A:$A,"NYBREDS")</f>
        <v>0</v>
      </c>
      <c r="EH72" s="55">
        <f>SUMIFS('Awards Summary'!$H:$H,'Awards Summary'!$B:$B,$C72,'Awards Summary'!$J:$J,"NYSTA")</f>
        <v>0</v>
      </c>
      <c r="EI72" s="55">
        <f>SUMIFS('Disbursements Summary'!$E:$E,'Disbursements Summary'!$C:$C,$C72,'Disbursements Summary'!$A:$A,"NYSTA")</f>
        <v>0</v>
      </c>
      <c r="EJ72" s="55">
        <f>SUMIFS('Awards Summary'!$H:$H,'Awards Summary'!$B:$B,$C72,'Awards Summary'!$J:$J,"NFWB")</f>
        <v>0</v>
      </c>
      <c r="EK72" s="55">
        <f>SUMIFS('Disbursements Summary'!$E:$E,'Disbursements Summary'!$C:$C,$C72,'Disbursements Summary'!$A:$A,"NFWB")</f>
        <v>0</v>
      </c>
      <c r="EL72" s="55">
        <f>SUMIFS('Awards Summary'!$H:$H,'Awards Summary'!$B:$B,$C72,'Awards Summary'!$J:$J,"NFTA")</f>
        <v>0</v>
      </c>
      <c r="EM72" s="55">
        <f>SUMIFS('Disbursements Summary'!$E:$E,'Disbursements Summary'!$C:$C,$C72,'Disbursements Summary'!$A:$A,"NFTA")</f>
        <v>0</v>
      </c>
      <c r="EN72" s="55">
        <f>SUMIFS('Awards Summary'!$H:$H,'Awards Summary'!$B:$B,$C72,'Awards Summary'!$J:$J,"OPWDD")</f>
        <v>0</v>
      </c>
      <c r="EO72" s="55">
        <f>SUMIFS('Disbursements Summary'!$E:$E,'Disbursements Summary'!$C:$C,$C72,'Disbursements Summary'!$A:$A,"OPWDD")</f>
        <v>0</v>
      </c>
      <c r="EP72" s="55">
        <f>SUMIFS('Awards Summary'!$H:$H,'Awards Summary'!$B:$B,$C72,'Awards Summary'!$J:$J,"AGING")</f>
        <v>0</v>
      </c>
      <c r="EQ72" s="55">
        <f>SUMIFS('Disbursements Summary'!$E:$E,'Disbursements Summary'!$C:$C,$C72,'Disbursements Summary'!$A:$A,"AGING")</f>
        <v>0</v>
      </c>
      <c r="ER72" s="55">
        <f>SUMIFS('Awards Summary'!$H:$H,'Awards Summary'!$B:$B,$C72,'Awards Summary'!$J:$J,"OPDV")</f>
        <v>0</v>
      </c>
      <c r="ES72" s="55">
        <f>SUMIFS('Disbursements Summary'!$E:$E,'Disbursements Summary'!$C:$C,$C72,'Disbursements Summary'!$A:$A,"OPDV")</f>
        <v>0</v>
      </c>
      <c r="ET72" s="55">
        <f>SUMIFS('Awards Summary'!$H:$H,'Awards Summary'!$B:$B,$C72,'Awards Summary'!$J:$J,"OVS")</f>
        <v>0</v>
      </c>
      <c r="EU72" s="55">
        <f>SUMIFS('Disbursements Summary'!$E:$E,'Disbursements Summary'!$C:$C,$C72,'Disbursements Summary'!$A:$A,"OVS")</f>
        <v>0</v>
      </c>
      <c r="EV72" s="55">
        <f>SUMIFS('Awards Summary'!$H:$H,'Awards Summary'!$B:$B,$C72,'Awards Summary'!$J:$J,"OASAS")</f>
        <v>0</v>
      </c>
      <c r="EW72" s="55">
        <f>SUMIFS('Disbursements Summary'!$E:$E,'Disbursements Summary'!$C:$C,$C72,'Disbursements Summary'!$A:$A,"OASAS")</f>
        <v>0</v>
      </c>
      <c r="EX72" s="55">
        <f>SUMIFS('Awards Summary'!$H:$H,'Awards Summary'!$B:$B,$C72,'Awards Summary'!$J:$J,"OCFS")</f>
        <v>0</v>
      </c>
      <c r="EY72" s="55">
        <f>SUMIFS('Disbursements Summary'!$E:$E,'Disbursements Summary'!$C:$C,$C72,'Disbursements Summary'!$A:$A,"OCFS")</f>
        <v>0</v>
      </c>
      <c r="EZ72" s="55">
        <f>SUMIFS('Awards Summary'!$H:$H,'Awards Summary'!$B:$B,$C72,'Awards Summary'!$J:$J,"OGS")</f>
        <v>0</v>
      </c>
      <c r="FA72" s="55">
        <f>SUMIFS('Disbursements Summary'!$E:$E,'Disbursements Summary'!$C:$C,$C72,'Disbursements Summary'!$A:$A,"OGS")</f>
        <v>0</v>
      </c>
      <c r="FB72" s="55">
        <f>SUMIFS('Awards Summary'!$H:$H,'Awards Summary'!$B:$B,$C72,'Awards Summary'!$J:$J,"OMH")</f>
        <v>0</v>
      </c>
      <c r="FC72" s="55">
        <f>SUMIFS('Disbursements Summary'!$E:$E,'Disbursements Summary'!$C:$C,$C72,'Disbursements Summary'!$A:$A,"OMH")</f>
        <v>0</v>
      </c>
      <c r="FD72" s="55">
        <f>SUMIFS('Awards Summary'!$H:$H,'Awards Summary'!$B:$B,$C72,'Awards Summary'!$J:$J,"PARKS")</f>
        <v>0</v>
      </c>
      <c r="FE72" s="55">
        <f>SUMIFS('Disbursements Summary'!$E:$E,'Disbursements Summary'!$C:$C,$C72,'Disbursements Summary'!$A:$A,"PARKS")</f>
        <v>0</v>
      </c>
      <c r="FF72" s="55">
        <f>SUMIFS('Awards Summary'!$H:$H,'Awards Summary'!$B:$B,$C72,'Awards Summary'!$J:$J,"OTDA")</f>
        <v>0</v>
      </c>
      <c r="FG72" s="55">
        <f>SUMIFS('Disbursements Summary'!$E:$E,'Disbursements Summary'!$C:$C,$C72,'Disbursements Summary'!$A:$A,"OTDA")</f>
        <v>0</v>
      </c>
      <c r="FH72" s="55">
        <f>SUMIFS('Awards Summary'!$H:$H,'Awards Summary'!$B:$B,$C72,'Awards Summary'!$J:$J,"OIG")</f>
        <v>0</v>
      </c>
      <c r="FI72" s="55">
        <f>SUMIFS('Disbursements Summary'!$E:$E,'Disbursements Summary'!$C:$C,$C72,'Disbursements Summary'!$A:$A,"OIG")</f>
        <v>0</v>
      </c>
      <c r="FJ72" s="55">
        <f>SUMIFS('Awards Summary'!$H:$H,'Awards Summary'!$B:$B,$C72,'Awards Summary'!$J:$J,"OMIG")</f>
        <v>0</v>
      </c>
      <c r="FK72" s="55">
        <f>SUMIFS('Disbursements Summary'!$E:$E,'Disbursements Summary'!$C:$C,$C72,'Disbursements Summary'!$A:$A,"OMIG")</f>
        <v>0</v>
      </c>
      <c r="FL72" s="55">
        <f>SUMIFS('Awards Summary'!$H:$H,'Awards Summary'!$B:$B,$C72,'Awards Summary'!$J:$J,"OSC")</f>
        <v>0</v>
      </c>
      <c r="FM72" s="55">
        <f>SUMIFS('Disbursements Summary'!$E:$E,'Disbursements Summary'!$C:$C,$C72,'Disbursements Summary'!$A:$A,"OSC")</f>
        <v>0</v>
      </c>
      <c r="FN72" s="55">
        <f>SUMIFS('Awards Summary'!$H:$H,'Awards Summary'!$B:$B,$C72,'Awards Summary'!$J:$J,"OWIG")</f>
        <v>0</v>
      </c>
      <c r="FO72" s="55">
        <f>SUMIFS('Disbursements Summary'!$E:$E,'Disbursements Summary'!$C:$C,$C72,'Disbursements Summary'!$A:$A,"OWIG")</f>
        <v>0</v>
      </c>
      <c r="FP72" s="55">
        <f>SUMIFS('Awards Summary'!$H:$H,'Awards Summary'!$B:$B,$C72,'Awards Summary'!$J:$J,"OGDEN")</f>
        <v>0</v>
      </c>
      <c r="FQ72" s="55">
        <f>SUMIFS('Disbursements Summary'!$E:$E,'Disbursements Summary'!$C:$C,$C72,'Disbursements Summary'!$A:$A,"OGDEN")</f>
        <v>0</v>
      </c>
      <c r="FR72" s="55">
        <f>SUMIFS('Awards Summary'!$H:$H,'Awards Summary'!$B:$B,$C72,'Awards Summary'!$J:$J,"ORDA")</f>
        <v>0</v>
      </c>
      <c r="FS72" s="55">
        <f>SUMIFS('Disbursements Summary'!$E:$E,'Disbursements Summary'!$C:$C,$C72,'Disbursements Summary'!$A:$A,"ORDA")</f>
        <v>0</v>
      </c>
      <c r="FT72" s="55">
        <f>SUMIFS('Awards Summary'!$H:$H,'Awards Summary'!$B:$B,$C72,'Awards Summary'!$J:$J,"OSWEGO")</f>
        <v>0</v>
      </c>
      <c r="FU72" s="55">
        <f>SUMIFS('Disbursements Summary'!$E:$E,'Disbursements Summary'!$C:$C,$C72,'Disbursements Summary'!$A:$A,"OSWEGO")</f>
        <v>0</v>
      </c>
      <c r="FV72" s="55">
        <f>SUMIFS('Awards Summary'!$H:$H,'Awards Summary'!$B:$B,$C72,'Awards Summary'!$J:$J,"PERB")</f>
        <v>0</v>
      </c>
      <c r="FW72" s="55">
        <f>SUMIFS('Disbursements Summary'!$E:$E,'Disbursements Summary'!$C:$C,$C72,'Disbursements Summary'!$A:$A,"PERB")</f>
        <v>0</v>
      </c>
      <c r="FX72" s="55">
        <f>SUMIFS('Awards Summary'!$H:$H,'Awards Summary'!$B:$B,$C72,'Awards Summary'!$J:$J,"RGRTA")</f>
        <v>0</v>
      </c>
      <c r="FY72" s="55">
        <f>SUMIFS('Disbursements Summary'!$E:$E,'Disbursements Summary'!$C:$C,$C72,'Disbursements Summary'!$A:$A,"RGRTA")</f>
        <v>0</v>
      </c>
      <c r="FZ72" s="55">
        <f>SUMIFS('Awards Summary'!$H:$H,'Awards Summary'!$B:$B,$C72,'Awards Summary'!$J:$J,"RIOC")</f>
        <v>0</v>
      </c>
      <c r="GA72" s="55">
        <f>SUMIFS('Disbursements Summary'!$E:$E,'Disbursements Summary'!$C:$C,$C72,'Disbursements Summary'!$A:$A,"RIOC")</f>
        <v>0</v>
      </c>
      <c r="GB72" s="55">
        <f>SUMIFS('Awards Summary'!$H:$H,'Awards Summary'!$B:$B,$C72,'Awards Summary'!$J:$J,"RPCI")</f>
        <v>0</v>
      </c>
      <c r="GC72" s="55">
        <f>SUMIFS('Disbursements Summary'!$E:$E,'Disbursements Summary'!$C:$C,$C72,'Disbursements Summary'!$A:$A,"RPCI")</f>
        <v>0</v>
      </c>
      <c r="GD72" s="55">
        <f>SUMIFS('Awards Summary'!$H:$H,'Awards Summary'!$B:$B,$C72,'Awards Summary'!$J:$J,"SMDA")</f>
        <v>0</v>
      </c>
      <c r="GE72" s="55">
        <f>SUMIFS('Disbursements Summary'!$E:$E,'Disbursements Summary'!$C:$C,$C72,'Disbursements Summary'!$A:$A,"SMDA")</f>
        <v>0</v>
      </c>
      <c r="GF72" s="55">
        <f>SUMIFS('Awards Summary'!$H:$H,'Awards Summary'!$B:$B,$C72,'Awards Summary'!$J:$J,"SCOC")</f>
        <v>0</v>
      </c>
      <c r="GG72" s="55">
        <f>SUMIFS('Disbursements Summary'!$E:$E,'Disbursements Summary'!$C:$C,$C72,'Disbursements Summary'!$A:$A,"SCOC")</f>
        <v>0</v>
      </c>
      <c r="GH72" s="55">
        <f>SUMIFS('Awards Summary'!$H:$H,'Awards Summary'!$B:$B,$C72,'Awards Summary'!$J:$J,"SUCF")</f>
        <v>0</v>
      </c>
      <c r="GI72" s="55">
        <f>SUMIFS('Disbursements Summary'!$E:$E,'Disbursements Summary'!$C:$C,$C72,'Disbursements Summary'!$A:$A,"SUCF")</f>
        <v>0</v>
      </c>
      <c r="GJ72" s="55">
        <f>SUMIFS('Awards Summary'!$H:$H,'Awards Summary'!$B:$B,$C72,'Awards Summary'!$J:$J,"SUNY")</f>
        <v>0</v>
      </c>
      <c r="GK72" s="55">
        <f>SUMIFS('Disbursements Summary'!$E:$E,'Disbursements Summary'!$C:$C,$C72,'Disbursements Summary'!$A:$A,"SUNY")</f>
        <v>0</v>
      </c>
      <c r="GL72" s="55">
        <f>SUMIFS('Awards Summary'!$H:$H,'Awards Summary'!$B:$B,$C72,'Awards Summary'!$J:$J,"SRAA")</f>
        <v>0</v>
      </c>
      <c r="GM72" s="55">
        <f>SUMIFS('Disbursements Summary'!$E:$E,'Disbursements Summary'!$C:$C,$C72,'Disbursements Summary'!$A:$A,"SRAA")</f>
        <v>0</v>
      </c>
      <c r="GN72" s="55">
        <f>SUMIFS('Awards Summary'!$H:$H,'Awards Summary'!$B:$B,$C72,'Awards Summary'!$J:$J,"UNDC")</f>
        <v>0</v>
      </c>
      <c r="GO72" s="55">
        <f>SUMIFS('Disbursements Summary'!$E:$E,'Disbursements Summary'!$C:$C,$C72,'Disbursements Summary'!$A:$A,"UNDC")</f>
        <v>0</v>
      </c>
      <c r="GP72" s="55">
        <f>SUMIFS('Awards Summary'!$H:$H,'Awards Summary'!$B:$B,$C72,'Awards Summary'!$J:$J,"MVWA")</f>
        <v>0</v>
      </c>
      <c r="GQ72" s="55">
        <f>SUMIFS('Disbursements Summary'!$E:$E,'Disbursements Summary'!$C:$C,$C72,'Disbursements Summary'!$A:$A,"MVWA")</f>
        <v>0</v>
      </c>
      <c r="GR72" s="55">
        <f>SUMIFS('Awards Summary'!$H:$H,'Awards Summary'!$B:$B,$C72,'Awards Summary'!$J:$J,"WMC")</f>
        <v>0</v>
      </c>
      <c r="GS72" s="55">
        <f>SUMIFS('Disbursements Summary'!$E:$E,'Disbursements Summary'!$C:$C,$C72,'Disbursements Summary'!$A:$A,"WMC")</f>
        <v>0</v>
      </c>
      <c r="GT72" s="55">
        <f>SUMIFS('Awards Summary'!$H:$H,'Awards Summary'!$B:$B,$C72,'Awards Summary'!$J:$J,"WCB")</f>
        <v>0</v>
      </c>
      <c r="GU72" s="55">
        <f>SUMIFS('Disbursements Summary'!$E:$E,'Disbursements Summary'!$C:$C,$C72,'Disbursements Summary'!$A:$A,"WCB")</f>
        <v>0</v>
      </c>
      <c r="GV72" s="32">
        <f t="shared" si="5"/>
        <v>0</v>
      </c>
      <c r="GW72" s="32">
        <f t="shared" si="6"/>
        <v>0</v>
      </c>
      <c r="GX72" s="30" t="b">
        <f t="shared" si="7"/>
        <v>1</v>
      </c>
      <c r="GY72" s="30" t="b">
        <f t="shared" si="8"/>
        <v>1</v>
      </c>
    </row>
    <row r="73" spans="1:207" s="30" customFormat="1">
      <c r="A73" s="22" t="str">
        <f t="shared" si="9"/>
        <v/>
      </c>
      <c r="B73" s="18" t="s">
        <v>241</v>
      </c>
      <c r="C73" s="16">
        <v>151146</v>
      </c>
      <c r="D73" s="26">
        <f>COUNTIF('Awards Summary'!B:B,"151146")</f>
        <v>0</v>
      </c>
      <c r="E73" s="45">
        <f>SUMIFS('Awards Summary'!H:H,'Awards Summary'!B:B,"151146")</f>
        <v>0</v>
      </c>
      <c r="F73" s="46">
        <f>SUMIFS('Disbursements Summary'!E:E,'Disbursements Summary'!C:C, "151146")</f>
        <v>0</v>
      </c>
      <c r="H73" s="55">
        <f>SUMIFS('Awards Summary'!$H:$H,'Awards Summary'!$B:$B,$C73,'Awards Summary'!$J:$J,"APA")</f>
        <v>0</v>
      </c>
      <c r="I73" s="55">
        <f>SUMIFS('Disbursements Summary'!$E:$E,'Disbursements Summary'!$C:$C,$C73,'Disbursements Summary'!$A:$A,"APA")</f>
        <v>0</v>
      </c>
      <c r="J73" s="55">
        <f>SUMIFS('Awards Summary'!$H:$H,'Awards Summary'!$B:$B,$C73,'Awards Summary'!$J:$J,"Ag&amp;Horse")</f>
        <v>0</v>
      </c>
      <c r="K73" s="55">
        <f>SUMIFS('Disbursements Summary'!$E:$E,'Disbursements Summary'!$C:$C,$C73,'Disbursements Summary'!$A:$A,"Ag&amp;Horse")</f>
        <v>0</v>
      </c>
      <c r="L73" s="55">
        <f>SUMIFS('Awards Summary'!$H:$H,'Awards Summary'!$B:$B,$C73,'Awards Summary'!$J:$J,"ACAA")</f>
        <v>0</v>
      </c>
      <c r="M73" s="55">
        <f>SUMIFS('Disbursements Summary'!$E:$E,'Disbursements Summary'!$C:$C,$C73,'Disbursements Summary'!$A:$A,"ACAA")</f>
        <v>0</v>
      </c>
      <c r="N73" s="55">
        <f>SUMIFS('Awards Summary'!$H:$H,'Awards Summary'!$B:$B,$C73,'Awards Summary'!$J:$J,"PortAlbany")</f>
        <v>0</v>
      </c>
      <c r="O73" s="55">
        <f>SUMIFS('Disbursements Summary'!$E:$E,'Disbursements Summary'!$C:$C,$C73,'Disbursements Summary'!$A:$A,"PortAlbany")</f>
        <v>0</v>
      </c>
      <c r="P73" s="55">
        <f>SUMIFS('Awards Summary'!$H:$H,'Awards Summary'!$B:$B,$C73,'Awards Summary'!$J:$J,"SLA")</f>
        <v>0</v>
      </c>
      <c r="Q73" s="55">
        <f>SUMIFS('Disbursements Summary'!$E:$E,'Disbursements Summary'!$C:$C,$C73,'Disbursements Summary'!$A:$A,"SLA")</f>
        <v>0</v>
      </c>
      <c r="R73" s="55">
        <f>SUMIFS('Awards Summary'!$H:$H,'Awards Summary'!$B:$B,$C73,'Awards Summary'!$J:$J,"BPCA")</f>
        <v>0</v>
      </c>
      <c r="S73" s="55">
        <f>SUMIFS('Disbursements Summary'!$E:$E,'Disbursements Summary'!$C:$C,$C73,'Disbursements Summary'!$A:$A,"BPCA")</f>
        <v>0</v>
      </c>
      <c r="T73" s="55">
        <f>SUMIFS('Awards Summary'!$H:$H,'Awards Summary'!$B:$B,$C73,'Awards Summary'!$J:$J,"ELECTIONS")</f>
        <v>0</v>
      </c>
      <c r="U73" s="55">
        <f>SUMIFS('Disbursements Summary'!$E:$E,'Disbursements Summary'!$C:$C,$C73,'Disbursements Summary'!$A:$A,"ELECTIONS")</f>
        <v>0</v>
      </c>
      <c r="V73" s="55">
        <f>SUMIFS('Awards Summary'!$H:$H,'Awards Summary'!$B:$B,$C73,'Awards Summary'!$J:$J,"BFSA")</f>
        <v>0</v>
      </c>
      <c r="W73" s="55">
        <f>SUMIFS('Disbursements Summary'!$E:$E,'Disbursements Summary'!$C:$C,$C73,'Disbursements Summary'!$A:$A,"BFSA")</f>
        <v>0</v>
      </c>
      <c r="X73" s="55">
        <f>SUMIFS('Awards Summary'!$H:$H,'Awards Summary'!$B:$B,$C73,'Awards Summary'!$J:$J,"CDTA")</f>
        <v>0</v>
      </c>
      <c r="Y73" s="55">
        <f>SUMIFS('Disbursements Summary'!$E:$E,'Disbursements Summary'!$C:$C,$C73,'Disbursements Summary'!$A:$A,"CDTA")</f>
        <v>0</v>
      </c>
      <c r="Z73" s="55">
        <f>SUMIFS('Awards Summary'!$H:$H,'Awards Summary'!$B:$B,$C73,'Awards Summary'!$J:$J,"CCWSA")</f>
        <v>0</v>
      </c>
      <c r="AA73" s="55">
        <f>SUMIFS('Disbursements Summary'!$E:$E,'Disbursements Summary'!$C:$C,$C73,'Disbursements Summary'!$A:$A,"CCWSA")</f>
        <v>0</v>
      </c>
      <c r="AB73" s="55">
        <f>SUMIFS('Awards Summary'!$H:$H,'Awards Summary'!$B:$B,$C73,'Awards Summary'!$J:$J,"CNYRTA")</f>
        <v>0</v>
      </c>
      <c r="AC73" s="55">
        <f>SUMIFS('Disbursements Summary'!$E:$E,'Disbursements Summary'!$C:$C,$C73,'Disbursements Summary'!$A:$A,"CNYRTA")</f>
        <v>0</v>
      </c>
      <c r="AD73" s="55">
        <f>SUMIFS('Awards Summary'!$H:$H,'Awards Summary'!$B:$B,$C73,'Awards Summary'!$J:$J,"CUCF")</f>
        <v>0</v>
      </c>
      <c r="AE73" s="55">
        <f>SUMIFS('Disbursements Summary'!$E:$E,'Disbursements Summary'!$C:$C,$C73,'Disbursements Summary'!$A:$A,"CUCF")</f>
        <v>0</v>
      </c>
      <c r="AF73" s="55">
        <f>SUMIFS('Awards Summary'!$H:$H,'Awards Summary'!$B:$B,$C73,'Awards Summary'!$J:$J,"CUNY")</f>
        <v>0</v>
      </c>
      <c r="AG73" s="55">
        <f>SUMIFS('Disbursements Summary'!$E:$E,'Disbursements Summary'!$C:$C,$C73,'Disbursements Summary'!$A:$A,"CUNY")</f>
        <v>0</v>
      </c>
      <c r="AH73" s="55">
        <f>SUMIFS('Awards Summary'!$H:$H,'Awards Summary'!$B:$B,$C73,'Awards Summary'!$J:$J,"ARTS")</f>
        <v>0</v>
      </c>
      <c r="AI73" s="55">
        <f>SUMIFS('Disbursements Summary'!$E:$E,'Disbursements Summary'!$C:$C,$C73,'Disbursements Summary'!$A:$A,"ARTS")</f>
        <v>0</v>
      </c>
      <c r="AJ73" s="55">
        <f>SUMIFS('Awards Summary'!$H:$H,'Awards Summary'!$B:$B,$C73,'Awards Summary'!$J:$J,"AG&amp;MKTS")</f>
        <v>0</v>
      </c>
      <c r="AK73" s="55">
        <f>SUMIFS('Disbursements Summary'!$E:$E,'Disbursements Summary'!$C:$C,$C73,'Disbursements Summary'!$A:$A,"AG&amp;MKTS")</f>
        <v>0</v>
      </c>
      <c r="AL73" s="55">
        <f>SUMIFS('Awards Summary'!$H:$H,'Awards Summary'!$B:$B,$C73,'Awards Summary'!$J:$J,"CS")</f>
        <v>0</v>
      </c>
      <c r="AM73" s="55">
        <f>SUMIFS('Disbursements Summary'!$E:$E,'Disbursements Summary'!$C:$C,$C73,'Disbursements Summary'!$A:$A,"CS")</f>
        <v>0</v>
      </c>
      <c r="AN73" s="55">
        <f>SUMIFS('Awards Summary'!$H:$H,'Awards Summary'!$B:$B,$C73,'Awards Summary'!$J:$J,"DOCCS")</f>
        <v>0</v>
      </c>
      <c r="AO73" s="55">
        <f>SUMIFS('Disbursements Summary'!$E:$E,'Disbursements Summary'!$C:$C,$C73,'Disbursements Summary'!$A:$A,"DOCCS")</f>
        <v>0</v>
      </c>
      <c r="AP73" s="55">
        <f>SUMIFS('Awards Summary'!$H:$H,'Awards Summary'!$B:$B,$C73,'Awards Summary'!$J:$J,"DED")</f>
        <v>0</v>
      </c>
      <c r="AQ73" s="55">
        <f>SUMIFS('Disbursements Summary'!$E:$E,'Disbursements Summary'!$C:$C,$C73,'Disbursements Summary'!$A:$A,"DED")</f>
        <v>0</v>
      </c>
      <c r="AR73" s="55">
        <f>SUMIFS('Awards Summary'!$H:$H,'Awards Summary'!$B:$B,$C73,'Awards Summary'!$J:$J,"DEC")</f>
        <v>0</v>
      </c>
      <c r="AS73" s="55">
        <f>SUMIFS('Disbursements Summary'!$E:$E,'Disbursements Summary'!$C:$C,$C73,'Disbursements Summary'!$A:$A,"DEC")</f>
        <v>0</v>
      </c>
      <c r="AT73" s="55">
        <f>SUMIFS('Awards Summary'!$H:$H,'Awards Summary'!$B:$B,$C73,'Awards Summary'!$J:$J,"DFS")</f>
        <v>0</v>
      </c>
      <c r="AU73" s="55">
        <f>SUMIFS('Disbursements Summary'!$E:$E,'Disbursements Summary'!$C:$C,$C73,'Disbursements Summary'!$A:$A,"DFS")</f>
        <v>0</v>
      </c>
      <c r="AV73" s="55">
        <f>SUMIFS('Awards Summary'!$H:$H,'Awards Summary'!$B:$B,$C73,'Awards Summary'!$J:$J,"DOH")</f>
        <v>0</v>
      </c>
      <c r="AW73" s="55">
        <f>SUMIFS('Disbursements Summary'!$E:$E,'Disbursements Summary'!$C:$C,$C73,'Disbursements Summary'!$A:$A,"DOH")</f>
        <v>0</v>
      </c>
      <c r="AX73" s="55">
        <f>SUMIFS('Awards Summary'!$H:$H,'Awards Summary'!$B:$B,$C73,'Awards Summary'!$J:$J,"DOL")</f>
        <v>0</v>
      </c>
      <c r="AY73" s="55">
        <f>SUMIFS('Disbursements Summary'!$E:$E,'Disbursements Summary'!$C:$C,$C73,'Disbursements Summary'!$A:$A,"DOL")</f>
        <v>0</v>
      </c>
      <c r="AZ73" s="55">
        <f>SUMIFS('Awards Summary'!$H:$H,'Awards Summary'!$B:$B,$C73,'Awards Summary'!$J:$J,"DMV")</f>
        <v>0</v>
      </c>
      <c r="BA73" s="55">
        <f>SUMIFS('Disbursements Summary'!$E:$E,'Disbursements Summary'!$C:$C,$C73,'Disbursements Summary'!$A:$A,"DMV")</f>
        <v>0</v>
      </c>
      <c r="BB73" s="55">
        <f>SUMIFS('Awards Summary'!$H:$H,'Awards Summary'!$B:$B,$C73,'Awards Summary'!$J:$J,"DPS")</f>
        <v>0</v>
      </c>
      <c r="BC73" s="55">
        <f>SUMIFS('Disbursements Summary'!$E:$E,'Disbursements Summary'!$C:$C,$C73,'Disbursements Summary'!$A:$A,"DPS")</f>
        <v>0</v>
      </c>
      <c r="BD73" s="55">
        <f>SUMIFS('Awards Summary'!$H:$H,'Awards Summary'!$B:$B,$C73,'Awards Summary'!$J:$J,"DOS")</f>
        <v>0</v>
      </c>
      <c r="BE73" s="55">
        <f>SUMIFS('Disbursements Summary'!$E:$E,'Disbursements Summary'!$C:$C,$C73,'Disbursements Summary'!$A:$A,"DOS")</f>
        <v>0</v>
      </c>
      <c r="BF73" s="55">
        <f>SUMIFS('Awards Summary'!$H:$H,'Awards Summary'!$B:$B,$C73,'Awards Summary'!$J:$J,"TAX")</f>
        <v>0</v>
      </c>
      <c r="BG73" s="55">
        <f>SUMIFS('Disbursements Summary'!$E:$E,'Disbursements Summary'!$C:$C,$C73,'Disbursements Summary'!$A:$A,"TAX")</f>
        <v>0</v>
      </c>
      <c r="BH73" s="55">
        <f>SUMIFS('Awards Summary'!$H:$H,'Awards Summary'!$B:$B,$C73,'Awards Summary'!$J:$J,"DOT")</f>
        <v>0</v>
      </c>
      <c r="BI73" s="55">
        <f>SUMIFS('Disbursements Summary'!$E:$E,'Disbursements Summary'!$C:$C,$C73,'Disbursements Summary'!$A:$A,"DOT")</f>
        <v>0</v>
      </c>
      <c r="BJ73" s="55">
        <f>SUMIFS('Awards Summary'!$H:$H,'Awards Summary'!$B:$B,$C73,'Awards Summary'!$J:$J,"DANC")</f>
        <v>0</v>
      </c>
      <c r="BK73" s="55">
        <f>SUMIFS('Disbursements Summary'!$E:$E,'Disbursements Summary'!$C:$C,$C73,'Disbursements Summary'!$A:$A,"DANC")</f>
        <v>0</v>
      </c>
      <c r="BL73" s="55">
        <f>SUMIFS('Awards Summary'!$H:$H,'Awards Summary'!$B:$B,$C73,'Awards Summary'!$J:$J,"DOB")</f>
        <v>0</v>
      </c>
      <c r="BM73" s="55">
        <f>SUMIFS('Disbursements Summary'!$E:$E,'Disbursements Summary'!$C:$C,$C73,'Disbursements Summary'!$A:$A,"DOB")</f>
        <v>0</v>
      </c>
      <c r="BN73" s="55">
        <f>SUMIFS('Awards Summary'!$H:$H,'Awards Summary'!$B:$B,$C73,'Awards Summary'!$J:$J,"DCJS")</f>
        <v>0</v>
      </c>
      <c r="BO73" s="55">
        <f>SUMIFS('Disbursements Summary'!$E:$E,'Disbursements Summary'!$C:$C,$C73,'Disbursements Summary'!$A:$A,"DCJS")</f>
        <v>0</v>
      </c>
      <c r="BP73" s="55">
        <f>SUMIFS('Awards Summary'!$H:$H,'Awards Summary'!$B:$B,$C73,'Awards Summary'!$J:$J,"DHSES")</f>
        <v>0</v>
      </c>
      <c r="BQ73" s="55">
        <f>SUMIFS('Disbursements Summary'!$E:$E,'Disbursements Summary'!$C:$C,$C73,'Disbursements Summary'!$A:$A,"DHSES")</f>
        <v>0</v>
      </c>
      <c r="BR73" s="55">
        <f>SUMIFS('Awards Summary'!$H:$H,'Awards Summary'!$B:$B,$C73,'Awards Summary'!$J:$J,"DHR")</f>
        <v>0</v>
      </c>
      <c r="BS73" s="55">
        <f>SUMIFS('Disbursements Summary'!$E:$E,'Disbursements Summary'!$C:$C,$C73,'Disbursements Summary'!$A:$A,"DHR")</f>
        <v>0</v>
      </c>
      <c r="BT73" s="55">
        <f>SUMIFS('Awards Summary'!$H:$H,'Awards Summary'!$B:$B,$C73,'Awards Summary'!$J:$J,"DMNA")</f>
        <v>0</v>
      </c>
      <c r="BU73" s="55">
        <f>SUMIFS('Disbursements Summary'!$E:$E,'Disbursements Summary'!$C:$C,$C73,'Disbursements Summary'!$A:$A,"DMNA")</f>
        <v>0</v>
      </c>
      <c r="BV73" s="55">
        <f>SUMIFS('Awards Summary'!$H:$H,'Awards Summary'!$B:$B,$C73,'Awards Summary'!$J:$J,"TROOPERS")</f>
        <v>0</v>
      </c>
      <c r="BW73" s="55">
        <f>SUMIFS('Disbursements Summary'!$E:$E,'Disbursements Summary'!$C:$C,$C73,'Disbursements Summary'!$A:$A,"TROOPERS")</f>
        <v>0</v>
      </c>
      <c r="BX73" s="55">
        <f>SUMIFS('Awards Summary'!$H:$H,'Awards Summary'!$B:$B,$C73,'Awards Summary'!$J:$J,"DVA")</f>
        <v>0</v>
      </c>
      <c r="BY73" s="55">
        <f>SUMIFS('Disbursements Summary'!$E:$E,'Disbursements Summary'!$C:$C,$C73,'Disbursements Summary'!$A:$A,"DVA")</f>
        <v>0</v>
      </c>
      <c r="BZ73" s="55">
        <f>SUMIFS('Awards Summary'!$H:$H,'Awards Summary'!$B:$B,$C73,'Awards Summary'!$J:$J,"DASNY")</f>
        <v>0</v>
      </c>
      <c r="CA73" s="55">
        <f>SUMIFS('Disbursements Summary'!$E:$E,'Disbursements Summary'!$C:$C,$C73,'Disbursements Summary'!$A:$A,"DASNY")</f>
        <v>0</v>
      </c>
      <c r="CB73" s="55">
        <f>SUMIFS('Awards Summary'!$H:$H,'Awards Summary'!$B:$B,$C73,'Awards Summary'!$J:$J,"EGG")</f>
        <v>0</v>
      </c>
      <c r="CC73" s="55">
        <f>SUMIFS('Disbursements Summary'!$E:$E,'Disbursements Summary'!$C:$C,$C73,'Disbursements Summary'!$A:$A,"EGG")</f>
        <v>0</v>
      </c>
      <c r="CD73" s="55">
        <f>SUMIFS('Awards Summary'!$H:$H,'Awards Summary'!$B:$B,$C73,'Awards Summary'!$J:$J,"ESD")</f>
        <v>0</v>
      </c>
      <c r="CE73" s="55">
        <f>SUMIFS('Disbursements Summary'!$E:$E,'Disbursements Summary'!$C:$C,$C73,'Disbursements Summary'!$A:$A,"ESD")</f>
        <v>0</v>
      </c>
      <c r="CF73" s="55">
        <f>SUMIFS('Awards Summary'!$H:$H,'Awards Summary'!$B:$B,$C73,'Awards Summary'!$J:$J,"EFC")</f>
        <v>0</v>
      </c>
      <c r="CG73" s="55">
        <f>SUMIFS('Disbursements Summary'!$E:$E,'Disbursements Summary'!$C:$C,$C73,'Disbursements Summary'!$A:$A,"EFC")</f>
        <v>0</v>
      </c>
      <c r="CH73" s="55">
        <f>SUMIFS('Awards Summary'!$H:$H,'Awards Summary'!$B:$B,$C73,'Awards Summary'!$J:$J,"ECFSA")</f>
        <v>0</v>
      </c>
      <c r="CI73" s="55">
        <f>SUMIFS('Disbursements Summary'!$E:$E,'Disbursements Summary'!$C:$C,$C73,'Disbursements Summary'!$A:$A,"ECFSA")</f>
        <v>0</v>
      </c>
      <c r="CJ73" s="55">
        <f>SUMIFS('Awards Summary'!$H:$H,'Awards Summary'!$B:$B,$C73,'Awards Summary'!$J:$J,"ECMC")</f>
        <v>0</v>
      </c>
      <c r="CK73" s="55">
        <f>SUMIFS('Disbursements Summary'!$E:$E,'Disbursements Summary'!$C:$C,$C73,'Disbursements Summary'!$A:$A,"ECMC")</f>
        <v>0</v>
      </c>
      <c r="CL73" s="55">
        <f>SUMIFS('Awards Summary'!$H:$H,'Awards Summary'!$B:$B,$C73,'Awards Summary'!$J:$J,"CHAMBER")</f>
        <v>0</v>
      </c>
      <c r="CM73" s="55">
        <f>SUMIFS('Disbursements Summary'!$E:$E,'Disbursements Summary'!$C:$C,$C73,'Disbursements Summary'!$A:$A,"CHAMBER")</f>
        <v>0</v>
      </c>
      <c r="CN73" s="55">
        <f>SUMIFS('Awards Summary'!$H:$H,'Awards Summary'!$B:$B,$C73,'Awards Summary'!$J:$J,"GAMING")</f>
        <v>0</v>
      </c>
      <c r="CO73" s="55">
        <f>SUMIFS('Disbursements Summary'!$E:$E,'Disbursements Summary'!$C:$C,$C73,'Disbursements Summary'!$A:$A,"GAMING")</f>
        <v>0</v>
      </c>
      <c r="CP73" s="55">
        <f>SUMIFS('Awards Summary'!$H:$H,'Awards Summary'!$B:$B,$C73,'Awards Summary'!$J:$J,"GOER")</f>
        <v>0</v>
      </c>
      <c r="CQ73" s="55">
        <f>SUMIFS('Disbursements Summary'!$E:$E,'Disbursements Summary'!$C:$C,$C73,'Disbursements Summary'!$A:$A,"GOER")</f>
        <v>0</v>
      </c>
      <c r="CR73" s="55">
        <f>SUMIFS('Awards Summary'!$H:$H,'Awards Summary'!$B:$B,$C73,'Awards Summary'!$J:$J,"HESC")</f>
        <v>0</v>
      </c>
      <c r="CS73" s="55">
        <f>SUMIFS('Disbursements Summary'!$E:$E,'Disbursements Summary'!$C:$C,$C73,'Disbursements Summary'!$A:$A,"HESC")</f>
        <v>0</v>
      </c>
      <c r="CT73" s="55">
        <f>SUMIFS('Awards Summary'!$H:$H,'Awards Summary'!$B:$B,$C73,'Awards Summary'!$J:$J,"GOSR")</f>
        <v>0</v>
      </c>
      <c r="CU73" s="55">
        <f>SUMIFS('Disbursements Summary'!$E:$E,'Disbursements Summary'!$C:$C,$C73,'Disbursements Summary'!$A:$A,"GOSR")</f>
        <v>0</v>
      </c>
      <c r="CV73" s="55">
        <f>SUMIFS('Awards Summary'!$H:$H,'Awards Summary'!$B:$B,$C73,'Awards Summary'!$J:$J,"HRPT")</f>
        <v>0</v>
      </c>
      <c r="CW73" s="55">
        <f>SUMIFS('Disbursements Summary'!$E:$E,'Disbursements Summary'!$C:$C,$C73,'Disbursements Summary'!$A:$A,"HRPT")</f>
        <v>0</v>
      </c>
      <c r="CX73" s="55">
        <f>SUMIFS('Awards Summary'!$H:$H,'Awards Summary'!$B:$B,$C73,'Awards Summary'!$J:$J,"HRBRRD")</f>
        <v>0</v>
      </c>
      <c r="CY73" s="55">
        <f>SUMIFS('Disbursements Summary'!$E:$E,'Disbursements Summary'!$C:$C,$C73,'Disbursements Summary'!$A:$A,"HRBRRD")</f>
        <v>0</v>
      </c>
      <c r="CZ73" s="55">
        <f>SUMIFS('Awards Summary'!$H:$H,'Awards Summary'!$B:$B,$C73,'Awards Summary'!$J:$J,"ITS")</f>
        <v>0</v>
      </c>
      <c r="DA73" s="55">
        <f>SUMIFS('Disbursements Summary'!$E:$E,'Disbursements Summary'!$C:$C,$C73,'Disbursements Summary'!$A:$A,"ITS")</f>
        <v>0</v>
      </c>
      <c r="DB73" s="55">
        <f>SUMIFS('Awards Summary'!$H:$H,'Awards Summary'!$B:$B,$C73,'Awards Summary'!$J:$J,"JAVITS")</f>
        <v>0</v>
      </c>
      <c r="DC73" s="55">
        <f>SUMIFS('Disbursements Summary'!$E:$E,'Disbursements Summary'!$C:$C,$C73,'Disbursements Summary'!$A:$A,"JAVITS")</f>
        <v>0</v>
      </c>
      <c r="DD73" s="55">
        <f>SUMIFS('Awards Summary'!$H:$H,'Awards Summary'!$B:$B,$C73,'Awards Summary'!$J:$J,"JCOPE")</f>
        <v>0</v>
      </c>
      <c r="DE73" s="55">
        <f>SUMIFS('Disbursements Summary'!$E:$E,'Disbursements Summary'!$C:$C,$C73,'Disbursements Summary'!$A:$A,"JCOPE")</f>
        <v>0</v>
      </c>
      <c r="DF73" s="55">
        <f>SUMIFS('Awards Summary'!$H:$H,'Awards Summary'!$B:$B,$C73,'Awards Summary'!$J:$J,"JUSTICE")</f>
        <v>0</v>
      </c>
      <c r="DG73" s="55">
        <f>SUMIFS('Disbursements Summary'!$E:$E,'Disbursements Summary'!$C:$C,$C73,'Disbursements Summary'!$A:$A,"JUSTICE")</f>
        <v>0</v>
      </c>
      <c r="DH73" s="55">
        <f>SUMIFS('Awards Summary'!$H:$H,'Awards Summary'!$B:$B,$C73,'Awards Summary'!$J:$J,"LCWSA")</f>
        <v>0</v>
      </c>
      <c r="DI73" s="55">
        <f>SUMIFS('Disbursements Summary'!$E:$E,'Disbursements Summary'!$C:$C,$C73,'Disbursements Summary'!$A:$A,"LCWSA")</f>
        <v>0</v>
      </c>
      <c r="DJ73" s="55">
        <f>SUMIFS('Awards Summary'!$H:$H,'Awards Summary'!$B:$B,$C73,'Awards Summary'!$J:$J,"LIPA")</f>
        <v>0</v>
      </c>
      <c r="DK73" s="55">
        <f>SUMIFS('Disbursements Summary'!$E:$E,'Disbursements Summary'!$C:$C,$C73,'Disbursements Summary'!$A:$A,"LIPA")</f>
        <v>0</v>
      </c>
      <c r="DL73" s="55">
        <f>SUMIFS('Awards Summary'!$H:$H,'Awards Summary'!$B:$B,$C73,'Awards Summary'!$J:$J,"MTA")</f>
        <v>0</v>
      </c>
      <c r="DM73" s="55">
        <f>SUMIFS('Disbursements Summary'!$E:$E,'Disbursements Summary'!$C:$C,$C73,'Disbursements Summary'!$A:$A,"MTA")</f>
        <v>0</v>
      </c>
      <c r="DN73" s="55">
        <f>SUMIFS('Awards Summary'!$H:$H,'Awards Summary'!$B:$B,$C73,'Awards Summary'!$J:$J,"NIFA")</f>
        <v>0</v>
      </c>
      <c r="DO73" s="55">
        <f>SUMIFS('Disbursements Summary'!$E:$E,'Disbursements Summary'!$C:$C,$C73,'Disbursements Summary'!$A:$A,"NIFA")</f>
        <v>0</v>
      </c>
      <c r="DP73" s="55">
        <f>SUMIFS('Awards Summary'!$H:$H,'Awards Summary'!$B:$B,$C73,'Awards Summary'!$J:$J,"NHCC")</f>
        <v>0</v>
      </c>
      <c r="DQ73" s="55">
        <f>SUMIFS('Disbursements Summary'!$E:$E,'Disbursements Summary'!$C:$C,$C73,'Disbursements Summary'!$A:$A,"NHCC")</f>
        <v>0</v>
      </c>
      <c r="DR73" s="55">
        <f>SUMIFS('Awards Summary'!$H:$H,'Awards Summary'!$B:$B,$C73,'Awards Summary'!$J:$J,"NHT")</f>
        <v>0</v>
      </c>
      <c r="DS73" s="55">
        <f>SUMIFS('Disbursements Summary'!$E:$E,'Disbursements Summary'!$C:$C,$C73,'Disbursements Summary'!$A:$A,"NHT")</f>
        <v>0</v>
      </c>
      <c r="DT73" s="55">
        <f>SUMIFS('Awards Summary'!$H:$H,'Awards Summary'!$B:$B,$C73,'Awards Summary'!$J:$J,"NYPA")</f>
        <v>0</v>
      </c>
      <c r="DU73" s="55">
        <f>SUMIFS('Disbursements Summary'!$E:$E,'Disbursements Summary'!$C:$C,$C73,'Disbursements Summary'!$A:$A,"NYPA")</f>
        <v>0</v>
      </c>
      <c r="DV73" s="55">
        <f>SUMIFS('Awards Summary'!$H:$H,'Awards Summary'!$B:$B,$C73,'Awards Summary'!$J:$J,"NYSBA")</f>
        <v>0</v>
      </c>
      <c r="DW73" s="55">
        <f>SUMIFS('Disbursements Summary'!$E:$E,'Disbursements Summary'!$C:$C,$C73,'Disbursements Summary'!$A:$A,"NYSBA")</f>
        <v>0</v>
      </c>
      <c r="DX73" s="55">
        <f>SUMIFS('Awards Summary'!$H:$H,'Awards Summary'!$B:$B,$C73,'Awards Summary'!$J:$J,"NYSERDA")</f>
        <v>0</v>
      </c>
      <c r="DY73" s="55">
        <f>SUMIFS('Disbursements Summary'!$E:$E,'Disbursements Summary'!$C:$C,$C73,'Disbursements Summary'!$A:$A,"NYSERDA")</f>
        <v>0</v>
      </c>
      <c r="DZ73" s="55">
        <f>SUMIFS('Awards Summary'!$H:$H,'Awards Summary'!$B:$B,$C73,'Awards Summary'!$J:$J,"DHCR")</f>
        <v>0</v>
      </c>
      <c r="EA73" s="55">
        <f>SUMIFS('Disbursements Summary'!$E:$E,'Disbursements Summary'!$C:$C,$C73,'Disbursements Summary'!$A:$A,"DHCR")</f>
        <v>0</v>
      </c>
      <c r="EB73" s="55">
        <f>SUMIFS('Awards Summary'!$H:$H,'Awards Summary'!$B:$B,$C73,'Awards Summary'!$J:$J,"HFA")</f>
        <v>0</v>
      </c>
      <c r="EC73" s="55">
        <f>SUMIFS('Disbursements Summary'!$E:$E,'Disbursements Summary'!$C:$C,$C73,'Disbursements Summary'!$A:$A,"HFA")</f>
        <v>0</v>
      </c>
      <c r="ED73" s="55">
        <f>SUMIFS('Awards Summary'!$H:$H,'Awards Summary'!$B:$B,$C73,'Awards Summary'!$J:$J,"NYSIF")</f>
        <v>0</v>
      </c>
      <c r="EE73" s="55">
        <f>SUMIFS('Disbursements Summary'!$E:$E,'Disbursements Summary'!$C:$C,$C73,'Disbursements Summary'!$A:$A,"NYSIF")</f>
        <v>0</v>
      </c>
      <c r="EF73" s="55">
        <f>SUMIFS('Awards Summary'!$H:$H,'Awards Summary'!$B:$B,$C73,'Awards Summary'!$J:$J,"NYBREDS")</f>
        <v>0</v>
      </c>
      <c r="EG73" s="55">
        <f>SUMIFS('Disbursements Summary'!$E:$E,'Disbursements Summary'!$C:$C,$C73,'Disbursements Summary'!$A:$A,"NYBREDS")</f>
        <v>0</v>
      </c>
      <c r="EH73" s="55">
        <f>SUMIFS('Awards Summary'!$H:$H,'Awards Summary'!$B:$B,$C73,'Awards Summary'!$J:$J,"NYSTA")</f>
        <v>0</v>
      </c>
      <c r="EI73" s="55">
        <f>SUMIFS('Disbursements Summary'!$E:$E,'Disbursements Summary'!$C:$C,$C73,'Disbursements Summary'!$A:$A,"NYSTA")</f>
        <v>0</v>
      </c>
      <c r="EJ73" s="55">
        <f>SUMIFS('Awards Summary'!$H:$H,'Awards Summary'!$B:$B,$C73,'Awards Summary'!$J:$J,"NFWB")</f>
        <v>0</v>
      </c>
      <c r="EK73" s="55">
        <f>SUMIFS('Disbursements Summary'!$E:$E,'Disbursements Summary'!$C:$C,$C73,'Disbursements Summary'!$A:$A,"NFWB")</f>
        <v>0</v>
      </c>
      <c r="EL73" s="55">
        <f>SUMIFS('Awards Summary'!$H:$H,'Awards Summary'!$B:$B,$C73,'Awards Summary'!$J:$J,"NFTA")</f>
        <v>0</v>
      </c>
      <c r="EM73" s="55">
        <f>SUMIFS('Disbursements Summary'!$E:$E,'Disbursements Summary'!$C:$C,$C73,'Disbursements Summary'!$A:$A,"NFTA")</f>
        <v>0</v>
      </c>
      <c r="EN73" s="55">
        <f>SUMIFS('Awards Summary'!$H:$H,'Awards Summary'!$B:$B,$C73,'Awards Summary'!$J:$J,"OPWDD")</f>
        <v>0</v>
      </c>
      <c r="EO73" s="55">
        <f>SUMIFS('Disbursements Summary'!$E:$E,'Disbursements Summary'!$C:$C,$C73,'Disbursements Summary'!$A:$A,"OPWDD")</f>
        <v>0</v>
      </c>
      <c r="EP73" s="55">
        <f>SUMIFS('Awards Summary'!$H:$H,'Awards Summary'!$B:$B,$C73,'Awards Summary'!$J:$J,"AGING")</f>
        <v>0</v>
      </c>
      <c r="EQ73" s="55">
        <f>SUMIFS('Disbursements Summary'!$E:$E,'Disbursements Summary'!$C:$C,$C73,'Disbursements Summary'!$A:$A,"AGING")</f>
        <v>0</v>
      </c>
      <c r="ER73" s="55">
        <f>SUMIFS('Awards Summary'!$H:$H,'Awards Summary'!$B:$B,$C73,'Awards Summary'!$J:$J,"OPDV")</f>
        <v>0</v>
      </c>
      <c r="ES73" s="55">
        <f>SUMIFS('Disbursements Summary'!$E:$E,'Disbursements Summary'!$C:$C,$C73,'Disbursements Summary'!$A:$A,"OPDV")</f>
        <v>0</v>
      </c>
      <c r="ET73" s="55">
        <f>SUMIFS('Awards Summary'!$H:$H,'Awards Summary'!$B:$B,$C73,'Awards Summary'!$J:$J,"OVS")</f>
        <v>0</v>
      </c>
      <c r="EU73" s="55">
        <f>SUMIFS('Disbursements Summary'!$E:$E,'Disbursements Summary'!$C:$C,$C73,'Disbursements Summary'!$A:$A,"OVS")</f>
        <v>0</v>
      </c>
      <c r="EV73" s="55">
        <f>SUMIFS('Awards Summary'!$H:$H,'Awards Summary'!$B:$B,$C73,'Awards Summary'!$J:$J,"OASAS")</f>
        <v>0</v>
      </c>
      <c r="EW73" s="55">
        <f>SUMIFS('Disbursements Summary'!$E:$E,'Disbursements Summary'!$C:$C,$C73,'Disbursements Summary'!$A:$A,"OASAS")</f>
        <v>0</v>
      </c>
      <c r="EX73" s="55">
        <f>SUMIFS('Awards Summary'!$H:$H,'Awards Summary'!$B:$B,$C73,'Awards Summary'!$J:$J,"OCFS")</f>
        <v>0</v>
      </c>
      <c r="EY73" s="55">
        <f>SUMIFS('Disbursements Summary'!$E:$E,'Disbursements Summary'!$C:$C,$C73,'Disbursements Summary'!$A:$A,"OCFS")</f>
        <v>0</v>
      </c>
      <c r="EZ73" s="55">
        <f>SUMIFS('Awards Summary'!$H:$H,'Awards Summary'!$B:$B,$C73,'Awards Summary'!$J:$J,"OGS")</f>
        <v>0</v>
      </c>
      <c r="FA73" s="55">
        <f>SUMIFS('Disbursements Summary'!$E:$E,'Disbursements Summary'!$C:$C,$C73,'Disbursements Summary'!$A:$A,"OGS")</f>
        <v>0</v>
      </c>
      <c r="FB73" s="55">
        <f>SUMIFS('Awards Summary'!$H:$H,'Awards Summary'!$B:$B,$C73,'Awards Summary'!$J:$J,"OMH")</f>
        <v>0</v>
      </c>
      <c r="FC73" s="55">
        <f>SUMIFS('Disbursements Summary'!$E:$E,'Disbursements Summary'!$C:$C,$C73,'Disbursements Summary'!$A:$A,"OMH")</f>
        <v>0</v>
      </c>
      <c r="FD73" s="55">
        <f>SUMIFS('Awards Summary'!$H:$H,'Awards Summary'!$B:$B,$C73,'Awards Summary'!$J:$J,"PARKS")</f>
        <v>0</v>
      </c>
      <c r="FE73" s="55">
        <f>SUMIFS('Disbursements Summary'!$E:$E,'Disbursements Summary'!$C:$C,$C73,'Disbursements Summary'!$A:$A,"PARKS")</f>
        <v>0</v>
      </c>
      <c r="FF73" s="55">
        <f>SUMIFS('Awards Summary'!$H:$H,'Awards Summary'!$B:$B,$C73,'Awards Summary'!$J:$J,"OTDA")</f>
        <v>0</v>
      </c>
      <c r="FG73" s="55">
        <f>SUMIFS('Disbursements Summary'!$E:$E,'Disbursements Summary'!$C:$C,$C73,'Disbursements Summary'!$A:$A,"OTDA")</f>
        <v>0</v>
      </c>
      <c r="FH73" s="55">
        <f>SUMIFS('Awards Summary'!$H:$H,'Awards Summary'!$B:$B,$C73,'Awards Summary'!$J:$J,"OIG")</f>
        <v>0</v>
      </c>
      <c r="FI73" s="55">
        <f>SUMIFS('Disbursements Summary'!$E:$E,'Disbursements Summary'!$C:$C,$C73,'Disbursements Summary'!$A:$A,"OIG")</f>
        <v>0</v>
      </c>
      <c r="FJ73" s="55">
        <f>SUMIFS('Awards Summary'!$H:$H,'Awards Summary'!$B:$B,$C73,'Awards Summary'!$J:$J,"OMIG")</f>
        <v>0</v>
      </c>
      <c r="FK73" s="55">
        <f>SUMIFS('Disbursements Summary'!$E:$E,'Disbursements Summary'!$C:$C,$C73,'Disbursements Summary'!$A:$A,"OMIG")</f>
        <v>0</v>
      </c>
      <c r="FL73" s="55">
        <f>SUMIFS('Awards Summary'!$H:$H,'Awards Summary'!$B:$B,$C73,'Awards Summary'!$J:$J,"OSC")</f>
        <v>0</v>
      </c>
      <c r="FM73" s="55">
        <f>SUMIFS('Disbursements Summary'!$E:$E,'Disbursements Summary'!$C:$C,$C73,'Disbursements Summary'!$A:$A,"OSC")</f>
        <v>0</v>
      </c>
      <c r="FN73" s="55">
        <f>SUMIFS('Awards Summary'!$H:$H,'Awards Summary'!$B:$B,$C73,'Awards Summary'!$J:$J,"OWIG")</f>
        <v>0</v>
      </c>
      <c r="FO73" s="55">
        <f>SUMIFS('Disbursements Summary'!$E:$E,'Disbursements Summary'!$C:$C,$C73,'Disbursements Summary'!$A:$A,"OWIG")</f>
        <v>0</v>
      </c>
      <c r="FP73" s="55">
        <f>SUMIFS('Awards Summary'!$H:$H,'Awards Summary'!$B:$B,$C73,'Awards Summary'!$J:$J,"OGDEN")</f>
        <v>0</v>
      </c>
      <c r="FQ73" s="55">
        <f>SUMIFS('Disbursements Summary'!$E:$E,'Disbursements Summary'!$C:$C,$C73,'Disbursements Summary'!$A:$A,"OGDEN")</f>
        <v>0</v>
      </c>
      <c r="FR73" s="55">
        <f>SUMIFS('Awards Summary'!$H:$H,'Awards Summary'!$B:$B,$C73,'Awards Summary'!$J:$J,"ORDA")</f>
        <v>0</v>
      </c>
      <c r="FS73" s="55">
        <f>SUMIFS('Disbursements Summary'!$E:$E,'Disbursements Summary'!$C:$C,$C73,'Disbursements Summary'!$A:$A,"ORDA")</f>
        <v>0</v>
      </c>
      <c r="FT73" s="55">
        <f>SUMIFS('Awards Summary'!$H:$H,'Awards Summary'!$B:$B,$C73,'Awards Summary'!$J:$J,"OSWEGO")</f>
        <v>0</v>
      </c>
      <c r="FU73" s="55">
        <f>SUMIFS('Disbursements Summary'!$E:$E,'Disbursements Summary'!$C:$C,$C73,'Disbursements Summary'!$A:$A,"OSWEGO")</f>
        <v>0</v>
      </c>
      <c r="FV73" s="55">
        <f>SUMIFS('Awards Summary'!$H:$H,'Awards Summary'!$B:$B,$C73,'Awards Summary'!$J:$J,"PERB")</f>
        <v>0</v>
      </c>
      <c r="FW73" s="55">
        <f>SUMIFS('Disbursements Summary'!$E:$E,'Disbursements Summary'!$C:$C,$C73,'Disbursements Summary'!$A:$A,"PERB")</f>
        <v>0</v>
      </c>
      <c r="FX73" s="55">
        <f>SUMIFS('Awards Summary'!$H:$H,'Awards Summary'!$B:$B,$C73,'Awards Summary'!$J:$J,"RGRTA")</f>
        <v>0</v>
      </c>
      <c r="FY73" s="55">
        <f>SUMIFS('Disbursements Summary'!$E:$E,'Disbursements Summary'!$C:$C,$C73,'Disbursements Summary'!$A:$A,"RGRTA")</f>
        <v>0</v>
      </c>
      <c r="FZ73" s="55">
        <f>SUMIFS('Awards Summary'!$H:$H,'Awards Summary'!$B:$B,$C73,'Awards Summary'!$J:$J,"RIOC")</f>
        <v>0</v>
      </c>
      <c r="GA73" s="55">
        <f>SUMIFS('Disbursements Summary'!$E:$E,'Disbursements Summary'!$C:$C,$C73,'Disbursements Summary'!$A:$A,"RIOC")</f>
        <v>0</v>
      </c>
      <c r="GB73" s="55">
        <f>SUMIFS('Awards Summary'!$H:$H,'Awards Summary'!$B:$B,$C73,'Awards Summary'!$J:$J,"RPCI")</f>
        <v>0</v>
      </c>
      <c r="GC73" s="55">
        <f>SUMIFS('Disbursements Summary'!$E:$E,'Disbursements Summary'!$C:$C,$C73,'Disbursements Summary'!$A:$A,"RPCI")</f>
        <v>0</v>
      </c>
      <c r="GD73" s="55">
        <f>SUMIFS('Awards Summary'!$H:$H,'Awards Summary'!$B:$B,$C73,'Awards Summary'!$J:$J,"SMDA")</f>
        <v>0</v>
      </c>
      <c r="GE73" s="55">
        <f>SUMIFS('Disbursements Summary'!$E:$E,'Disbursements Summary'!$C:$C,$C73,'Disbursements Summary'!$A:$A,"SMDA")</f>
        <v>0</v>
      </c>
      <c r="GF73" s="55">
        <f>SUMIFS('Awards Summary'!$H:$H,'Awards Summary'!$B:$B,$C73,'Awards Summary'!$J:$J,"SCOC")</f>
        <v>0</v>
      </c>
      <c r="GG73" s="55">
        <f>SUMIFS('Disbursements Summary'!$E:$E,'Disbursements Summary'!$C:$C,$C73,'Disbursements Summary'!$A:$A,"SCOC")</f>
        <v>0</v>
      </c>
      <c r="GH73" s="55">
        <f>SUMIFS('Awards Summary'!$H:$H,'Awards Summary'!$B:$B,$C73,'Awards Summary'!$J:$J,"SUCF")</f>
        <v>0</v>
      </c>
      <c r="GI73" s="55">
        <f>SUMIFS('Disbursements Summary'!$E:$E,'Disbursements Summary'!$C:$C,$C73,'Disbursements Summary'!$A:$A,"SUCF")</f>
        <v>0</v>
      </c>
      <c r="GJ73" s="55">
        <f>SUMIFS('Awards Summary'!$H:$H,'Awards Summary'!$B:$B,$C73,'Awards Summary'!$J:$J,"SUNY")</f>
        <v>0</v>
      </c>
      <c r="GK73" s="55">
        <f>SUMIFS('Disbursements Summary'!$E:$E,'Disbursements Summary'!$C:$C,$C73,'Disbursements Summary'!$A:$A,"SUNY")</f>
        <v>0</v>
      </c>
      <c r="GL73" s="55">
        <f>SUMIFS('Awards Summary'!$H:$H,'Awards Summary'!$B:$B,$C73,'Awards Summary'!$J:$J,"SRAA")</f>
        <v>0</v>
      </c>
      <c r="GM73" s="55">
        <f>SUMIFS('Disbursements Summary'!$E:$E,'Disbursements Summary'!$C:$C,$C73,'Disbursements Summary'!$A:$A,"SRAA")</f>
        <v>0</v>
      </c>
      <c r="GN73" s="55">
        <f>SUMIFS('Awards Summary'!$H:$H,'Awards Summary'!$B:$B,$C73,'Awards Summary'!$J:$J,"UNDC")</f>
        <v>0</v>
      </c>
      <c r="GO73" s="55">
        <f>SUMIFS('Disbursements Summary'!$E:$E,'Disbursements Summary'!$C:$C,$C73,'Disbursements Summary'!$A:$A,"UNDC")</f>
        <v>0</v>
      </c>
      <c r="GP73" s="55">
        <f>SUMIFS('Awards Summary'!$H:$H,'Awards Summary'!$B:$B,$C73,'Awards Summary'!$J:$J,"MVWA")</f>
        <v>0</v>
      </c>
      <c r="GQ73" s="55">
        <f>SUMIFS('Disbursements Summary'!$E:$E,'Disbursements Summary'!$C:$C,$C73,'Disbursements Summary'!$A:$A,"MVWA")</f>
        <v>0</v>
      </c>
      <c r="GR73" s="55">
        <f>SUMIFS('Awards Summary'!$H:$H,'Awards Summary'!$B:$B,$C73,'Awards Summary'!$J:$J,"WMC")</f>
        <v>0</v>
      </c>
      <c r="GS73" s="55">
        <f>SUMIFS('Disbursements Summary'!$E:$E,'Disbursements Summary'!$C:$C,$C73,'Disbursements Summary'!$A:$A,"WMC")</f>
        <v>0</v>
      </c>
      <c r="GT73" s="55">
        <f>SUMIFS('Awards Summary'!$H:$H,'Awards Summary'!$B:$B,$C73,'Awards Summary'!$J:$J,"WCB")</f>
        <v>0</v>
      </c>
      <c r="GU73" s="55">
        <f>SUMIFS('Disbursements Summary'!$E:$E,'Disbursements Summary'!$C:$C,$C73,'Disbursements Summary'!$A:$A,"WCB")</f>
        <v>0</v>
      </c>
      <c r="GV73" s="32">
        <f t="shared" si="5"/>
        <v>0</v>
      </c>
      <c r="GW73" s="32">
        <f t="shared" si="6"/>
        <v>0</v>
      </c>
      <c r="GX73" s="30" t="b">
        <f t="shared" si="7"/>
        <v>1</v>
      </c>
      <c r="GY73" s="30" t="b">
        <f t="shared" si="8"/>
        <v>1</v>
      </c>
    </row>
    <row r="74" spans="1:207" s="30" customFormat="1">
      <c r="A74" s="22" t="str">
        <f t="shared" si="9"/>
        <v/>
      </c>
      <c r="B74" s="40" t="s">
        <v>74</v>
      </c>
      <c r="C74" s="16">
        <v>151150</v>
      </c>
      <c r="D74" s="26">
        <f>COUNTIF('Awards Summary'!B:B,"151150")</f>
        <v>0</v>
      </c>
      <c r="E74" s="45">
        <f>SUMIFS('Awards Summary'!H:H,'Awards Summary'!B:B,"151150")</f>
        <v>0</v>
      </c>
      <c r="F74" s="46">
        <f>SUMIFS('Disbursements Summary'!E:E,'Disbursements Summary'!C:C, "151150")</f>
        <v>0</v>
      </c>
      <c r="H74" s="55">
        <f>SUMIFS('Awards Summary'!$H:$H,'Awards Summary'!$B:$B,$C74,'Awards Summary'!$J:$J,"APA")</f>
        <v>0</v>
      </c>
      <c r="I74" s="55">
        <f>SUMIFS('Disbursements Summary'!$E:$E,'Disbursements Summary'!$C:$C,$C74,'Disbursements Summary'!$A:$A,"APA")</f>
        <v>0</v>
      </c>
      <c r="J74" s="55">
        <f>SUMIFS('Awards Summary'!$H:$H,'Awards Summary'!$B:$B,$C74,'Awards Summary'!$J:$J,"Ag&amp;Horse")</f>
        <v>0</v>
      </c>
      <c r="K74" s="55">
        <f>SUMIFS('Disbursements Summary'!$E:$E,'Disbursements Summary'!$C:$C,$C74,'Disbursements Summary'!$A:$A,"Ag&amp;Horse")</f>
        <v>0</v>
      </c>
      <c r="L74" s="55">
        <f>SUMIFS('Awards Summary'!$H:$H,'Awards Summary'!$B:$B,$C74,'Awards Summary'!$J:$J,"ACAA")</f>
        <v>0</v>
      </c>
      <c r="M74" s="55">
        <f>SUMIFS('Disbursements Summary'!$E:$E,'Disbursements Summary'!$C:$C,$C74,'Disbursements Summary'!$A:$A,"ACAA")</f>
        <v>0</v>
      </c>
      <c r="N74" s="55">
        <f>SUMIFS('Awards Summary'!$H:$H,'Awards Summary'!$B:$B,$C74,'Awards Summary'!$J:$J,"PortAlbany")</f>
        <v>0</v>
      </c>
      <c r="O74" s="55">
        <f>SUMIFS('Disbursements Summary'!$E:$E,'Disbursements Summary'!$C:$C,$C74,'Disbursements Summary'!$A:$A,"PortAlbany")</f>
        <v>0</v>
      </c>
      <c r="P74" s="55">
        <f>SUMIFS('Awards Summary'!$H:$H,'Awards Summary'!$B:$B,$C74,'Awards Summary'!$J:$J,"SLA")</f>
        <v>0</v>
      </c>
      <c r="Q74" s="55">
        <f>SUMIFS('Disbursements Summary'!$E:$E,'Disbursements Summary'!$C:$C,$C74,'Disbursements Summary'!$A:$A,"SLA")</f>
        <v>0</v>
      </c>
      <c r="R74" s="55">
        <f>SUMIFS('Awards Summary'!$H:$H,'Awards Summary'!$B:$B,$C74,'Awards Summary'!$J:$J,"BPCA")</f>
        <v>0</v>
      </c>
      <c r="S74" s="55">
        <f>SUMIFS('Disbursements Summary'!$E:$E,'Disbursements Summary'!$C:$C,$C74,'Disbursements Summary'!$A:$A,"BPCA")</f>
        <v>0</v>
      </c>
      <c r="T74" s="55">
        <f>SUMIFS('Awards Summary'!$H:$H,'Awards Summary'!$B:$B,$C74,'Awards Summary'!$J:$J,"ELECTIONS")</f>
        <v>0</v>
      </c>
      <c r="U74" s="55">
        <f>SUMIFS('Disbursements Summary'!$E:$E,'Disbursements Summary'!$C:$C,$C74,'Disbursements Summary'!$A:$A,"ELECTIONS")</f>
        <v>0</v>
      </c>
      <c r="V74" s="55">
        <f>SUMIFS('Awards Summary'!$H:$H,'Awards Summary'!$B:$B,$C74,'Awards Summary'!$J:$J,"BFSA")</f>
        <v>0</v>
      </c>
      <c r="W74" s="55">
        <f>SUMIFS('Disbursements Summary'!$E:$E,'Disbursements Summary'!$C:$C,$C74,'Disbursements Summary'!$A:$A,"BFSA")</f>
        <v>0</v>
      </c>
      <c r="X74" s="55">
        <f>SUMIFS('Awards Summary'!$H:$H,'Awards Summary'!$B:$B,$C74,'Awards Summary'!$J:$J,"CDTA")</f>
        <v>0</v>
      </c>
      <c r="Y74" s="55">
        <f>SUMIFS('Disbursements Summary'!$E:$E,'Disbursements Summary'!$C:$C,$C74,'Disbursements Summary'!$A:$A,"CDTA")</f>
        <v>0</v>
      </c>
      <c r="Z74" s="55">
        <f>SUMIFS('Awards Summary'!$H:$H,'Awards Summary'!$B:$B,$C74,'Awards Summary'!$J:$J,"CCWSA")</f>
        <v>0</v>
      </c>
      <c r="AA74" s="55">
        <f>SUMIFS('Disbursements Summary'!$E:$E,'Disbursements Summary'!$C:$C,$C74,'Disbursements Summary'!$A:$A,"CCWSA")</f>
        <v>0</v>
      </c>
      <c r="AB74" s="55">
        <f>SUMIFS('Awards Summary'!$H:$H,'Awards Summary'!$B:$B,$C74,'Awards Summary'!$J:$J,"CNYRTA")</f>
        <v>0</v>
      </c>
      <c r="AC74" s="55">
        <f>SUMIFS('Disbursements Summary'!$E:$E,'Disbursements Summary'!$C:$C,$C74,'Disbursements Summary'!$A:$A,"CNYRTA")</f>
        <v>0</v>
      </c>
      <c r="AD74" s="55">
        <f>SUMIFS('Awards Summary'!$H:$H,'Awards Summary'!$B:$B,$C74,'Awards Summary'!$J:$J,"CUCF")</f>
        <v>0</v>
      </c>
      <c r="AE74" s="55">
        <f>SUMIFS('Disbursements Summary'!$E:$E,'Disbursements Summary'!$C:$C,$C74,'Disbursements Summary'!$A:$A,"CUCF")</f>
        <v>0</v>
      </c>
      <c r="AF74" s="55">
        <f>SUMIFS('Awards Summary'!$H:$H,'Awards Summary'!$B:$B,$C74,'Awards Summary'!$J:$J,"CUNY")</f>
        <v>0</v>
      </c>
      <c r="AG74" s="55">
        <f>SUMIFS('Disbursements Summary'!$E:$E,'Disbursements Summary'!$C:$C,$C74,'Disbursements Summary'!$A:$A,"CUNY")</f>
        <v>0</v>
      </c>
      <c r="AH74" s="55">
        <f>SUMIFS('Awards Summary'!$H:$H,'Awards Summary'!$B:$B,$C74,'Awards Summary'!$J:$J,"ARTS")</f>
        <v>0</v>
      </c>
      <c r="AI74" s="55">
        <f>SUMIFS('Disbursements Summary'!$E:$E,'Disbursements Summary'!$C:$C,$C74,'Disbursements Summary'!$A:$A,"ARTS")</f>
        <v>0</v>
      </c>
      <c r="AJ74" s="55">
        <f>SUMIFS('Awards Summary'!$H:$H,'Awards Summary'!$B:$B,$C74,'Awards Summary'!$J:$J,"AG&amp;MKTS")</f>
        <v>0</v>
      </c>
      <c r="AK74" s="55">
        <f>SUMIFS('Disbursements Summary'!$E:$E,'Disbursements Summary'!$C:$C,$C74,'Disbursements Summary'!$A:$A,"AG&amp;MKTS")</f>
        <v>0</v>
      </c>
      <c r="AL74" s="55">
        <f>SUMIFS('Awards Summary'!$H:$H,'Awards Summary'!$B:$B,$C74,'Awards Summary'!$J:$J,"CS")</f>
        <v>0</v>
      </c>
      <c r="AM74" s="55">
        <f>SUMIFS('Disbursements Summary'!$E:$E,'Disbursements Summary'!$C:$C,$C74,'Disbursements Summary'!$A:$A,"CS")</f>
        <v>0</v>
      </c>
      <c r="AN74" s="55">
        <f>SUMIFS('Awards Summary'!$H:$H,'Awards Summary'!$B:$B,$C74,'Awards Summary'!$J:$J,"DOCCS")</f>
        <v>0</v>
      </c>
      <c r="AO74" s="55">
        <f>SUMIFS('Disbursements Summary'!$E:$E,'Disbursements Summary'!$C:$C,$C74,'Disbursements Summary'!$A:$A,"DOCCS")</f>
        <v>0</v>
      </c>
      <c r="AP74" s="55">
        <f>SUMIFS('Awards Summary'!$H:$H,'Awards Summary'!$B:$B,$C74,'Awards Summary'!$J:$J,"DED")</f>
        <v>0</v>
      </c>
      <c r="AQ74" s="55">
        <f>SUMIFS('Disbursements Summary'!$E:$E,'Disbursements Summary'!$C:$C,$C74,'Disbursements Summary'!$A:$A,"DED")</f>
        <v>0</v>
      </c>
      <c r="AR74" s="55">
        <f>SUMIFS('Awards Summary'!$H:$H,'Awards Summary'!$B:$B,$C74,'Awards Summary'!$J:$J,"DEC")</f>
        <v>0</v>
      </c>
      <c r="AS74" s="55">
        <f>SUMIFS('Disbursements Summary'!$E:$E,'Disbursements Summary'!$C:$C,$C74,'Disbursements Summary'!$A:$A,"DEC")</f>
        <v>0</v>
      </c>
      <c r="AT74" s="55">
        <f>SUMIFS('Awards Summary'!$H:$H,'Awards Summary'!$B:$B,$C74,'Awards Summary'!$J:$J,"DFS")</f>
        <v>0</v>
      </c>
      <c r="AU74" s="55">
        <f>SUMIFS('Disbursements Summary'!$E:$E,'Disbursements Summary'!$C:$C,$C74,'Disbursements Summary'!$A:$A,"DFS")</f>
        <v>0</v>
      </c>
      <c r="AV74" s="55">
        <f>SUMIFS('Awards Summary'!$H:$H,'Awards Summary'!$B:$B,$C74,'Awards Summary'!$J:$J,"DOH")</f>
        <v>0</v>
      </c>
      <c r="AW74" s="55">
        <f>SUMIFS('Disbursements Summary'!$E:$E,'Disbursements Summary'!$C:$C,$C74,'Disbursements Summary'!$A:$A,"DOH")</f>
        <v>0</v>
      </c>
      <c r="AX74" s="55">
        <f>SUMIFS('Awards Summary'!$H:$H,'Awards Summary'!$B:$B,$C74,'Awards Summary'!$J:$J,"DOL")</f>
        <v>0</v>
      </c>
      <c r="AY74" s="55">
        <f>SUMIFS('Disbursements Summary'!$E:$E,'Disbursements Summary'!$C:$C,$C74,'Disbursements Summary'!$A:$A,"DOL")</f>
        <v>0</v>
      </c>
      <c r="AZ74" s="55">
        <f>SUMIFS('Awards Summary'!$H:$H,'Awards Summary'!$B:$B,$C74,'Awards Summary'!$J:$J,"DMV")</f>
        <v>0</v>
      </c>
      <c r="BA74" s="55">
        <f>SUMIFS('Disbursements Summary'!$E:$E,'Disbursements Summary'!$C:$C,$C74,'Disbursements Summary'!$A:$A,"DMV")</f>
        <v>0</v>
      </c>
      <c r="BB74" s="55">
        <f>SUMIFS('Awards Summary'!$H:$H,'Awards Summary'!$B:$B,$C74,'Awards Summary'!$J:$J,"DPS")</f>
        <v>0</v>
      </c>
      <c r="BC74" s="55">
        <f>SUMIFS('Disbursements Summary'!$E:$E,'Disbursements Summary'!$C:$C,$C74,'Disbursements Summary'!$A:$A,"DPS")</f>
        <v>0</v>
      </c>
      <c r="BD74" s="55">
        <f>SUMIFS('Awards Summary'!$H:$H,'Awards Summary'!$B:$B,$C74,'Awards Summary'!$J:$J,"DOS")</f>
        <v>0</v>
      </c>
      <c r="BE74" s="55">
        <f>SUMIFS('Disbursements Summary'!$E:$E,'Disbursements Summary'!$C:$C,$C74,'Disbursements Summary'!$A:$A,"DOS")</f>
        <v>0</v>
      </c>
      <c r="BF74" s="55">
        <f>SUMIFS('Awards Summary'!$H:$H,'Awards Summary'!$B:$B,$C74,'Awards Summary'!$J:$J,"TAX")</f>
        <v>0</v>
      </c>
      <c r="BG74" s="55">
        <f>SUMIFS('Disbursements Summary'!$E:$E,'Disbursements Summary'!$C:$C,$C74,'Disbursements Summary'!$A:$A,"TAX")</f>
        <v>0</v>
      </c>
      <c r="BH74" s="55">
        <f>SUMIFS('Awards Summary'!$H:$H,'Awards Summary'!$B:$B,$C74,'Awards Summary'!$J:$J,"DOT")</f>
        <v>0</v>
      </c>
      <c r="BI74" s="55">
        <f>SUMIFS('Disbursements Summary'!$E:$E,'Disbursements Summary'!$C:$C,$C74,'Disbursements Summary'!$A:$A,"DOT")</f>
        <v>0</v>
      </c>
      <c r="BJ74" s="55">
        <f>SUMIFS('Awards Summary'!$H:$H,'Awards Summary'!$B:$B,$C74,'Awards Summary'!$J:$J,"DANC")</f>
        <v>0</v>
      </c>
      <c r="BK74" s="55">
        <f>SUMIFS('Disbursements Summary'!$E:$E,'Disbursements Summary'!$C:$C,$C74,'Disbursements Summary'!$A:$A,"DANC")</f>
        <v>0</v>
      </c>
      <c r="BL74" s="55">
        <f>SUMIFS('Awards Summary'!$H:$H,'Awards Summary'!$B:$B,$C74,'Awards Summary'!$J:$J,"DOB")</f>
        <v>0</v>
      </c>
      <c r="BM74" s="55">
        <f>SUMIFS('Disbursements Summary'!$E:$E,'Disbursements Summary'!$C:$C,$C74,'Disbursements Summary'!$A:$A,"DOB")</f>
        <v>0</v>
      </c>
      <c r="BN74" s="55">
        <f>SUMIFS('Awards Summary'!$H:$H,'Awards Summary'!$B:$B,$C74,'Awards Summary'!$J:$J,"DCJS")</f>
        <v>0</v>
      </c>
      <c r="BO74" s="55">
        <f>SUMIFS('Disbursements Summary'!$E:$E,'Disbursements Summary'!$C:$C,$C74,'Disbursements Summary'!$A:$A,"DCJS")</f>
        <v>0</v>
      </c>
      <c r="BP74" s="55">
        <f>SUMIFS('Awards Summary'!$H:$H,'Awards Summary'!$B:$B,$C74,'Awards Summary'!$J:$J,"DHSES")</f>
        <v>0</v>
      </c>
      <c r="BQ74" s="55">
        <f>SUMIFS('Disbursements Summary'!$E:$E,'Disbursements Summary'!$C:$C,$C74,'Disbursements Summary'!$A:$A,"DHSES")</f>
        <v>0</v>
      </c>
      <c r="BR74" s="55">
        <f>SUMIFS('Awards Summary'!$H:$H,'Awards Summary'!$B:$B,$C74,'Awards Summary'!$J:$J,"DHR")</f>
        <v>0</v>
      </c>
      <c r="BS74" s="55">
        <f>SUMIFS('Disbursements Summary'!$E:$E,'Disbursements Summary'!$C:$C,$C74,'Disbursements Summary'!$A:$A,"DHR")</f>
        <v>0</v>
      </c>
      <c r="BT74" s="55">
        <f>SUMIFS('Awards Summary'!$H:$H,'Awards Summary'!$B:$B,$C74,'Awards Summary'!$J:$J,"DMNA")</f>
        <v>0</v>
      </c>
      <c r="BU74" s="55">
        <f>SUMIFS('Disbursements Summary'!$E:$E,'Disbursements Summary'!$C:$C,$C74,'Disbursements Summary'!$A:$A,"DMNA")</f>
        <v>0</v>
      </c>
      <c r="BV74" s="55">
        <f>SUMIFS('Awards Summary'!$H:$H,'Awards Summary'!$B:$B,$C74,'Awards Summary'!$J:$J,"TROOPERS")</f>
        <v>0</v>
      </c>
      <c r="BW74" s="55">
        <f>SUMIFS('Disbursements Summary'!$E:$E,'Disbursements Summary'!$C:$C,$C74,'Disbursements Summary'!$A:$A,"TROOPERS")</f>
        <v>0</v>
      </c>
      <c r="BX74" s="55">
        <f>SUMIFS('Awards Summary'!$H:$H,'Awards Summary'!$B:$B,$C74,'Awards Summary'!$J:$J,"DVA")</f>
        <v>0</v>
      </c>
      <c r="BY74" s="55">
        <f>SUMIFS('Disbursements Summary'!$E:$E,'Disbursements Summary'!$C:$C,$C74,'Disbursements Summary'!$A:$A,"DVA")</f>
        <v>0</v>
      </c>
      <c r="BZ74" s="55">
        <f>SUMIFS('Awards Summary'!$H:$H,'Awards Summary'!$B:$B,$C74,'Awards Summary'!$J:$J,"DASNY")</f>
        <v>0</v>
      </c>
      <c r="CA74" s="55">
        <f>SUMIFS('Disbursements Summary'!$E:$E,'Disbursements Summary'!$C:$C,$C74,'Disbursements Summary'!$A:$A,"DASNY")</f>
        <v>0</v>
      </c>
      <c r="CB74" s="55">
        <f>SUMIFS('Awards Summary'!$H:$H,'Awards Summary'!$B:$B,$C74,'Awards Summary'!$J:$J,"EGG")</f>
        <v>0</v>
      </c>
      <c r="CC74" s="55">
        <f>SUMIFS('Disbursements Summary'!$E:$E,'Disbursements Summary'!$C:$C,$C74,'Disbursements Summary'!$A:$A,"EGG")</f>
        <v>0</v>
      </c>
      <c r="CD74" s="55">
        <f>SUMIFS('Awards Summary'!$H:$H,'Awards Summary'!$B:$B,$C74,'Awards Summary'!$J:$J,"ESD")</f>
        <v>0</v>
      </c>
      <c r="CE74" s="55">
        <f>SUMIFS('Disbursements Summary'!$E:$E,'Disbursements Summary'!$C:$C,$C74,'Disbursements Summary'!$A:$A,"ESD")</f>
        <v>0</v>
      </c>
      <c r="CF74" s="55">
        <f>SUMIFS('Awards Summary'!$H:$H,'Awards Summary'!$B:$B,$C74,'Awards Summary'!$J:$J,"EFC")</f>
        <v>0</v>
      </c>
      <c r="CG74" s="55">
        <f>SUMIFS('Disbursements Summary'!$E:$E,'Disbursements Summary'!$C:$C,$C74,'Disbursements Summary'!$A:$A,"EFC")</f>
        <v>0</v>
      </c>
      <c r="CH74" s="55">
        <f>SUMIFS('Awards Summary'!$H:$H,'Awards Summary'!$B:$B,$C74,'Awards Summary'!$J:$J,"ECFSA")</f>
        <v>0</v>
      </c>
      <c r="CI74" s="55">
        <f>SUMIFS('Disbursements Summary'!$E:$E,'Disbursements Summary'!$C:$C,$C74,'Disbursements Summary'!$A:$A,"ECFSA")</f>
        <v>0</v>
      </c>
      <c r="CJ74" s="55">
        <f>SUMIFS('Awards Summary'!$H:$H,'Awards Summary'!$B:$B,$C74,'Awards Summary'!$J:$J,"ECMC")</f>
        <v>0</v>
      </c>
      <c r="CK74" s="55">
        <f>SUMIFS('Disbursements Summary'!$E:$E,'Disbursements Summary'!$C:$C,$C74,'Disbursements Summary'!$A:$A,"ECMC")</f>
        <v>0</v>
      </c>
      <c r="CL74" s="55">
        <f>SUMIFS('Awards Summary'!$H:$H,'Awards Summary'!$B:$B,$C74,'Awards Summary'!$J:$J,"CHAMBER")</f>
        <v>0</v>
      </c>
      <c r="CM74" s="55">
        <f>SUMIFS('Disbursements Summary'!$E:$E,'Disbursements Summary'!$C:$C,$C74,'Disbursements Summary'!$A:$A,"CHAMBER")</f>
        <v>0</v>
      </c>
      <c r="CN74" s="55">
        <f>SUMIFS('Awards Summary'!$H:$H,'Awards Summary'!$B:$B,$C74,'Awards Summary'!$J:$J,"GAMING")</f>
        <v>0</v>
      </c>
      <c r="CO74" s="55">
        <f>SUMIFS('Disbursements Summary'!$E:$E,'Disbursements Summary'!$C:$C,$C74,'Disbursements Summary'!$A:$A,"GAMING")</f>
        <v>0</v>
      </c>
      <c r="CP74" s="55">
        <f>SUMIFS('Awards Summary'!$H:$H,'Awards Summary'!$B:$B,$C74,'Awards Summary'!$J:$J,"GOER")</f>
        <v>0</v>
      </c>
      <c r="CQ74" s="55">
        <f>SUMIFS('Disbursements Summary'!$E:$E,'Disbursements Summary'!$C:$C,$C74,'Disbursements Summary'!$A:$A,"GOER")</f>
        <v>0</v>
      </c>
      <c r="CR74" s="55">
        <f>SUMIFS('Awards Summary'!$H:$H,'Awards Summary'!$B:$B,$C74,'Awards Summary'!$J:$J,"HESC")</f>
        <v>0</v>
      </c>
      <c r="CS74" s="55">
        <f>SUMIFS('Disbursements Summary'!$E:$E,'Disbursements Summary'!$C:$C,$C74,'Disbursements Summary'!$A:$A,"HESC")</f>
        <v>0</v>
      </c>
      <c r="CT74" s="55">
        <f>SUMIFS('Awards Summary'!$H:$H,'Awards Summary'!$B:$B,$C74,'Awards Summary'!$J:$J,"GOSR")</f>
        <v>0</v>
      </c>
      <c r="CU74" s="55">
        <f>SUMIFS('Disbursements Summary'!$E:$E,'Disbursements Summary'!$C:$C,$C74,'Disbursements Summary'!$A:$A,"GOSR")</f>
        <v>0</v>
      </c>
      <c r="CV74" s="55">
        <f>SUMIFS('Awards Summary'!$H:$H,'Awards Summary'!$B:$B,$C74,'Awards Summary'!$J:$J,"HRPT")</f>
        <v>0</v>
      </c>
      <c r="CW74" s="55">
        <f>SUMIFS('Disbursements Summary'!$E:$E,'Disbursements Summary'!$C:$C,$C74,'Disbursements Summary'!$A:$A,"HRPT")</f>
        <v>0</v>
      </c>
      <c r="CX74" s="55">
        <f>SUMIFS('Awards Summary'!$H:$H,'Awards Summary'!$B:$B,$C74,'Awards Summary'!$J:$J,"HRBRRD")</f>
        <v>0</v>
      </c>
      <c r="CY74" s="55">
        <f>SUMIFS('Disbursements Summary'!$E:$E,'Disbursements Summary'!$C:$C,$C74,'Disbursements Summary'!$A:$A,"HRBRRD")</f>
        <v>0</v>
      </c>
      <c r="CZ74" s="55">
        <f>SUMIFS('Awards Summary'!$H:$H,'Awards Summary'!$B:$B,$C74,'Awards Summary'!$J:$J,"ITS")</f>
        <v>0</v>
      </c>
      <c r="DA74" s="55">
        <f>SUMIFS('Disbursements Summary'!$E:$E,'Disbursements Summary'!$C:$C,$C74,'Disbursements Summary'!$A:$A,"ITS")</f>
        <v>0</v>
      </c>
      <c r="DB74" s="55">
        <f>SUMIFS('Awards Summary'!$H:$H,'Awards Summary'!$B:$B,$C74,'Awards Summary'!$J:$J,"JAVITS")</f>
        <v>0</v>
      </c>
      <c r="DC74" s="55">
        <f>SUMIFS('Disbursements Summary'!$E:$E,'Disbursements Summary'!$C:$C,$C74,'Disbursements Summary'!$A:$A,"JAVITS")</f>
        <v>0</v>
      </c>
      <c r="DD74" s="55">
        <f>SUMIFS('Awards Summary'!$H:$H,'Awards Summary'!$B:$B,$C74,'Awards Summary'!$J:$J,"JCOPE")</f>
        <v>0</v>
      </c>
      <c r="DE74" s="55">
        <f>SUMIFS('Disbursements Summary'!$E:$E,'Disbursements Summary'!$C:$C,$C74,'Disbursements Summary'!$A:$A,"JCOPE")</f>
        <v>0</v>
      </c>
      <c r="DF74" s="55">
        <f>SUMIFS('Awards Summary'!$H:$H,'Awards Summary'!$B:$B,$C74,'Awards Summary'!$J:$J,"JUSTICE")</f>
        <v>0</v>
      </c>
      <c r="DG74" s="55">
        <f>SUMIFS('Disbursements Summary'!$E:$E,'Disbursements Summary'!$C:$C,$C74,'Disbursements Summary'!$A:$A,"JUSTICE")</f>
        <v>0</v>
      </c>
      <c r="DH74" s="55">
        <f>SUMIFS('Awards Summary'!$H:$H,'Awards Summary'!$B:$B,$C74,'Awards Summary'!$J:$J,"LCWSA")</f>
        <v>0</v>
      </c>
      <c r="DI74" s="55">
        <f>SUMIFS('Disbursements Summary'!$E:$E,'Disbursements Summary'!$C:$C,$C74,'Disbursements Summary'!$A:$A,"LCWSA")</f>
        <v>0</v>
      </c>
      <c r="DJ74" s="55">
        <f>SUMIFS('Awards Summary'!$H:$H,'Awards Summary'!$B:$B,$C74,'Awards Summary'!$J:$J,"LIPA")</f>
        <v>0</v>
      </c>
      <c r="DK74" s="55">
        <f>SUMIFS('Disbursements Summary'!$E:$E,'Disbursements Summary'!$C:$C,$C74,'Disbursements Summary'!$A:$A,"LIPA")</f>
        <v>0</v>
      </c>
      <c r="DL74" s="55">
        <f>SUMIFS('Awards Summary'!$H:$H,'Awards Summary'!$B:$B,$C74,'Awards Summary'!$J:$J,"MTA")</f>
        <v>0</v>
      </c>
      <c r="DM74" s="55">
        <f>SUMIFS('Disbursements Summary'!$E:$E,'Disbursements Summary'!$C:$C,$C74,'Disbursements Summary'!$A:$A,"MTA")</f>
        <v>0</v>
      </c>
      <c r="DN74" s="55">
        <f>SUMIFS('Awards Summary'!$H:$H,'Awards Summary'!$B:$B,$C74,'Awards Summary'!$J:$J,"NIFA")</f>
        <v>0</v>
      </c>
      <c r="DO74" s="55">
        <f>SUMIFS('Disbursements Summary'!$E:$E,'Disbursements Summary'!$C:$C,$C74,'Disbursements Summary'!$A:$A,"NIFA")</f>
        <v>0</v>
      </c>
      <c r="DP74" s="55">
        <f>SUMIFS('Awards Summary'!$H:$H,'Awards Summary'!$B:$B,$C74,'Awards Summary'!$J:$J,"NHCC")</f>
        <v>0</v>
      </c>
      <c r="DQ74" s="55">
        <f>SUMIFS('Disbursements Summary'!$E:$E,'Disbursements Summary'!$C:$C,$C74,'Disbursements Summary'!$A:$A,"NHCC")</f>
        <v>0</v>
      </c>
      <c r="DR74" s="55">
        <f>SUMIFS('Awards Summary'!$H:$H,'Awards Summary'!$B:$B,$C74,'Awards Summary'!$J:$J,"NHT")</f>
        <v>0</v>
      </c>
      <c r="DS74" s="55">
        <f>SUMIFS('Disbursements Summary'!$E:$E,'Disbursements Summary'!$C:$C,$C74,'Disbursements Summary'!$A:$A,"NHT")</f>
        <v>0</v>
      </c>
      <c r="DT74" s="55">
        <f>SUMIFS('Awards Summary'!$H:$H,'Awards Summary'!$B:$B,$C74,'Awards Summary'!$J:$J,"NYPA")</f>
        <v>0</v>
      </c>
      <c r="DU74" s="55">
        <f>SUMIFS('Disbursements Summary'!$E:$E,'Disbursements Summary'!$C:$C,$C74,'Disbursements Summary'!$A:$A,"NYPA")</f>
        <v>0</v>
      </c>
      <c r="DV74" s="55">
        <f>SUMIFS('Awards Summary'!$H:$H,'Awards Summary'!$B:$B,$C74,'Awards Summary'!$J:$J,"NYSBA")</f>
        <v>0</v>
      </c>
      <c r="DW74" s="55">
        <f>SUMIFS('Disbursements Summary'!$E:$E,'Disbursements Summary'!$C:$C,$C74,'Disbursements Summary'!$A:$A,"NYSBA")</f>
        <v>0</v>
      </c>
      <c r="DX74" s="55">
        <f>SUMIFS('Awards Summary'!$H:$H,'Awards Summary'!$B:$B,$C74,'Awards Summary'!$J:$J,"NYSERDA")</f>
        <v>0</v>
      </c>
      <c r="DY74" s="55">
        <f>SUMIFS('Disbursements Summary'!$E:$E,'Disbursements Summary'!$C:$C,$C74,'Disbursements Summary'!$A:$A,"NYSERDA")</f>
        <v>0</v>
      </c>
      <c r="DZ74" s="55">
        <f>SUMIFS('Awards Summary'!$H:$H,'Awards Summary'!$B:$B,$C74,'Awards Summary'!$J:$J,"DHCR")</f>
        <v>0</v>
      </c>
      <c r="EA74" s="55">
        <f>SUMIFS('Disbursements Summary'!$E:$E,'Disbursements Summary'!$C:$C,$C74,'Disbursements Summary'!$A:$A,"DHCR")</f>
        <v>0</v>
      </c>
      <c r="EB74" s="55">
        <f>SUMIFS('Awards Summary'!$H:$H,'Awards Summary'!$B:$B,$C74,'Awards Summary'!$J:$J,"HFA")</f>
        <v>0</v>
      </c>
      <c r="EC74" s="55">
        <f>SUMIFS('Disbursements Summary'!$E:$E,'Disbursements Summary'!$C:$C,$C74,'Disbursements Summary'!$A:$A,"HFA")</f>
        <v>0</v>
      </c>
      <c r="ED74" s="55">
        <f>SUMIFS('Awards Summary'!$H:$H,'Awards Summary'!$B:$B,$C74,'Awards Summary'!$J:$J,"NYSIF")</f>
        <v>0</v>
      </c>
      <c r="EE74" s="55">
        <f>SUMIFS('Disbursements Summary'!$E:$E,'Disbursements Summary'!$C:$C,$C74,'Disbursements Summary'!$A:$A,"NYSIF")</f>
        <v>0</v>
      </c>
      <c r="EF74" s="55">
        <f>SUMIFS('Awards Summary'!$H:$H,'Awards Summary'!$B:$B,$C74,'Awards Summary'!$J:$J,"NYBREDS")</f>
        <v>0</v>
      </c>
      <c r="EG74" s="55">
        <f>SUMIFS('Disbursements Summary'!$E:$E,'Disbursements Summary'!$C:$C,$C74,'Disbursements Summary'!$A:$A,"NYBREDS")</f>
        <v>0</v>
      </c>
      <c r="EH74" s="55">
        <f>SUMIFS('Awards Summary'!$H:$H,'Awards Summary'!$B:$B,$C74,'Awards Summary'!$J:$J,"NYSTA")</f>
        <v>0</v>
      </c>
      <c r="EI74" s="55">
        <f>SUMIFS('Disbursements Summary'!$E:$E,'Disbursements Summary'!$C:$C,$C74,'Disbursements Summary'!$A:$A,"NYSTA")</f>
        <v>0</v>
      </c>
      <c r="EJ74" s="55">
        <f>SUMIFS('Awards Summary'!$H:$H,'Awards Summary'!$B:$B,$C74,'Awards Summary'!$J:$J,"NFWB")</f>
        <v>0</v>
      </c>
      <c r="EK74" s="55">
        <f>SUMIFS('Disbursements Summary'!$E:$E,'Disbursements Summary'!$C:$C,$C74,'Disbursements Summary'!$A:$A,"NFWB")</f>
        <v>0</v>
      </c>
      <c r="EL74" s="55">
        <f>SUMIFS('Awards Summary'!$H:$H,'Awards Summary'!$B:$B,$C74,'Awards Summary'!$J:$J,"NFTA")</f>
        <v>0</v>
      </c>
      <c r="EM74" s="55">
        <f>SUMIFS('Disbursements Summary'!$E:$E,'Disbursements Summary'!$C:$C,$C74,'Disbursements Summary'!$A:$A,"NFTA")</f>
        <v>0</v>
      </c>
      <c r="EN74" s="55">
        <f>SUMIFS('Awards Summary'!$H:$H,'Awards Summary'!$B:$B,$C74,'Awards Summary'!$J:$J,"OPWDD")</f>
        <v>0</v>
      </c>
      <c r="EO74" s="55">
        <f>SUMIFS('Disbursements Summary'!$E:$E,'Disbursements Summary'!$C:$C,$C74,'Disbursements Summary'!$A:$A,"OPWDD")</f>
        <v>0</v>
      </c>
      <c r="EP74" s="55">
        <f>SUMIFS('Awards Summary'!$H:$H,'Awards Summary'!$B:$B,$C74,'Awards Summary'!$J:$J,"AGING")</f>
        <v>0</v>
      </c>
      <c r="EQ74" s="55">
        <f>SUMIFS('Disbursements Summary'!$E:$E,'Disbursements Summary'!$C:$C,$C74,'Disbursements Summary'!$A:$A,"AGING")</f>
        <v>0</v>
      </c>
      <c r="ER74" s="55">
        <f>SUMIFS('Awards Summary'!$H:$H,'Awards Summary'!$B:$B,$C74,'Awards Summary'!$J:$J,"OPDV")</f>
        <v>0</v>
      </c>
      <c r="ES74" s="55">
        <f>SUMIFS('Disbursements Summary'!$E:$E,'Disbursements Summary'!$C:$C,$C74,'Disbursements Summary'!$A:$A,"OPDV")</f>
        <v>0</v>
      </c>
      <c r="ET74" s="55">
        <f>SUMIFS('Awards Summary'!$H:$H,'Awards Summary'!$B:$B,$C74,'Awards Summary'!$J:$J,"OVS")</f>
        <v>0</v>
      </c>
      <c r="EU74" s="55">
        <f>SUMIFS('Disbursements Summary'!$E:$E,'Disbursements Summary'!$C:$C,$C74,'Disbursements Summary'!$A:$A,"OVS")</f>
        <v>0</v>
      </c>
      <c r="EV74" s="55">
        <f>SUMIFS('Awards Summary'!$H:$H,'Awards Summary'!$B:$B,$C74,'Awards Summary'!$J:$J,"OASAS")</f>
        <v>0</v>
      </c>
      <c r="EW74" s="55">
        <f>SUMIFS('Disbursements Summary'!$E:$E,'Disbursements Summary'!$C:$C,$C74,'Disbursements Summary'!$A:$A,"OASAS")</f>
        <v>0</v>
      </c>
      <c r="EX74" s="55">
        <f>SUMIFS('Awards Summary'!$H:$H,'Awards Summary'!$B:$B,$C74,'Awards Summary'!$J:$J,"OCFS")</f>
        <v>0</v>
      </c>
      <c r="EY74" s="55">
        <f>SUMIFS('Disbursements Summary'!$E:$E,'Disbursements Summary'!$C:$C,$C74,'Disbursements Summary'!$A:$A,"OCFS")</f>
        <v>0</v>
      </c>
      <c r="EZ74" s="55">
        <f>SUMIFS('Awards Summary'!$H:$H,'Awards Summary'!$B:$B,$C74,'Awards Summary'!$J:$J,"OGS")</f>
        <v>0</v>
      </c>
      <c r="FA74" s="55">
        <f>SUMIFS('Disbursements Summary'!$E:$E,'Disbursements Summary'!$C:$C,$C74,'Disbursements Summary'!$A:$A,"OGS")</f>
        <v>0</v>
      </c>
      <c r="FB74" s="55">
        <f>SUMIFS('Awards Summary'!$H:$H,'Awards Summary'!$B:$B,$C74,'Awards Summary'!$J:$J,"OMH")</f>
        <v>0</v>
      </c>
      <c r="FC74" s="55">
        <f>SUMIFS('Disbursements Summary'!$E:$E,'Disbursements Summary'!$C:$C,$C74,'Disbursements Summary'!$A:$A,"OMH")</f>
        <v>0</v>
      </c>
      <c r="FD74" s="55">
        <f>SUMIFS('Awards Summary'!$H:$H,'Awards Summary'!$B:$B,$C74,'Awards Summary'!$J:$J,"PARKS")</f>
        <v>0</v>
      </c>
      <c r="FE74" s="55">
        <f>SUMIFS('Disbursements Summary'!$E:$E,'Disbursements Summary'!$C:$C,$C74,'Disbursements Summary'!$A:$A,"PARKS")</f>
        <v>0</v>
      </c>
      <c r="FF74" s="55">
        <f>SUMIFS('Awards Summary'!$H:$H,'Awards Summary'!$B:$B,$C74,'Awards Summary'!$J:$J,"OTDA")</f>
        <v>0</v>
      </c>
      <c r="FG74" s="55">
        <f>SUMIFS('Disbursements Summary'!$E:$E,'Disbursements Summary'!$C:$C,$C74,'Disbursements Summary'!$A:$A,"OTDA")</f>
        <v>0</v>
      </c>
      <c r="FH74" s="55">
        <f>SUMIFS('Awards Summary'!$H:$H,'Awards Summary'!$B:$B,$C74,'Awards Summary'!$J:$J,"OIG")</f>
        <v>0</v>
      </c>
      <c r="FI74" s="55">
        <f>SUMIFS('Disbursements Summary'!$E:$E,'Disbursements Summary'!$C:$C,$C74,'Disbursements Summary'!$A:$A,"OIG")</f>
        <v>0</v>
      </c>
      <c r="FJ74" s="55">
        <f>SUMIFS('Awards Summary'!$H:$H,'Awards Summary'!$B:$B,$C74,'Awards Summary'!$J:$J,"OMIG")</f>
        <v>0</v>
      </c>
      <c r="FK74" s="55">
        <f>SUMIFS('Disbursements Summary'!$E:$E,'Disbursements Summary'!$C:$C,$C74,'Disbursements Summary'!$A:$A,"OMIG")</f>
        <v>0</v>
      </c>
      <c r="FL74" s="55">
        <f>SUMIFS('Awards Summary'!$H:$H,'Awards Summary'!$B:$B,$C74,'Awards Summary'!$J:$J,"OSC")</f>
        <v>0</v>
      </c>
      <c r="FM74" s="55">
        <f>SUMIFS('Disbursements Summary'!$E:$E,'Disbursements Summary'!$C:$C,$C74,'Disbursements Summary'!$A:$A,"OSC")</f>
        <v>0</v>
      </c>
      <c r="FN74" s="55">
        <f>SUMIFS('Awards Summary'!$H:$H,'Awards Summary'!$B:$B,$C74,'Awards Summary'!$J:$J,"OWIG")</f>
        <v>0</v>
      </c>
      <c r="FO74" s="55">
        <f>SUMIFS('Disbursements Summary'!$E:$E,'Disbursements Summary'!$C:$C,$C74,'Disbursements Summary'!$A:$A,"OWIG")</f>
        <v>0</v>
      </c>
      <c r="FP74" s="55">
        <f>SUMIFS('Awards Summary'!$H:$H,'Awards Summary'!$B:$B,$C74,'Awards Summary'!$J:$J,"OGDEN")</f>
        <v>0</v>
      </c>
      <c r="FQ74" s="55">
        <f>SUMIFS('Disbursements Summary'!$E:$E,'Disbursements Summary'!$C:$C,$C74,'Disbursements Summary'!$A:$A,"OGDEN")</f>
        <v>0</v>
      </c>
      <c r="FR74" s="55">
        <f>SUMIFS('Awards Summary'!$H:$H,'Awards Summary'!$B:$B,$C74,'Awards Summary'!$J:$J,"ORDA")</f>
        <v>0</v>
      </c>
      <c r="FS74" s="55">
        <f>SUMIFS('Disbursements Summary'!$E:$E,'Disbursements Summary'!$C:$C,$C74,'Disbursements Summary'!$A:$A,"ORDA")</f>
        <v>0</v>
      </c>
      <c r="FT74" s="55">
        <f>SUMIFS('Awards Summary'!$H:$H,'Awards Summary'!$B:$B,$C74,'Awards Summary'!$J:$J,"OSWEGO")</f>
        <v>0</v>
      </c>
      <c r="FU74" s="55">
        <f>SUMIFS('Disbursements Summary'!$E:$E,'Disbursements Summary'!$C:$C,$C74,'Disbursements Summary'!$A:$A,"OSWEGO")</f>
        <v>0</v>
      </c>
      <c r="FV74" s="55">
        <f>SUMIFS('Awards Summary'!$H:$H,'Awards Summary'!$B:$B,$C74,'Awards Summary'!$J:$J,"PERB")</f>
        <v>0</v>
      </c>
      <c r="FW74" s="55">
        <f>SUMIFS('Disbursements Summary'!$E:$E,'Disbursements Summary'!$C:$C,$C74,'Disbursements Summary'!$A:$A,"PERB")</f>
        <v>0</v>
      </c>
      <c r="FX74" s="55">
        <f>SUMIFS('Awards Summary'!$H:$H,'Awards Summary'!$B:$B,$C74,'Awards Summary'!$J:$J,"RGRTA")</f>
        <v>0</v>
      </c>
      <c r="FY74" s="55">
        <f>SUMIFS('Disbursements Summary'!$E:$E,'Disbursements Summary'!$C:$C,$C74,'Disbursements Summary'!$A:$A,"RGRTA")</f>
        <v>0</v>
      </c>
      <c r="FZ74" s="55">
        <f>SUMIFS('Awards Summary'!$H:$H,'Awards Summary'!$B:$B,$C74,'Awards Summary'!$J:$J,"RIOC")</f>
        <v>0</v>
      </c>
      <c r="GA74" s="55">
        <f>SUMIFS('Disbursements Summary'!$E:$E,'Disbursements Summary'!$C:$C,$C74,'Disbursements Summary'!$A:$A,"RIOC")</f>
        <v>0</v>
      </c>
      <c r="GB74" s="55">
        <f>SUMIFS('Awards Summary'!$H:$H,'Awards Summary'!$B:$B,$C74,'Awards Summary'!$J:$J,"RPCI")</f>
        <v>0</v>
      </c>
      <c r="GC74" s="55">
        <f>SUMIFS('Disbursements Summary'!$E:$E,'Disbursements Summary'!$C:$C,$C74,'Disbursements Summary'!$A:$A,"RPCI")</f>
        <v>0</v>
      </c>
      <c r="GD74" s="55">
        <f>SUMIFS('Awards Summary'!$H:$H,'Awards Summary'!$B:$B,$C74,'Awards Summary'!$J:$J,"SMDA")</f>
        <v>0</v>
      </c>
      <c r="GE74" s="55">
        <f>SUMIFS('Disbursements Summary'!$E:$E,'Disbursements Summary'!$C:$C,$C74,'Disbursements Summary'!$A:$A,"SMDA")</f>
        <v>0</v>
      </c>
      <c r="GF74" s="55">
        <f>SUMIFS('Awards Summary'!$H:$H,'Awards Summary'!$B:$B,$C74,'Awards Summary'!$J:$J,"SCOC")</f>
        <v>0</v>
      </c>
      <c r="GG74" s="55">
        <f>SUMIFS('Disbursements Summary'!$E:$E,'Disbursements Summary'!$C:$C,$C74,'Disbursements Summary'!$A:$A,"SCOC")</f>
        <v>0</v>
      </c>
      <c r="GH74" s="55">
        <f>SUMIFS('Awards Summary'!$H:$H,'Awards Summary'!$B:$B,$C74,'Awards Summary'!$J:$J,"SUCF")</f>
        <v>0</v>
      </c>
      <c r="GI74" s="55">
        <f>SUMIFS('Disbursements Summary'!$E:$E,'Disbursements Summary'!$C:$C,$C74,'Disbursements Summary'!$A:$A,"SUCF")</f>
        <v>0</v>
      </c>
      <c r="GJ74" s="55">
        <f>SUMIFS('Awards Summary'!$H:$H,'Awards Summary'!$B:$B,$C74,'Awards Summary'!$J:$J,"SUNY")</f>
        <v>0</v>
      </c>
      <c r="GK74" s="55">
        <f>SUMIFS('Disbursements Summary'!$E:$E,'Disbursements Summary'!$C:$C,$C74,'Disbursements Summary'!$A:$A,"SUNY")</f>
        <v>0</v>
      </c>
      <c r="GL74" s="55">
        <f>SUMIFS('Awards Summary'!$H:$H,'Awards Summary'!$B:$B,$C74,'Awards Summary'!$J:$J,"SRAA")</f>
        <v>0</v>
      </c>
      <c r="GM74" s="55">
        <f>SUMIFS('Disbursements Summary'!$E:$E,'Disbursements Summary'!$C:$C,$C74,'Disbursements Summary'!$A:$A,"SRAA")</f>
        <v>0</v>
      </c>
      <c r="GN74" s="55">
        <f>SUMIFS('Awards Summary'!$H:$H,'Awards Summary'!$B:$B,$C74,'Awards Summary'!$J:$J,"UNDC")</f>
        <v>0</v>
      </c>
      <c r="GO74" s="55">
        <f>SUMIFS('Disbursements Summary'!$E:$E,'Disbursements Summary'!$C:$C,$C74,'Disbursements Summary'!$A:$A,"UNDC")</f>
        <v>0</v>
      </c>
      <c r="GP74" s="55">
        <f>SUMIFS('Awards Summary'!$H:$H,'Awards Summary'!$B:$B,$C74,'Awards Summary'!$J:$J,"MVWA")</f>
        <v>0</v>
      </c>
      <c r="GQ74" s="55">
        <f>SUMIFS('Disbursements Summary'!$E:$E,'Disbursements Summary'!$C:$C,$C74,'Disbursements Summary'!$A:$A,"MVWA")</f>
        <v>0</v>
      </c>
      <c r="GR74" s="55">
        <f>SUMIFS('Awards Summary'!$H:$H,'Awards Summary'!$B:$B,$C74,'Awards Summary'!$J:$J,"WMC")</f>
        <v>0</v>
      </c>
      <c r="GS74" s="55">
        <f>SUMIFS('Disbursements Summary'!$E:$E,'Disbursements Summary'!$C:$C,$C74,'Disbursements Summary'!$A:$A,"WMC")</f>
        <v>0</v>
      </c>
      <c r="GT74" s="55">
        <f>SUMIFS('Awards Summary'!$H:$H,'Awards Summary'!$B:$B,$C74,'Awards Summary'!$J:$J,"WCB")</f>
        <v>0</v>
      </c>
      <c r="GU74" s="55">
        <f>SUMIFS('Disbursements Summary'!$E:$E,'Disbursements Summary'!$C:$C,$C74,'Disbursements Summary'!$A:$A,"WCB")</f>
        <v>0</v>
      </c>
      <c r="GV74" s="32">
        <f t="shared" si="5"/>
        <v>0</v>
      </c>
      <c r="GW74" s="32">
        <f t="shared" si="6"/>
        <v>0</v>
      </c>
      <c r="GX74" s="30" t="b">
        <f t="shared" si="7"/>
        <v>1</v>
      </c>
      <c r="GY74" s="30" t="b">
        <f t="shared" si="8"/>
        <v>1</v>
      </c>
    </row>
    <row r="75" spans="1:207" s="30" customFormat="1">
      <c r="A75" s="22" t="str">
        <f t="shared" si="9"/>
        <v/>
      </c>
      <c r="B75" s="40" t="s">
        <v>72</v>
      </c>
      <c r="C75" s="16">
        <v>151153</v>
      </c>
      <c r="D75" s="26">
        <f>COUNTIF('Awards Summary'!B:B,"151153")</f>
        <v>0</v>
      </c>
      <c r="E75" s="45">
        <f>SUMIFS('Awards Summary'!H:H,'Awards Summary'!B:B,"151153")</f>
        <v>0</v>
      </c>
      <c r="F75" s="46">
        <f>SUMIFS('Disbursements Summary'!E:E,'Disbursements Summary'!C:C, "151153")</f>
        <v>0</v>
      </c>
      <c r="H75" s="55">
        <f>SUMIFS('Awards Summary'!$H:$H,'Awards Summary'!$B:$B,$C75,'Awards Summary'!$J:$J,"APA")</f>
        <v>0</v>
      </c>
      <c r="I75" s="55">
        <f>SUMIFS('Disbursements Summary'!$E:$E,'Disbursements Summary'!$C:$C,$C75,'Disbursements Summary'!$A:$A,"APA")</f>
        <v>0</v>
      </c>
      <c r="J75" s="55">
        <f>SUMIFS('Awards Summary'!$H:$H,'Awards Summary'!$B:$B,$C75,'Awards Summary'!$J:$J,"Ag&amp;Horse")</f>
        <v>0</v>
      </c>
      <c r="K75" s="55">
        <f>SUMIFS('Disbursements Summary'!$E:$E,'Disbursements Summary'!$C:$C,$C75,'Disbursements Summary'!$A:$A,"Ag&amp;Horse")</f>
        <v>0</v>
      </c>
      <c r="L75" s="55">
        <f>SUMIFS('Awards Summary'!$H:$H,'Awards Summary'!$B:$B,$C75,'Awards Summary'!$J:$J,"ACAA")</f>
        <v>0</v>
      </c>
      <c r="M75" s="55">
        <f>SUMIFS('Disbursements Summary'!$E:$E,'Disbursements Summary'!$C:$C,$C75,'Disbursements Summary'!$A:$A,"ACAA")</f>
        <v>0</v>
      </c>
      <c r="N75" s="55">
        <f>SUMIFS('Awards Summary'!$H:$H,'Awards Summary'!$B:$B,$C75,'Awards Summary'!$J:$J,"PortAlbany")</f>
        <v>0</v>
      </c>
      <c r="O75" s="55">
        <f>SUMIFS('Disbursements Summary'!$E:$E,'Disbursements Summary'!$C:$C,$C75,'Disbursements Summary'!$A:$A,"PortAlbany")</f>
        <v>0</v>
      </c>
      <c r="P75" s="55">
        <f>SUMIFS('Awards Summary'!$H:$H,'Awards Summary'!$B:$B,$C75,'Awards Summary'!$J:$J,"SLA")</f>
        <v>0</v>
      </c>
      <c r="Q75" s="55">
        <f>SUMIFS('Disbursements Summary'!$E:$E,'Disbursements Summary'!$C:$C,$C75,'Disbursements Summary'!$A:$A,"SLA")</f>
        <v>0</v>
      </c>
      <c r="R75" s="55">
        <f>SUMIFS('Awards Summary'!$H:$H,'Awards Summary'!$B:$B,$C75,'Awards Summary'!$J:$J,"BPCA")</f>
        <v>0</v>
      </c>
      <c r="S75" s="55">
        <f>SUMIFS('Disbursements Summary'!$E:$E,'Disbursements Summary'!$C:$C,$C75,'Disbursements Summary'!$A:$A,"BPCA")</f>
        <v>0</v>
      </c>
      <c r="T75" s="55">
        <f>SUMIFS('Awards Summary'!$H:$H,'Awards Summary'!$B:$B,$C75,'Awards Summary'!$J:$J,"ELECTIONS")</f>
        <v>0</v>
      </c>
      <c r="U75" s="55">
        <f>SUMIFS('Disbursements Summary'!$E:$E,'Disbursements Summary'!$C:$C,$C75,'Disbursements Summary'!$A:$A,"ELECTIONS")</f>
        <v>0</v>
      </c>
      <c r="V75" s="55">
        <f>SUMIFS('Awards Summary'!$H:$H,'Awards Summary'!$B:$B,$C75,'Awards Summary'!$J:$J,"BFSA")</f>
        <v>0</v>
      </c>
      <c r="W75" s="55">
        <f>SUMIFS('Disbursements Summary'!$E:$E,'Disbursements Summary'!$C:$C,$C75,'Disbursements Summary'!$A:$A,"BFSA")</f>
        <v>0</v>
      </c>
      <c r="X75" s="55">
        <f>SUMIFS('Awards Summary'!$H:$H,'Awards Summary'!$B:$B,$C75,'Awards Summary'!$J:$J,"CDTA")</f>
        <v>0</v>
      </c>
      <c r="Y75" s="55">
        <f>SUMIFS('Disbursements Summary'!$E:$E,'Disbursements Summary'!$C:$C,$C75,'Disbursements Summary'!$A:$A,"CDTA")</f>
        <v>0</v>
      </c>
      <c r="Z75" s="55">
        <f>SUMIFS('Awards Summary'!$H:$H,'Awards Summary'!$B:$B,$C75,'Awards Summary'!$J:$J,"CCWSA")</f>
        <v>0</v>
      </c>
      <c r="AA75" s="55">
        <f>SUMIFS('Disbursements Summary'!$E:$E,'Disbursements Summary'!$C:$C,$C75,'Disbursements Summary'!$A:$A,"CCWSA")</f>
        <v>0</v>
      </c>
      <c r="AB75" s="55">
        <f>SUMIFS('Awards Summary'!$H:$H,'Awards Summary'!$B:$B,$C75,'Awards Summary'!$J:$J,"CNYRTA")</f>
        <v>0</v>
      </c>
      <c r="AC75" s="55">
        <f>SUMIFS('Disbursements Summary'!$E:$E,'Disbursements Summary'!$C:$C,$C75,'Disbursements Summary'!$A:$A,"CNYRTA")</f>
        <v>0</v>
      </c>
      <c r="AD75" s="55">
        <f>SUMIFS('Awards Summary'!$H:$H,'Awards Summary'!$B:$B,$C75,'Awards Summary'!$J:$J,"CUCF")</f>
        <v>0</v>
      </c>
      <c r="AE75" s="55">
        <f>SUMIFS('Disbursements Summary'!$E:$E,'Disbursements Summary'!$C:$C,$C75,'Disbursements Summary'!$A:$A,"CUCF")</f>
        <v>0</v>
      </c>
      <c r="AF75" s="55">
        <f>SUMIFS('Awards Summary'!$H:$H,'Awards Summary'!$B:$B,$C75,'Awards Summary'!$J:$J,"CUNY")</f>
        <v>0</v>
      </c>
      <c r="AG75" s="55">
        <f>SUMIFS('Disbursements Summary'!$E:$E,'Disbursements Summary'!$C:$C,$C75,'Disbursements Summary'!$A:$A,"CUNY")</f>
        <v>0</v>
      </c>
      <c r="AH75" s="55">
        <f>SUMIFS('Awards Summary'!$H:$H,'Awards Summary'!$B:$B,$C75,'Awards Summary'!$J:$J,"ARTS")</f>
        <v>0</v>
      </c>
      <c r="AI75" s="55">
        <f>SUMIFS('Disbursements Summary'!$E:$E,'Disbursements Summary'!$C:$C,$C75,'Disbursements Summary'!$A:$A,"ARTS")</f>
        <v>0</v>
      </c>
      <c r="AJ75" s="55">
        <f>SUMIFS('Awards Summary'!$H:$H,'Awards Summary'!$B:$B,$C75,'Awards Summary'!$J:$J,"AG&amp;MKTS")</f>
        <v>0</v>
      </c>
      <c r="AK75" s="55">
        <f>SUMIFS('Disbursements Summary'!$E:$E,'Disbursements Summary'!$C:$C,$C75,'Disbursements Summary'!$A:$A,"AG&amp;MKTS")</f>
        <v>0</v>
      </c>
      <c r="AL75" s="55">
        <f>SUMIFS('Awards Summary'!$H:$H,'Awards Summary'!$B:$B,$C75,'Awards Summary'!$J:$J,"CS")</f>
        <v>0</v>
      </c>
      <c r="AM75" s="55">
        <f>SUMIFS('Disbursements Summary'!$E:$E,'Disbursements Summary'!$C:$C,$C75,'Disbursements Summary'!$A:$A,"CS")</f>
        <v>0</v>
      </c>
      <c r="AN75" s="55">
        <f>SUMIFS('Awards Summary'!$H:$H,'Awards Summary'!$B:$B,$C75,'Awards Summary'!$J:$J,"DOCCS")</f>
        <v>0</v>
      </c>
      <c r="AO75" s="55">
        <f>SUMIFS('Disbursements Summary'!$E:$E,'Disbursements Summary'!$C:$C,$C75,'Disbursements Summary'!$A:$A,"DOCCS")</f>
        <v>0</v>
      </c>
      <c r="AP75" s="55">
        <f>SUMIFS('Awards Summary'!$H:$H,'Awards Summary'!$B:$B,$C75,'Awards Summary'!$J:$J,"DED")</f>
        <v>0</v>
      </c>
      <c r="AQ75" s="55">
        <f>SUMIFS('Disbursements Summary'!$E:$E,'Disbursements Summary'!$C:$C,$C75,'Disbursements Summary'!$A:$A,"DED")</f>
        <v>0</v>
      </c>
      <c r="AR75" s="55">
        <f>SUMIFS('Awards Summary'!$H:$H,'Awards Summary'!$B:$B,$C75,'Awards Summary'!$J:$J,"DEC")</f>
        <v>0</v>
      </c>
      <c r="AS75" s="55">
        <f>SUMIFS('Disbursements Summary'!$E:$E,'Disbursements Summary'!$C:$C,$C75,'Disbursements Summary'!$A:$A,"DEC")</f>
        <v>0</v>
      </c>
      <c r="AT75" s="55">
        <f>SUMIFS('Awards Summary'!$H:$H,'Awards Summary'!$B:$B,$C75,'Awards Summary'!$J:$J,"DFS")</f>
        <v>0</v>
      </c>
      <c r="AU75" s="55">
        <f>SUMIFS('Disbursements Summary'!$E:$E,'Disbursements Summary'!$C:$C,$C75,'Disbursements Summary'!$A:$A,"DFS")</f>
        <v>0</v>
      </c>
      <c r="AV75" s="55">
        <f>SUMIFS('Awards Summary'!$H:$H,'Awards Summary'!$B:$B,$C75,'Awards Summary'!$J:$J,"DOH")</f>
        <v>0</v>
      </c>
      <c r="AW75" s="55">
        <f>SUMIFS('Disbursements Summary'!$E:$E,'Disbursements Summary'!$C:$C,$C75,'Disbursements Summary'!$A:$A,"DOH")</f>
        <v>0</v>
      </c>
      <c r="AX75" s="55">
        <f>SUMIFS('Awards Summary'!$H:$H,'Awards Summary'!$B:$B,$C75,'Awards Summary'!$J:$J,"DOL")</f>
        <v>0</v>
      </c>
      <c r="AY75" s="55">
        <f>SUMIFS('Disbursements Summary'!$E:$E,'Disbursements Summary'!$C:$C,$C75,'Disbursements Summary'!$A:$A,"DOL")</f>
        <v>0</v>
      </c>
      <c r="AZ75" s="55">
        <f>SUMIFS('Awards Summary'!$H:$H,'Awards Summary'!$B:$B,$C75,'Awards Summary'!$J:$J,"DMV")</f>
        <v>0</v>
      </c>
      <c r="BA75" s="55">
        <f>SUMIFS('Disbursements Summary'!$E:$E,'Disbursements Summary'!$C:$C,$C75,'Disbursements Summary'!$A:$A,"DMV")</f>
        <v>0</v>
      </c>
      <c r="BB75" s="55">
        <f>SUMIFS('Awards Summary'!$H:$H,'Awards Summary'!$B:$B,$C75,'Awards Summary'!$J:$J,"DPS")</f>
        <v>0</v>
      </c>
      <c r="BC75" s="55">
        <f>SUMIFS('Disbursements Summary'!$E:$E,'Disbursements Summary'!$C:$C,$C75,'Disbursements Summary'!$A:$A,"DPS")</f>
        <v>0</v>
      </c>
      <c r="BD75" s="55">
        <f>SUMIFS('Awards Summary'!$H:$H,'Awards Summary'!$B:$B,$C75,'Awards Summary'!$J:$J,"DOS")</f>
        <v>0</v>
      </c>
      <c r="BE75" s="55">
        <f>SUMIFS('Disbursements Summary'!$E:$E,'Disbursements Summary'!$C:$C,$C75,'Disbursements Summary'!$A:$A,"DOS")</f>
        <v>0</v>
      </c>
      <c r="BF75" s="55">
        <f>SUMIFS('Awards Summary'!$H:$H,'Awards Summary'!$B:$B,$C75,'Awards Summary'!$J:$J,"TAX")</f>
        <v>0</v>
      </c>
      <c r="BG75" s="55">
        <f>SUMIFS('Disbursements Summary'!$E:$E,'Disbursements Summary'!$C:$C,$C75,'Disbursements Summary'!$A:$A,"TAX")</f>
        <v>0</v>
      </c>
      <c r="BH75" s="55">
        <f>SUMIFS('Awards Summary'!$H:$H,'Awards Summary'!$B:$B,$C75,'Awards Summary'!$J:$J,"DOT")</f>
        <v>0</v>
      </c>
      <c r="BI75" s="55">
        <f>SUMIFS('Disbursements Summary'!$E:$E,'Disbursements Summary'!$C:$C,$C75,'Disbursements Summary'!$A:$A,"DOT")</f>
        <v>0</v>
      </c>
      <c r="BJ75" s="55">
        <f>SUMIFS('Awards Summary'!$H:$H,'Awards Summary'!$B:$B,$C75,'Awards Summary'!$J:$J,"DANC")</f>
        <v>0</v>
      </c>
      <c r="BK75" s="55">
        <f>SUMIFS('Disbursements Summary'!$E:$E,'Disbursements Summary'!$C:$C,$C75,'Disbursements Summary'!$A:$A,"DANC")</f>
        <v>0</v>
      </c>
      <c r="BL75" s="55">
        <f>SUMIFS('Awards Summary'!$H:$H,'Awards Summary'!$B:$B,$C75,'Awards Summary'!$J:$J,"DOB")</f>
        <v>0</v>
      </c>
      <c r="BM75" s="55">
        <f>SUMIFS('Disbursements Summary'!$E:$E,'Disbursements Summary'!$C:$C,$C75,'Disbursements Summary'!$A:$A,"DOB")</f>
        <v>0</v>
      </c>
      <c r="BN75" s="55">
        <f>SUMIFS('Awards Summary'!$H:$H,'Awards Summary'!$B:$B,$C75,'Awards Summary'!$J:$J,"DCJS")</f>
        <v>0</v>
      </c>
      <c r="BO75" s="55">
        <f>SUMIFS('Disbursements Summary'!$E:$E,'Disbursements Summary'!$C:$C,$C75,'Disbursements Summary'!$A:$A,"DCJS")</f>
        <v>0</v>
      </c>
      <c r="BP75" s="55">
        <f>SUMIFS('Awards Summary'!$H:$H,'Awards Summary'!$B:$B,$C75,'Awards Summary'!$J:$J,"DHSES")</f>
        <v>0</v>
      </c>
      <c r="BQ75" s="55">
        <f>SUMIFS('Disbursements Summary'!$E:$E,'Disbursements Summary'!$C:$C,$C75,'Disbursements Summary'!$A:$A,"DHSES")</f>
        <v>0</v>
      </c>
      <c r="BR75" s="55">
        <f>SUMIFS('Awards Summary'!$H:$H,'Awards Summary'!$B:$B,$C75,'Awards Summary'!$J:$J,"DHR")</f>
        <v>0</v>
      </c>
      <c r="BS75" s="55">
        <f>SUMIFS('Disbursements Summary'!$E:$E,'Disbursements Summary'!$C:$C,$C75,'Disbursements Summary'!$A:$A,"DHR")</f>
        <v>0</v>
      </c>
      <c r="BT75" s="55">
        <f>SUMIFS('Awards Summary'!$H:$H,'Awards Summary'!$B:$B,$C75,'Awards Summary'!$J:$J,"DMNA")</f>
        <v>0</v>
      </c>
      <c r="BU75" s="55">
        <f>SUMIFS('Disbursements Summary'!$E:$E,'Disbursements Summary'!$C:$C,$C75,'Disbursements Summary'!$A:$A,"DMNA")</f>
        <v>0</v>
      </c>
      <c r="BV75" s="55">
        <f>SUMIFS('Awards Summary'!$H:$H,'Awards Summary'!$B:$B,$C75,'Awards Summary'!$J:$J,"TROOPERS")</f>
        <v>0</v>
      </c>
      <c r="BW75" s="55">
        <f>SUMIFS('Disbursements Summary'!$E:$E,'Disbursements Summary'!$C:$C,$C75,'Disbursements Summary'!$A:$A,"TROOPERS")</f>
        <v>0</v>
      </c>
      <c r="BX75" s="55">
        <f>SUMIFS('Awards Summary'!$H:$H,'Awards Summary'!$B:$B,$C75,'Awards Summary'!$J:$J,"DVA")</f>
        <v>0</v>
      </c>
      <c r="BY75" s="55">
        <f>SUMIFS('Disbursements Summary'!$E:$E,'Disbursements Summary'!$C:$C,$C75,'Disbursements Summary'!$A:$A,"DVA")</f>
        <v>0</v>
      </c>
      <c r="BZ75" s="55">
        <f>SUMIFS('Awards Summary'!$H:$H,'Awards Summary'!$B:$B,$C75,'Awards Summary'!$J:$J,"DASNY")</f>
        <v>0</v>
      </c>
      <c r="CA75" s="55">
        <f>SUMIFS('Disbursements Summary'!$E:$E,'Disbursements Summary'!$C:$C,$C75,'Disbursements Summary'!$A:$A,"DASNY")</f>
        <v>0</v>
      </c>
      <c r="CB75" s="55">
        <f>SUMIFS('Awards Summary'!$H:$H,'Awards Summary'!$B:$B,$C75,'Awards Summary'!$J:$J,"EGG")</f>
        <v>0</v>
      </c>
      <c r="CC75" s="55">
        <f>SUMIFS('Disbursements Summary'!$E:$E,'Disbursements Summary'!$C:$C,$C75,'Disbursements Summary'!$A:$A,"EGG")</f>
        <v>0</v>
      </c>
      <c r="CD75" s="55">
        <f>SUMIFS('Awards Summary'!$H:$H,'Awards Summary'!$B:$B,$C75,'Awards Summary'!$J:$J,"ESD")</f>
        <v>0</v>
      </c>
      <c r="CE75" s="55">
        <f>SUMIFS('Disbursements Summary'!$E:$E,'Disbursements Summary'!$C:$C,$C75,'Disbursements Summary'!$A:$A,"ESD")</f>
        <v>0</v>
      </c>
      <c r="CF75" s="55">
        <f>SUMIFS('Awards Summary'!$H:$H,'Awards Summary'!$B:$B,$C75,'Awards Summary'!$J:$J,"EFC")</f>
        <v>0</v>
      </c>
      <c r="CG75" s="55">
        <f>SUMIFS('Disbursements Summary'!$E:$E,'Disbursements Summary'!$C:$C,$C75,'Disbursements Summary'!$A:$A,"EFC")</f>
        <v>0</v>
      </c>
      <c r="CH75" s="55">
        <f>SUMIFS('Awards Summary'!$H:$H,'Awards Summary'!$B:$B,$C75,'Awards Summary'!$J:$J,"ECFSA")</f>
        <v>0</v>
      </c>
      <c r="CI75" s="55">
        <f>SUMIFS('Disbursements Summary'!$E:$E,'Disbursements Summary'!$C:$C,$C75,'Disbursements Summary'!$A:$A,"ECFSA")</f>
        <v>0</v>
      </c>
      <c r="CJ75" s="55">
        <f>SUMIFS('Awards Summary'!$H:$H,'Awards Summary'!$B:$B,$C75,'Awards Summary'!$J:$J,"ECMC")</f>
        <v>0</v>
      </c>
      <c r="CK75" s="55">
        <f>SUMIFS('Disbursements Summary'!$E:$E,'Disbursements Summary'!$C:$C,$C75,'Disbursements Summary'!$A:$A,"ECMC")</f>
        <v>0</v>
      </c>
      <c r="CL75" s="55">
        <f>SUMIFS('Awards Summary'!$H:$H,'Awards Summary'!$B:$B,$C75,'Awards Summary'!$J:$J,"CHAMBER")</f>
        <v>0</v>
      </c>
      <c r="CM75" s="55">
        <f>SUMIFS('Disbursements Summary'!$E:$E,'Disbursements Summary'!$C:$C,$C75,'Disbursements Summary'!$A:$A,"CHAMBER")</f>
        <v>0</v>
      </c>
      <c r="CN75" s="55">
        <f>SUMIFS('Awards Summary'!$H:$H,'Awards Summary'!$B:$B,$C75,'Awards Summary'!$J:$J,"GAMING")</f>
        <v>0</v>
      </c>
      <c r="CO75" s="55">
        <f>SUMIFS('Disbursements Summary'!$E:$E,'Disbursements Summary'!$C:$C,$C75,'Disbursements Summary'!$A:$A,"GAMING")</f>
        <v>0</v>
      </c>
      <c r="CP75" s="55">
        <f>SUMIFS('Awards Summary'!$H:$H,'Awards Summary'!$B:$B,$C75,'Awards Summary'!$J:$J,"GOER")</f>
        <v>0</v>
      </c>
      <c r="CQ75" s="55">
        <f>SUMIFS('Disbursements Summary'!$E:$E,'Disbursements Summary'!$C:$C,$C75,'Disbursements Summary'!$A:$A,"GOER")</f>
        <v>0</v>
      </c>
      <c r="CR75" s="55">
        <f>SUMIFS('Awards Summary'!$H:$H,'Awards Summary'!$B:$B,$C75,'Awards Summary'!$J:$J,"HESC")</f>
        <v>0</v>
      </c>
      <c r="CS75" s="55">
        <f>SUMIFS('Disbursements Summary'!$E:$E,'Disbursements Summary'!$C:$C,$C75,'Disbursements Summary'!$A:$A,"HESC")</f>
        <v>0</v>
      </c>
      <c r="CT75" s="55">
        <f>SUMIFS('Awards Summary'!$H:$H,'Awards Summary'!$B:$B,$C75,'Awards Summary'!$J:$J,"GOSR")</f>
        <v>0</v>
      </c>
      <c r="CU75" s="55">
        <f>SUMIFS('Disbursements Summary'!$E:$E,'Disbursements Summary'!$C:$C,$C75,'Disbursements Summary'!$A:$A,"GOSR")</f>
        <v>0</v>
      </c>
      <c r="CV75" s="55">
        <f>SUMIFS('Awards Summary'!$H:$H,'Awards Summary'!$B:$B,$C75,'Awards Summary'!$J:$J,"HRPT")</f>
        <v>0</v>
      </c>
      <c r="CW75" s="55">
        <f>SUMIFS('Disbursements Summary'!$E:$E,'Disbursements Summary'!$C:$C,$C75,'Disbursements Summary'!$A:$A,"HRPT")</f>
        <v>0</v>
      </c>
      <c r="CX75" s="55">
        <f>SUMIFS('Awards Summary'!$H:$H,'Awards Summary'!$B:$B,$C75,'Awards Summary'!$J:$J,"HRBRRD")</f>
        <v>0</v>
      </c>
      <c r="CY75" s="55">
        <f>SUMIFS('Disbursements Summary'!$E:$E,'Disbursements Summary'!$C:$C,$C75,'Disbursements Summary'!$A:$A,"HRBRRD")</f>
        <v>0</v>
      </c>
      <c r="CZ75" s="55">
        <f>SUMIFS('Awards Summary'!$H:$H,'Awards Summary'!$B:$B,$C75,'Awards Summary'!$J:$J,"ITS")</f>
        <v>0</v>
      </c>
      <c r="DA75" s="55">
        <f>SUMIFS('Disbursements Summary'!$E:$E,'Disbursements Summary'!$C:$C,$C75,'Disbursements Summary'!$A:$A,"ITS")</f>
        <v>0</v>
      </c>
      <c r="DB75" s="55">
        <f>SUMIFS('Awards Summary'!$H:$H,'Awards Summary'!$B:$B,$C75,'Awards Summary'!$J:$J,"JAVITS")</f>
        <v>0</v>
      </c>
      <c r="DC75" s="55">
        <f>SUMIFS('Disbursements Summary'!$E:$E,'Disbursements Summary'!$C:$C,$C75,'Disbursements Summary'!$A:$A,"JAVITS")</f>
        <v>0</v>
      </c>
      <c r="DD75" s="55">
        <f>SUMIFS('Awards Summary'!$H:$H,'Awards Summary'!$B:$B,$C75,'Awards Summary'!$J:$J,"JCOPE")</f>
        <v>0</v>
      </c>
      <c r="DE75" s="55">
        <f>SUMIFS('Disbursements Summary'!$E:$E,'Disbursements Summary'!$C:$C,$C75,'Disbursements Summary'!$A:$A,"JCOPE")</f>
        <v>0</v>
      </c>
      <c r="DF75" s="55">
        <f>SUMIFS('Awards Summary'!$H:$H,'Awards Summary'!$B:$B,$C75,'Awards Summary'!$J:$J,"JUSTICE")</f>
        <v>0</v>
      </c>
      <c r="DG75" s="55">
        <f>SUMIFS('Disbursements Summary'!$E:$E,'Disbursements Summary'!$C:$C,$C75,'Disbursements Summary'!$A:$A,"JUSTICE")</f>
        <v>0</v>
      </c>
      <c r="DH75" s="55">
        <f>SUMIFS('Awards Summary'!$H:$H,'Awards Summary'!$B:$B,$C75,'Awards Summary'!$J:$J,"LCWSA")</f>
        <v>0</v>
      </c>
      <c r="DI75" s="55">
        <f>SUMIFS('Disbursements Summary'!$E:$E,'Disbursements Summary'!$C:$C,$C75,'Disbursements Summary'!$A:$A,"LCWSA")</f>
        <v>0</v>
      </c>
      <c r="DJ75" s="55">
        <f>SUMIFS('Awards Summary'!$H:$H,'Awards Summary'!$B:$B,$C75,'Awards Summary'!$J:$J,"LIPA")</f>
        <v>0</v>
      </c>
      <c r="DK75" s="55">
        <f>SUMIFS('Disbursements Summary'!$E:$E,'Disbursements Summary'!$C:$C,$C75,'Disbursements Summary'!$A:$A,"LIPA")</f>
        <v>0</v>
      </c>
      <c r="DL75" s="55">
        <f>SUMIFS('Awards Summary'!$H:$H,'Awards Summary'!$B:$B,$C75,'Awards Summary'!$J:$J,"MTA")</f>
        <v>0</v>
      </c>
      <c r="DM75" s="55">
        <f>SUMIFS('Disbursements Summary'!$E:$E,'Disbursements Summary'!$C:$C,$C75,'Disbursements Summary'!$A:$A,"MTA")</f>
        <v>0</v>
      </c>
      <c r="DN75" s="55">
        <f>SUMIFS('Awards Summary'!$H:$H,'Awards Summary'!$B:$B,$C75,'Awards Summary'!$J:$J,"NIFA")</f>
        <v>0</v>
      </c>
      <c r="DO75" s="55">
        <f>SUMIFS('Disbursements Summary'!$E:$E,'Disbursements Summary'!$C:$C,$C75,'Disbursements Summary'!$A:$A,"NIFA")</f>
        <v>0</v>
      </c>
      <c r="DP75" s="55">
        <f>SUMIFS('Awards Summary'!$H:$H,'Awards Summary'!$B:$B,$C75,'Awards Summary'!$J:$J,"NHCC")</f>
        <v>0</v>
      </c>
      <c r="DQ75" s="55">
        <f>SUMIFS('Disbursements Summary'!$E:$E,'Disbursements Summary'!$C:$C,$C75,'Disbursements Summary'!$A:$A,"NHCC")</f>
        <v>0</v>
      </c>
      <c r="DR75" s="55">
        <f>SUMIFS('Awards Summary'!$H:$H,'Awards Summary'!$B:$B,$C75,'Awards Summary'!$J:$J,"NHT")</f>
        <v>0</v>
      </c>
      <c r="DS75" s="55">
        <f>SUMIFS('Disbursements Summary'!$E:$E,'Disbursements Summary'!$C:$C,$C75,'Disbursements Summary'!$A:$A,"NHT")</f>
        <v>0</v>
      </c>
      <c r="DT75" s="55">
        <f>SUMIFS('Awards Summary'!$H:$H,'Awards Summary'!$B:$B,$C75,'Awards Summary'!$J:$J,"NYPA")</f>
        <v>0</v>
      </c>
      <c r="DU75" s="55">
        <f>SUMIFS('Disbursements Summary'!$E:$E,'Disbursements Summary'!$C:$C,$C75,'Disbursements Summary'!$A:$A,"NYPA")</f>
        <v>0</v>
      </c>
      <c r="DV75" s="55">
        <f>SUMIFS('Awards Summary'!$H:$H,'Awards Summary'!$B:$B,$C75,'Awards Summary'!$J:$J,"NYSBA")</f>
        <v>0</v>
      </c>
      <c r="DW75" s="55">
        <f>SUMIFS('Disbursements Summary'!$E:$E,'Disbursements Summary'!$C:$C,$C75,'Disbursements Summary'!$A:$A,"NYSBA")</f>
        <v>0</v>
      </c>
      <c r="DX75" s="55">
        <f>SUMIFS('Awards Summary'!$H:$H,'Awards Summary'!$B:$B,$C75,'Awards Summary'!$J:$J,"NYSERDA")</f>
        <v>0</v>
      </c>
      <c r="DY75" s="55">
        <f>SUMIFS('Disbursements Summary'!$E:$E,'Disbursements Summary'!$C:$C,$C75,'Disbursements Summary'!$A:$A,"NYSERDA")</f>
        <v>0</v>
      </c>
      <c r="DZ75" s="55">
        <f>SUMIFS('Awards Summary'!$H:$H,'Awards Summary'!$B:$B,$C75,'Awards Summary'!$J:$J,"DHCR")</f>
        <v>0</v>
      </c>
      <c r="EA75" s="55">
        <f>SUMIFS('Disbursements Summary'!$E:$E,'Disbursements Summary'!$C:$C,$C75,'Disbursements Summary'!$A:$A,"DHCR")</f>
        <v>0</v>
      </c>
      <c r="EB75" s="55">
        <f>SUMIFS('Awards Summary'!$H:$H,'Awards Summary'!$B:$B,$C75,'Awards Summary'!$J:$J,"HFA")</f>
        <v>0</v>
      </c>
      <c r="EC75" s="55">
        <f>SUMIFS('Disbursements Summary'!$E:$E,'Disbursements Summary'!$C:$C,$C75,'Disbursements Summary'!$A:$A,"HFA")</f>
        <v>0</v>
      </c>
      <c r="ED75" s="55">
        <f>SUMIFS('Awards Summary'!$H:$H,'Awards Summary'!$B:$B,$C75,'Awards Summary'!$J:$J,"NYSIF")</f>
        <v>0</v>
      </c>
      <c r="EE75" s="55">
        <f>SUMIFS('Disbursements Summary'!$E:$E,'Disbursements Summary'!$C:$C,$C75,'Disbursements Summary'!$A:$A,"NYSIF")</f>
        <v>0</v>
      </c>
      <c r="EF75" s="55">
        <f>SUMIFS('Awards Summary'!$H:$H,'Awards Summary'!$B:$B,$C75,'Awards Summary'!$J:$J,"NYBREDS")</f>
        <v>0</v>
      </c>
      <c r="EG75" s="55">
        <f>SUMIFS('Disbursements Summary'!$E:$E,'Disbursements Summary'!$C:$C,$C75,'Disbursements Summary'!$A:$A,"NYBREDS")</f>
        <v>0</v>
      </c>
      <c r="EH75" s="55">
        <f>SUMIFS('Awards Summary'!$H:$H,'Awards Summary'!$B:$B,$C75,'Awards Summary'!$J:$J,"NYSTA")</f>
        <v>0</v>
      </c>
      <c r="EI75" s="55">
        <f>SUMIFS('Disbursements Summary'!$E:$E,'Disbursements Summary'!$C:$C,$C75,'Disbursements Summary'!$A:$A,"NYSTA")</f>
        <v>0</v>
      </c>
      <c r="EJ75" s="55">
        <f>SUMIFS('Awards Summary'!$H:$H,'Awards Summary'!$B:$B,$C75,'Awards Summary'!$J:$J,"NFWB")</f>
        <v>0</v>
      </c>
      <c r="EK75" s="55">
        <f>SUMIFS('Disbursements Summary'!$E:$E,'Disbursements Summary'!$C:$C,$C75,'Disbursements Summary'!$A:$A,"NFWB")</f>
        <v>0</v>
      </c>
      <c r="EL75" s="55">
        <f>SUMIFS('Awards Summary'!$H:$H,'Awards Summary'!$B:$B,$C75,'Awards Summary'!$J:$J,"NFTA")</f>
        <v>0</v>
      </c>
      <c r="EM75" s="55">
        <f>SUMIFS('Disbursements Summary'!$E:$E,'Disbursements Summary'!$C:$C,$C75,'Disbursements Summary'!$A:$A,"NFTA")</f>
        <v>0</v>
      </c>
      <c r="EN75" s="55">
        <f>SUMIFS('Awards Summary'!$H:$H,'Awards Summary'!$B:$B,$C75,'Awards Summary'!$J:$J,"OPWDD")</f>
        <v>0</v>
      </c>
      <c r="EO75" s="55">
        <f>SUMIFS('Disbursements Summary'!$E:$E,'Disbursements Summary'!$C:$C,$C75,'Disbursements Summary'!$A:$A,"OPWDD")</f>
        <v>0</v>
      </c>
      <c r="EP75" s="55">
        <f>SUMIFS('Awards Summary'!$H:$H,'Awards Summary'!$B:$B,$C75,'Awards Summary'!$J:$J,"AGING")</f>
        <v>0</v>
      </c>
      <c r="EQ75" s="55">
        <f>SUMIFS('Disbursements Summary'!$E:$E,'Disbursements Summary'!$C:$C,$C75,'Disbursements Summary'!$A:$A,"AGING")</f>
        <v>0</v>
      </c>
      <c r="ER75" s="55">
        <f>SUMIFS('Awards Summary'!$H:$H,'Awards Summary'!$B:$B,$C75,'Awards Summary'!$J:$J,"OPDV")</f>
        <v>0</v>
      </c>
      <c r="ES75" s="55">
        <f>SUMIFS('Disbursements Summary'!$E:$E,'Disbursements Summary'!$C:$C,$C75,'Disbursements Summary'!$A:$A,"OPDV")</f>
        <v>0</v>
      </c>
      <c r="ET75" s="55">
        <f>SUMIFS('Awards Summary'!$H:$H,'Awards Summary'!$B:$B,$C75,'Awards Summary'!$J:$J,"OVS")</f>
        <v>0</v>
      </c>
      <c r="EU75" s="55">
        <f>SUMIFS('Disbursements Summary'!$E:$E,'Disbursements Summary'!$C:$C,$C75,'Disbursements Summary'!$A:$A,"OVS")</f>
        <v>0</v>
      </c>
      <c r="EV75" s="55">
        <f>SUMIFS('Awards Summary'!$H:$H,'Awards Summary'!$B:$B,$C75,'Awards Summary'!$J:$J,"OASAS")</f>
        <v>0</v>
      </c>
      <c r="EW75" s="55">
        <f>SUMIFS('Disbursements Summary'!$E:$E,'Disbursements Summary'!$C:$C,$C75,'Disbursements Summary'!$A:$A,"OASAS")</f>
        <v>0</v>
      </c>
      <c r="EX75" s="55">
        <f>SUMIFS('Awards Summary'!$H:$H,'Awards Summary'!$B:$B,$C75,'Awards Summary'!$J:$J,"OCFS")</f>
        <v>0</v>
      </c>
      <c r="EY75" s="55">
        <f>SUMIFS('Disbursements Summary'!$E:$E,'Disbursements Summary'!$C:$C,$C75,'Disbursements Summary'!$A:$A,"OCFS")</f>
        <v>0</v>
      </c>
      <c r="EZ75" s="55">
        <f>SUMIFS('Awards Summary'!$H:$H,'Awards Summary'!$B:$B,$C75,'Awards Summary'!$J:$J,"OGS")</f>
        <v>0</v>
      </c>
      <c r="FA75" s="55">
        <f>SUMIFS('Disbursements Summary'!$E:$E,'Disbursements Summary'!$C:$C,$C75,'Disbursements Summary'!$A:$A,"OGS")</f>
        <v>0</v>
      </c>
      <c r="FB75" s="55">
        <f>SUMIFS('Awards Summary'!$H:$H,'Awards Summary'!$B:$B,$C75,'Awards Summary'!$J:$J,"OMH")</f>
        <v>0</v>
      </c>
      <c r="FC75" s="55">
        <f>SUMIFS('Disbursements Summary'!$E:$E,'Disbursements Summary'!$C:$C,$C75,'Disbursements Summary'!$A:$A,"OMH")</f>
        <v>0</v>
      </c>
      <c r="FD75" s="55">
        <f>SUMIFS('Awards Summary'!$H:$H,'Awards Summary'!$B:$B,$C75,'Awards Summary'!$J:$J,"PARKS")</f>
        <v>0</v>
      </c>
      <c r="FE75" s="55">
        <f>SUMIFS('Disbursements Summary'!$E:$E,'Disbursements Summary'!$C:$C,$C75,'Disbursements Summary'!$A:$A,"PARKS")</f>
        <v>0</v>
      </c>
      <c r="FF75" s="55">
        <f>SUMIFS('Awards Summary'!$H:$H,'Awards Summary'!$B:$B,$C75,'Awards Summary'!$J:$J,"OTDA")</f>
        <v>0</v>
      </c>
      <c r="FG75" s="55">
        <f>SUMIFS('Disbursements Summary'!$E:$E,'Disbursements Summary'!$C:$C,$C75,'Disbursements Summary'!$A:$A,"OTDA")</f>
        <v>0</v>
      </c>
      <c r="FH75" s="55">
        <f>SUMIFS('Awards Summary'!$H:$H,'Awards Summary'!$B:$B,$C75,'Awards Summary'!$J:$J,"OIG")</f>
        <v>0</v>
      </c>
      <c r="FI75" s="55">
        <f>SUMIFS('Disbursements Summary'!$E:$E,'Disbursements Summary'!$C:$C,$C75,'Disbursements Summary'!$A:$A,"OIG")</f>
        <v>0</v>
      </c>
      <c r="FJ75" s="55">
        <f>SUMIFS('Awards Summary'!$H:$H,'Awards Summary'!$B:$B,$C75,'Awards Summary'!$J:$J,"OMIG")</f>
        <v>0</v>
      </c>
      <c r="FK75" s="55">
        <f>SUMIFS('Disbursements Summary'!$E:$E,'Disbursements Summary'!$C:$C,$C75,'Disbursements Summary'!$A:$A,"OMIG")</f>
        <v>0</v>
      </c>
      <c r="FL75" s="55">
        <f>SUMIFS('Awards Summary'!$H:$H,'Awards Summary'!$B:$B,$C75,'Awards Summary'!$J:$J,"OSC")</f>
        <v>0</v>
      </c>
      <c r="FM75" s="55">
        <f>SUMIFS('Disbursements Summary'!$E:$E,'Disbursements Summary'!$C:$C,$C75,'Disbursements Summary'!$A:$A,"OSC")</f>
        <v>0</v>
      </c>
      <c r="FN75" s="55">
        <f>SUMIFS('Awards Summary'!$H:$H,'Awards Summary'!$B:$B,$C75,'Awards Summary'!$J:$J,"OWIG")</f>
        <v>0</v>
      </c>
      <c r="FO75" s="55">
        <f>SUMIFS('Disbursements Summary'!$E:$E,'Disbursements Summary'!$C:$C,$C75,'Disbursements Summary'!$A:$A,"OWIG")</f>
        <v>0</v>
      </c>
      <c r="FP75" s="55">
        <f>SUMIFS('Awards Summary'!$H:$H,'Awards Summary'!$B:$B,$C75,'Awards Summary'!$J:$J,"OGDEN")</f>
        <v>0</v>
      </c>
      <c r="FQ75" s="55">
        <f>SUMIFS('Disbursements Summary'!$E:$E,'Disbursements Summary'!$C:$C,$C75,'Disbursements Summary'!$A:$A,"OGDEN")</f>
        <v>0</v>
      </c>
      <c r="FR75" s="55">
        <f>SUMIFS('Awards Summary'!$H:$H,'Awards Summary'!$B:$B,$C75,'Awards Summary'!$J:$J,"ORDA")</f>
        <v>0</v>
      </c>
      <c r="FS75" s="55">
        <f>SUMIFS('Disbursements Summary'!$E:$E,'Disbursements Summary'!$C:$C,$C75,'Disbursements Summary'!$A:$A,"ORDA")</f>
        <v>0</v>
      </c>
      <c r="FT75" s="55">
        <f>SUMIFS('Awards Summary'!$H:$H,'Awards Summary'!$B:$B,$C75,'Awards Summary'!$J:$J,"OSWEGO")</f>
        <v>0</v>
      </c>
      <c r="FU75" s="55">
        <f>SUMIFS('Disbursements Summary'!$E:$E,'Disbursements Summary'!$C:$C,$C75,'Disbursements Summary'!$A:$A,"OSWEGO")</f>
        <v>0</v>
      </c>
      <c r="FV75" s="55">
        <f>SUMIFS('Awards Summary'!$H:$H,'Awards Summary'!$B:$B,$C75,'Awards Summary'!$J:$J,"PERB")</f>
        <v>0</v>
      </c>
      <c r="FW75" s="55">
        <f>SUMIFS('Disbursements Summary'!$E:$E,'Disbursements Summary'!$C:$C,$C75,'Disbursements Summary'!$A:$A,"PERB")</f>
        <v>0</v>
      </c>
      <c r="FX75" s="55">
        <f>SUMIFS('Awards Summary'!$H:$H,'Awards Summary'!$B:$B,$C75,'Awards Summary'!$J:$J,"RGRTA")</f>
        <v>0</v>
      </c>
      <c r="FY75" s="55">
        <f>SUMIFS('Disbursements Summary'!$E:$E,'Disbursements Summary'!$C:$C,$C75,'Disbursements Summary'!$A:$A,"RGRTA")</f>
        <v>0</v>
      </c>
      <c r="FZ75" s="55">
        <f>SUMIFS('Awards Summary'!$H:$H,'Awards Summary'!$B:$B,$C75,'Awards Summary'!$J:$J,"RIOC")</f>
        <v>0</v>
      </c>
      <c r="GA75" s="55">
        <f>SUMIFS('Disbursements Summary'!$E:$E,'Disbursements Summary'!$C:$C,$C75,'Disbursements Summary'!$A:$A,"RIOC")</f>
        <v>0</v>
      </c>
      <c r="GB75" s="55">
        <f>SUMIFS('Awards Summary'!$H:$H,'Awards Summary'!$B:$B,$C75,'Awards Summary'!$J:$J,"RPCI")</f>
        <v>0</v>
      </c>
      <c r="GC75" s="55">
        <f>SUMIFS('Disbursements Summary'!$E:$E,'Disbursements Summary'!$C:$C,$C75,'Disbursements Summary'!$A:$A,"RPCI")</f>
        <v>0</v>
      </c>
      <c r="GD75" s="55">
        <f>SUMIFS('Awards Summary'!$H:$H,'Awards Summary'!$B:$B,$C75,'Awards Summary'!$J:$J,"SMDA")</f>
        <v>0</v>
      </c>
      <c r="GE75" s="55">
        <f>SUMIFS('Disbursements Summary'!$E:$E,'Disbursements Summary'!$C:$C,$C75,'Disbursements Summary'!$A:$A,"SMDA")</f>
        <v>0</v>
      </c>
      <c r="GF75" s="55">
        <f>SUMIFS('Awards Summary'!$H:$H,'Awards Summary'!$B:$B,$C75,'Awards Summary'!$J:$J,"SCOC")</f>
        <v>0</v>
      </c>
      <c r="GG75" s="55">
        <f>SUMIFS('Disbursements Summary'!$E:$E,'Disbursements Summary'!$C:$C,$C75,'Disbursements Summary'!$A:$A,"SCOC")</f>
        <v>0</v>
      </c>
      <c r="GH75" s="55">
        <f>SUMIFS('Awards Summary'!$H:$H,'Awards Summary'!$B:$B,$C75,'Awards Summary'!$J:$J,"SUCF")</f>
        <v>0</v>
      </c>
      <c r="GI75" s="55">
        <f>SUMIFS('Disbursements Summary'!$E:$E,'Disbursements Summary'!$C:$C,$C75,'Disbursements Summary'!$A:$A,"SUCF")</f>
        <v>0</v>
      </c>
      <c r="GJ75" s="55">
        <f>SUMIFS('Awards Summary'!$H:$H,'Awards Summary'!$B:$B,$C75,'Awards Summary'!$J:$J,"SUNY")</f>
        <v>0</v>
      </c>
      <c r="GK75" s="55">
        <f>SUMIFS('Disbursements Summary'!$E:$E,'Disbursements Summary'!$C:$C,$C75,'Disbursements Summary'!$A:$A,"SUNY")</f>
        <v>0</v>
      </c>
      <c r="GL75" s="55">
        <f>SUMIFS('Awards Summary'!$H:$H,'Awards Summary'!$B:$B,$C75,'Awards Summary'!$J:$J,"SRAA")</f>
        <v>0</v>
      </c>
      <c r="GM75" s="55">
        <f>SUMIFS('Disbursements Summary'!$E:$E,'Disbursements Summary'!$C:$C,$C75,'Disbursements Summary'!$A:$A,"SRAA")</f>
        <v>0</v>
      </c>
      <c r="GN75" s="55">
        <f>SUMIFS('Awards Summary'!$H:$H,'Awards Summary'!$B:$B,$C75,'Awards Summary'!$J:$J,"UNDC")</f>
        <v>0</v>
      </c>
      <c r="GO75" s="55">
        <f>SUMIFS('Disbursements Summary'!$E:$E,'Disbursements Summary'!$C:$C,$C75,'Disbursements Summary'!$A:$A,"UNDC")</f>
        <v>0</v>
      </c>
      <c r="GP75" s="55">
        <f>SUMIFS('Awards Summary'!$H:$H,'Awards Summary'!$B:$B,$C75,'Awards Summary'!$J:$J,"MVWA")</f>
        <v>0</v>
      </c>
      <c r="GQ75" s="55">
        <f>SUMIFS('Disbursements Summary'!$E:$E,'Disbursements Summary'!$C:$C,$C75,'Disbursements Summary'!$A:$A,"MVWA")</f>
        <v>0</v>
      </c>
      <c r="GR75" s="55">
        <f>SUMIFS('Awards Summary'!$H:$H,'Awards Summary'!$B:$B,$C75,'Awards Summary'!$J:$J,"WMC")</f>
        <v>0</v>
      </c>
      <c r="GS75" s="55">
        <f>SUMIFS('Disbursements Summary'!$E:$E,'Disbursements Summary'!$C:$C,$C75,'Disbursements Summary'!$A:$A,"WMC")</f>
        <v>0</v>
      </c>
      <c r="GT75" s="55">
        <f>SUMIFS('Awards Summary'!$H:$H,'Awards Summary'!$B:$B,$C75,'Awards Summary'!$J:$J,"WCB")</f>
        <v>0</v>
      </c>
      <c r="GU75" s="55">
        <f>SUMIFS('Disbursements Summary'!$E:$E,'Disbursements Summary'!$C:$C,$C75,'Disbursements Summary'!$A:$A,"WCB")</f>
        <v>0</v>
      </c>
      <c r="GV75" s="32">
        <f t="shared" si="5"/>
        <v>0</v>
      </c>
      <c r="GW75" s="32">
        <f t="shared" si="6"/>
        <v>0</v>
      </c>
      <c r="GX75" s="30" t="b">
        <f t="shared" si="7"/>
        <v>1</v>
      </c>
      <c r="GY75" s="30" t="b">
        <f t="shared" si="8"/>
        <v>1</v>
      </c>
    </row>
    <row r="76" spans="1:207" s="30" customFormat="1">
      <c r="A76" s="202"/>
      <c r="B76" s="222" t="s">
        <v>479</v>
      </c>
      <c r="C76" s="221">
        <v>151151</v>
      </c>
      <c r="D76" s="26">
        <f>COUNTIF('Awards Summary'!B:B,"151151")</f>
        <v>0</v>
      </c>
      <c r="E76" s="45">
        <f>SUMIFS('Awards Summary'!H:H,'Awards Summary'!B:B,"151151")</f>
        <v>0</v>
      </c>
      <c r="F76" s="46">
        <f>SUMIFS('Disbursements Summary'!E:E,'Disbursements Summary'!C:C, "151151")</f>
        <v>0</v>
      </c>
      <c r="H76" s="55">
        <f>SUMIFS('Awards Summary'!$H:$H,'Awards Summary'!$B:$B,$C76,'Awards Summary'!$J:$J,"APA")</f>
        <v>0</v>
      </c>
      <c r="I76" s="55">
        <f>SUMIFS('Disbursements Summary'!$E:$E,'Disbursements Summary'!$C:$C,$C76,'Disbursements Summary'!$A:$A,"APA")</f>
        <v>0</v>
      </c>
      <c r="J76" s="55">
        <f>SUMIFS('Awards Summary'!$H:$H,'Awards Summary'!$B:$B,$C76,'Awards Summary'!$J:$J,"Ag&amp;Horse")</f>
        <v>0</v>
      </c>
      <c r="K76" s="55">
        <f>SUMIFS('Disbursements Summary'!$E:$E,'Disbursements Summary'!$C:$C,$C76,'Disbursements Summary'!$A:$A,"Ag&amp;Horse")</f>
        <v>0</v>
      </c>
      <c r="L76" s="55">
        <f>SUMIFS('Awards Summary'!$H:$H,'Awards Summary'!$B:$B,$C76,'Awards Summary'!$J:$J,"ACAA")</f>
        <v>0</v>
      </c>
      <c r="M76" s="55">
        <f>SUMIFS('Disbursements Summary'!$E:$E,'Disbursements Summary'!$C:$C,$C76,'Disbursements Summary'!$A:$A,"ACAA")</f>
        <v>0</v>
      </c>
      <c r="N76" s="55">
        <f>SUMIFS('Awards Summary'!$H:$H,'Awards Summary'!$B:$B,$C76,'Awards Summary'!$J:$J,"PortAlbany")</f>
        <v>0</v>
      </c>
      <c r="O76" s="55">
        <f>SUMIFS('Disbursements Summary'!$E:$E,'Disbursements Summary'!$C:$C,$C76,'Disbursements Summary'!$A:$A,"PortAlbany")</f>
        <v>0</v>
      </c>
      <c r="P76" s="55">
        <f>SUMIFS('Awards Summary'!$H:$H,'Awards Summary'!$B:$B,$C76,'Awards Summary'!$J:$J,"SLA")</f>
        <v>0</v>
      </c>
      <c r="Q76" s="55">
        <f>SUMIFS('Disbursements Summary'!$E:$E,'Disbursements Summary'!$C:$C,$C76,'Disbursements Summary'!$A:$A,"SLA")</f>
        <v>0</v>
      </c>
      <c r="R76" s="55">
        <f>SUMIFS('Awards Summary'!$H:$H,'Awards Summary'!$B:$B,$C76,'Awards Summary'!$J:$J,"BPCA")</f>
        <v>0</v>
      </c>
      <c r="S76" s="55">
        <f>SUMIFS('Disbursements Summary'!$E:$E,'Disbursements Summary'!$C:$C,$C76,'Disbursements Summary'!$A:$A,"BPCA")</f>
        <v>0</v>
      </c>
      <c r="T76" s="55">
        <f>SUMIFS('Awards Summary'!$H:$H,'Awards Summary'!$B:$B,$C76,'Awards Summary'!$J:$J,"ELECTIONS")</f>
        <v>0</v>
      </c>
      <c r="U76" s="55">
        <f>SUMIFS('Disbursements Summary'!$E:$E,'Disbursements Summary'!$C:$C,$C76,'Disbursements Summary'!$A:$A,"ELECTIONS")</f>
        <v>0</v>
      </c>
      <c r="V76" s="55">
        <f>SUMIFS('Awards Summary'!$H:$H,'Awards Summary'!$B:$B,$C76,'Awards Summary'!$J:$J,"BFSA")</f>
        <v>0</v>
      </c>
      <c r="W76" s="55">
        <f>SUMIFS('Disbursements Summary'!$E:$E,'Disbursements Summary'!$C:$C,$C76,'Disbursements Summary'!$A:$A,"BFSA")</f>
        <v>0</v>
      </c>
      <c r="X76" s="55">
        <f>SUMIFS('Awards Summary'!$H:$H,'Awards Summary'!$B:$B,$C76,'Awards Summary'!$J:$J,"CDTA")</f>
        <v>0</v>
      </c>
      <c r="Y76" s="55">
        <f>SUMIFS('Disbursements Summary'!$E:$E,'Disbursements Summary'!$C:$C,$C76,'Disbursements Summary'!$A:$A,"CDTA")</f>
        <v>0</v>
      </c>
      <c r="Z76" s="55">
        <f>SUMIFS('Awards Summary'!$H:$H,'Awards Summary'!$B:$B,$C76,'Awards Summary'!$J:$J,"CCWSA")</f>
        <v>0</v>
      </c>
      <c r="AA76" s="55">
        <f>SUMIFS('Disbursements Summary'!$E:$E,'Disbursements Summary'!$C:$C,$C76,'Disbursements Summary'!$A:$A,"CCWSA")</f>
        <v>0</v>
      </c>
      <c r="AB76" s="55">
        <f>SUMIFS('Awards Summary'!$H:$H,'Awards Summary'!$B:$B,$C76,'Awards Summary'!$J:$J,"CNYRTA")</f>
        <v>0</v>
      </c>
      <c r="AC76" s="55">
        <f>SUMIFS('Disbursements Summary'!$E:$E,'Disbursements Summary'!$C:$C,$C76,'Disbursements Summary'!$A:$A,"CNYRTA")</f>
        <v>0</v>
      </c>
      <c r="AD76" s="55">
        <f>SUMIFS('Awards Summary'!$H:$H,'Awards Summary'!$B:$B,$C76,'Awards Summary'!$J:$J,"CUCF")</f>
        <v>0</v>
      </c>
      <c r="AE76" s="55">
        <f>SUMIFS('Disbursements Summary'!$E:$E,'Disbursements Summary'!$C:$C,$C76,'Disbursements Summary'!$A:$A,"CUCF")</f>
        <v>0</v>
      </c>
      <c r="AF76" s="55">
        <f>SUMIFS('Awards Summary'!$H:$H,'Awards Summary'!$B:$B,$C76,'Awards Summary'!$J:$J,"CUNY")</f>
        <v>0</v>
      </c>
      <c r="AG76" s="55">
        <f>SUMIFS('Disbursements Summary'!$E:$E,'Disbursements Summary'!$C:$C,$C76,'Disbursements Summary'!$A:$A,"CUNY")</f>
        <v>0</v>
      </c>
      <c r="AH76" s="55">
        <f>SUMIFS('Awards Summary'!$H:$H,'Awards Summary'!$B:$B,$C76,'Awards Summary'!$J:$J,"ARTS")</f>
        <v>0</v>
      </c>
      <c r="AI76" s="55">
        <f>SUMIFS('Disbursements Summary'!$E:$E,'Disbursements Summary'!$C:$C,$C76,'Disbursements Summary'!$A:$A,"ARTS")</f>
        <v>0</v>
      </c>
      <c r="AJ76" s="55">
        <f>SUMIFS('Awards Summary'!$H:$H,'Awards Summary'!$B:$B,$C76,'Awards Summary'!$J:$J,"AG&amp;MKTS")</f>
        <v>0</v>
      </c>
      <c r="AK76" s="55">
        <f>SUMIFS('Disbursements Summary'!$E:$E,'Disbursements Summary'!$C:$C,$C76,'Disbursements Summary'!$A:$A,"AG&amp;MKTS")</f>
        <v>0</v>
      </c>
      <c r="AL76" s="55">
        <f>SUMIFS('Awards Summary'!$H:$H,'Awards Summary'!$B:$B,$C76,'Awards Summary'!$J:$J,"CS")</f>
        <v>0</v>
      </c>
      <c r="AM76" s="55">
        <f>SUMIFS('Disbursements Summary'!$E:$E,'Disbursements Summary'!$C:$C,$C76,'Disbursements Summary'!$A:$A,"CS")</f>
        <v>0</v>
      </c>
      <c r="AN76" s="55">
        <f>SUMIFS('Awards Summary'!$H:$H,'Awards Summary'!$B:$B,$C76,'Awards Summary'!$J:$J,"DOCCS")</f>
        <v>0</v>
      </c>
      <c r="AO76" s="55">
        <f>SUMIFS('Disbursements Summary'!$E:$E,'Disbursements Summary'!$C:$C,$C76,'Disbursements Summary'!$A:$A,"DOCCS")</f>
        <v>0</v>
      </c>
      <c r="AP76" s="55">
        <f>SUMIFS('Awards Summary'!$H:$H,'Awards Summary'!$B:$B,$C76,'Awards Summary'!$J:$J,"DED")</f>
        <v>0</v>
      </c>
      <c r="AQ76" s="55">
        <f>SUMIFS('Disbursements Summary'!$E:$E,'Disbursements Summary'!$C:$C,$C76,'Disbursements Summary'!$A:$A,"DED")</f>
        <v>0</v>
      </c>
      <c r="AR76" s="55">
        <f>SUMIFS('Awards Summary'!$H:$H,'Awards Summary'!$B:$B,$C76,'Awards Summary'!$J:$J,"DEC")</f>
        <v>0</v>
      </c>
      <c r="AS76" s="55">
        <f>SUMIFS('Disbursements Summary'!$E:$E,'Disbursements Summary'!$C:$C,$C76,'Disbursements Summary'!$A:$A,"DEC")</f>
        <v>0</v>
      </c>
      <c r="AT76" s="55">
        <f>SUMIFS('Awards Summary'!$H:$H,'Awards Summary'!$B:$B,$C76,'Awards Summary'!$J:$J,"DFS")</f>
        <v>0</v>
      </c>
      <c r="AU76" s="55">
        <f>SUMIFS('Disbursements Summary'!$E:$E,'Disbursements Summary'!$C:$C,$C76,'Disbursements Summary'!$A:$A,"DFS")</f>
        <v>0</v>
      </c>
      <c r="AV76" s="55">
        <f>SUMIFS('Awards Summary'!$H:$H,'Awards Summary'!$B:$B,$C76,'Awards Summary'!$J:$J,"DOH")</f>
        <v>0</v>
      </c>
      <c r="AW76" s="55">
        <f>SUMIFS('Disbursements Summary'!$E:$E,'Disbursements Summary'!$C:$C,$C76,'Disbursements Summary'!$A:$A,"DOH")</f>
        <v>0</v>
      </c>
      <c r="AX76" s="55">
        <f>SUMIFS('Awards Summary'!$H:$H,'Awards Summary'!$B:$B,$C76,'Awards Summary'!$J:$J,"DOL")</f>
        <v>0</v>
      </c>
      <c r="AY76" s="55">
        <f>SUMIFS('Disbursements Summary'!$E:$E,'Disbursements Summary'!$C:$C,$C76,'Disbursements Summary'!$A:$A,"DOL")</f>
        <v>0</v>
      </c>
      <c r="AZ76" s="55">
        <f>SUMIFS('Awards Summary'!$H:$H,'Awards Summary'!$B:$B,$C76,'Awards Summary'!$J:$J,"DMV")</f>
        <v>0</v>
      </c>
      <c r="BA76" s="55">
        <f>SUMIFS('Disbursements Summary'!$E:$E,'Disbursements Summary'!$C:$C,$C76,'Disbursements Summary'!$A:$A,"DMV")</f>
        <v>0</v>
      </c>
      <c r="BB76" s="55">
        <f>SUMIFS('Awards Summary'!$H:$H,'Awards Summary'!$B:$B,$C76,'Awards Summary'!$J:$J,"DPS")</f>
        <v>0</v>
      </c>
      <c r="BC76" s="55">
        <f>SUMIFS('Disbursements Summary'!$E:$E,'Disbursements Summary'!$C:$C,$C76,'Disbursements Summary'!$A:$A,"DPS")</f>
        <v>0</v>
      </c>
      <c r="BD76" s="55">
        <f>SUMIFS('Awards Summary'!$H:$H,'Awards Summary'!$B:$B,$C76,'Awards Summary'!$J:$J,"DOS")</f>
        <v>0</v>
      </c>
      <c r="BE76" s="55">
        <f>SUMIFS('Disbursements Summary'!$E:$E,'Disbursements Summary'!$C:$C,$C76,'Disbursements Summary'!$A:$A,"DOS")</f>
        <v>0</v>
      </c>
      <c r="BF76" s="55">
        <f>SUMIFS('Awards Summary'!$H:$H,'Awards Summary'!$B:$B,$C76,'Awards Summary'!$J:$J,"TAX")</f>
        <v>0</v>
      </c>
      <c r="BG76" s="55">
        <f>SUMIFS('Disbursements Summary'!$E:$E,'Disbursements Summary'!$C:$C,$C76,'Disbursements Summary'!$A:$A,"TAX")</f>
        <v>0</v>
      </c>
      <c r="BH76" s="55">
        <f>SUMIFS('Awards Summary'!$H:$H,'Awards Summary'!$B:$B,$C76,'Awards Summary'!$J:$J,"DOT")</f>
        <v>0</v>
      </c>
      <c r="BI76" s="55">
        <f>SUMIFS('Disbursements Summary'!$E:$E,'Disbursements Summary'!$C:$C,$C76,'Disbursements Summary'!$A:$A,"DOT")</f>
        <v>0</v>
      </c>
      <c r="BJ76" s="55">
        <f>SUMIFS('Awards Summary'!$H:$H,'Awards Summary'!$B:$B,$C76,'Awards Summary'!$J:$J,"DANC")</f>
        <v>0</v>
      </c>
      <c r="BK76" s="55">
        <f>SUMIFS('Disbursements Summary'!$E:$E,'Disbursements Summary'!$C:$C,$C76,'Disbursements Summary'!$A:$A,"DANC")</f>
        <v>0</v>
      </c>
      <c r="BL76" s="55">
        <f>SUMIFS('Awards Summary'!$H:$H,'Awards Summary'!$B:$B,$C76,'Awards Summary'!$J:$J,"DOB")</f>
        <v>0</v>
      </c>
      <c r="BM76" s="55">
        <f>SUMIFS('Disbursements Summary'!$E:$E,'Disbursements Summary'!$C:$C,$C76,'Disbursements Summary'!$A:$A,"DOB")</f>
        <v>0</v>
      </c>
      <c r="BN76" s="55">
        <f>SUMIFS('Awards Summary'!$H:$H,'Awards Summary'!$B:$B,$C76,'Awards Summary'!$J:$J,"DCJS")</f>
        <v>0</v>
      </c>
      <c r="BO76" s="55">
        <f>SUMIFS('Disbursements Summary'!$E:$E,'Disbursements Summary'!$C:$C,$C76,'Disbursements Summary'!$A:$A,"DCJS")</f>
        <v>0</v>
      </c>
      <c r="BP76" s="55">
        <f>SUMIFS('Awards Summary'!$H:$H,'Awards Summary'!$B:$B,$C76,'Awards Summary'!$J:$J,"DHSES")</f>
        <v>0</v>
      </c>
      <c r="BQ76" s="55">
        <f>SUMIFS('Disbursements Summary'!$E:$E,'Disbursements Summary'!$C:$C,$C76,'Disbursements Summary'!$A:$A,"DHSES")</f>
        <v>0</v>
      </c>
      <c r="BR76" s="55">
        <f>SUMIFS('Awards Summary'!$H:$H,'Awards Summary'!$B:$B,$C76,'Awards Summary'!$J:$J,"DHR")</f>
        <v>0</v>
      </c>
      <c r="BS76" s="55">
        <f>SUMIFS('Disbursements Summary'!$E:$E,'Disbursements Summary'!$C:$C,$C76,'Disbursements Summary'!$A:$A,"DHR")</f>
        <v>0</v>
      </c>
      <c r="BT76" s="55">
        <f>SUMIFS('Awards Summary'!$H:$H,'Awards Summary'!$B:$B,$C76,'Awards Summary'!$J:$J,"DMNA")</f>
        <v>0</v>
      </c>
      <c r="BU76" s="55">
        <f>SUMIFS('Disbursements Summary'!$E:$E,'Disbursements Summary'!$C:$C,$C76,'Disbursements Summary'!$A:$A,"DMNA")</f>
        <v>0</v>
      </c>
      <c r="BV76" s="55">
        <f>SUMIFS('Awards Summary'!$H:$H,'Awards Summary'!$B:$B,$C76,'Awards Summary'!$J:$J,"TROOPERS")</f>
        <v>0</v>
      </c>
      <c r="BW76" s="55">
        <f>SUMIFS('Disbursements Summary'!$E:$E,'Disbursements Summary'!$C:$C,$C76,'Disbursements Summary'!$A:$A,"TROOPERS")</f>
        <v>0</v>
      </c>
      <c r="BX76" s="55">
        <f>SUMIFS('Awards Summary'!$H:$H,'Awards Summary'!$B:$B,$C76,'Awards Summary'!$J:$J,"DVA")</f>
        <v>0</v>
      </c>
      <c r="BY76" s="55">
        <f>SUMIFS('Disbursements Summary'!$E:$E,'Disbursements Summary'!$C:$C,$C76,'Disbursements Summary'!$A:$A,"DVA")</f>
        <v>0</v>
      </c>
      <c r="BZ76" s="55">
        <f>SUMIFS('Awards Summary'!$H:$H,'Awards Summary'!$B:$B,$C76,'Awards Summary'!$J:$J,"DASNY")</f>
        <v>0</v>
      </c>
      <c r="CA76" s="55">
        <f>SUMIFS('Disbursements Summary'!$E:$E,'Disbursements Summary'!$C:$C,$C76,'Disbursements Summary'!$A:$A,"DASNY")</f>
        <v>0</v>
      </c>
      <c r="CB76" s="55">
        <f>SUMIFS('Awards Summary'!$H:$H,'Awards Summary'!$B:$B,$C76,'Awards Summary'!$J:$J,"EGG")</f>
        <v>0</v>
      </c>
      <c r="CC76" s="55">
        <f>SUMIFS('Disbursements Summary'!$E:$E,'Disbursements Summary'!$C:$C,$C76,'Disbursements Summary'!$A:$A,"EGG")</f>
        <v>0</v>
      </c>
      <c r="CD76" s="55">
        <f>SUMIFS('Awards Summary'!$H:$H,'Awards Summary'!$B:$B,$C76,'Awards Summary'!$J:$J,"ESD")</f>
        <v>0</v>
      </c>
      <c r="CE76" s="55">
        <f>SUMIFS('Disbursements Summary'!$E:$E,'Disbursements Summary'!$C:$C,$C76,'Disbursements Summary'!$A:$A,"ESD")</f>
        <v>0</v>
      </c>
      <c r="CF76" s="55">
        <f>SUMIFS('Awards Summary'!$H:$H,'Awards Summary'!$B:$B,$C76,'Awards Summary'!$J:$J,"EFC")</f>
        <v>0</v>
      </c>
      <c r="CG76" s="55">
        <f>SUMIFS('Disbursements Summary'!$E:$E,'Disbursements Summary'!$C:$C,$C76,'Disbursements Summary'!$A:$A,"EFC")</f>
        <v>0</v>
      </c>
      <c r="CH76" s="55">
        <f>SUMIFS('Awards Summary'!$H:$H,'Awards Summary'!$B:$B,$C76,'Awards Summary'!$J:$J,"ECFSA")</f>
        <v>0</v>
      </c>
      <c r="CI76" s="55">
        <f>SUMIFS('Disbursements Summary'!$E:$E,'Disbursements Summary'!$C:$C,$C76,'Disbursements Summary'!$A:$A,"ECFSA")</f>
        <v>0</v>
      </c>
      <c r="CJ76" s="55">
        <f>SUMIFS('Awards Summary'!$H:$H,'Awards Summary'!$B:$B,$C76,'Awards Summary'!$J:$J,"ECMC")</f>
        <v>0</v>
      </c>
      <c r="CK76" s="55">
        <f>SUMIFS('Disbursements Summary'!$E:$E,'Disbursements Summary'!$C:$C,$C76,'Disbursements Summary'!$A:$A,"ECMC")</f>
        <v>0</v>
      </c>
      <c r="CL76" s="55">
        <f>SUMIFS('Awards Summary'!$H:$H,'Awards Summary'!$B:$B,$C76,'Awards Summary'!$J:$J,"CHAMBER")</f>
        <v>0</v>
      </c>
      <c r="CM76" s="55">
        <f>SUMIFS('Disbursements Summary'!$E:$E,'Disbursements Summary'!$C:$C,$C76,'Disbursements Summary'!$A:$A,"CHAMBER")</f>
        <v>0</v>
      </c>
      <c r="CN76" s="55">
        <f>SUMIFS('Awards Summary'!$H:$H,'Awards Summary'!$B:$B,$C76,'Awards Summary'!$J:$J,"GAMING")</f>
        <v>0</v>
      </c>
      <c r="CO76" s="55">
        <f>SUMIFS('Disbursements Summary'!$E:$E,'Disbursements Summary'!$C:$C,$C76,'Disbursements Summary'!$A:$A,"GAMING")</f>
        <v>0</v>
      </c>
      <c r="CP76" s="55">
        <f>SUMIFS('Awards Summary'!$H:$H,'Awards Summary'!$B:$B,$C76,'Awards Summary'!$J:$J,"GOER")</f>
        <v>0</v>
      </c>
      <c r="CQ76" s="55">
        <f>SUMIFS('Disbursements Summary'!$E:$E,'Disbursements Summary'!$C:$C,$C76,'Disbursements Summary'!$A:$A,"GOER")</f>
        <v>0</v>
      </c>
      <c r="CR76" s="55">
        <f>SUMIFS('Awards Summary'!$H:$H,'Awards Summary'!$B:$B,$C76,'Awards Summary'!$J:$J,"HESC")</f>
        <v>0</v>
      </c>
      <c r="CS76" s="55">
        <f>SUMIFS('Disbursements Summary'!$E:$E,'Disbursements Summary'!$C:$C,$C76,'Disbursements Summary'!$A:$A,"HESC")</f>
        <v>0</v>
      </c>
      <c r="CT76" s="55">
        <f>SUMIFS('Awards Summary'!$H:$H,'Awards Summary'!$B:$B,$C76,'Awards Summary'!$J:$J,"GOSR")</f>
        <v>0</v>
      </c>
      <c r="CU76" s="55">
        <f>SUMIFS('Disbursements Summary'!$E:$E,'Disbursements Summary'!$C:$C,$C76,'Disbursements Summary'!$A:$A,"GOSR")</f>
        <v>0</v>
      </c>
      <c r="CV76" s="55">
        <f>SUMIFS('Awards Summary'!$H:$H,'Awards Summary'!$B:$B,$C76,'Awards Summary'!$J:$J,"HRPT")</f>
        <v>0</v>
      </c>
      <c r="CW76" s="55">
        <f>SUMIFS('Disbursements Summary'!$E:$E,'Disbursements Summary'!$C:$C,$C76,'Disbursements Summary'!$A:$A,"HRPT")</f>
        <v>0</v>
      </c>
      <c r="CX76" s="55">
        <f>SUMIFS('Awards Summary'!$H:$H,'Awards Summary'!$B:$B,$C76,'Awards Summary'!$J:$J,"HRBRRD")</f>
        <v>0</v>
      </c>
      <c r="CY76" s="55">
        <f>SUMIFS('Disbursements Summary'!$E:$E,'Disbursements Summary'!$C:$C,$C76,'Disbursements Summary'!$A:$A,"HRBRRD")</f>
        <v>0</v>
      </c>
      <c r="CZ76" s="55">
        <f>SUMIFS('Awards Summary'!$H:$H,'Awards Summary'!$B:$B,$C76,'Awards Summary'!$J:$J,"ITS")</f>
        <v>0</v>
      </c>
      <c r="DA76" s="55">
        <f>SUMIFS('Disbursements Summary'!$E:$E,'Disbursements Summary'!$C:$C,$C76,'Disbursements Summary'!$A:$A,"ITS")</f>
        <v>0</v>
      </c>
      <c r="DB76" s="55">
        <f>SUMIFS('Awards Summary'!$H:$H,'Awards Summary'!$B:$B,$C76,'Awards Summary'!$J:$J,"JAVITS")</f>
        <v>0</v>
      </c>
      <c r="DC76" s="55">
        <f>SUMIFS('Disbursements Summary'!$E:$E,'Disbursements Summary'!$C:$C,$C76,'Disbursements Summary'!$A:$A,"JAVITS")</f>
        <v>0</v>
      </c>
      <c r="DD76" s="55">
        <f>SUMIFS('Awards Summary'!$H:$H,'Awards Summary'!$B:$B,$C76,'Awards Summary'!$J:$J,"JCOPE")</f>
        <v>0</v>
      </c>
      <c r="DE76" s="55">
        <f>SUMIFS('Disbursements Summary'!$E:$E,'Disbursements Summary'!$C:$C,$C76,'Disbursements Summary'!$A:$A,"JCOPE")</f>
        <v>0</v>
      </c>
      <c r="DF76" s="55">
        <f>SUMIFS('Awards Summary'!$H:$H,'Awards Summary'!$B:$B,$C76,'Awards Summary'!$J:$J,"JUSTICE")</f>
        <v>0</v>
      </c>
      <c r="DG76" s="55">
        <f>SUMIFS('Disbursements Summary'!$E:$E,'Disbursements Summary'!$C:$C,$C76,'Disbursements Summary'!$A:$A,"JUSTICE")</f>
        <v>0</v>
      </c>
      <c r="DH76" s="55">
        <f>SUMIFS('Awards Summary'!$H:$H,'Awards Summary'!$B:$B,$C76,'Awards Summary'!$J:$J,"LCWSA")</f>
        <v>0</v>
      </c>
      <c r="DI76" s="55">
        <f>SUMIFS('Disbursements Summary'!$E:$E,'Disbursements Summary'!$C:$C,$C76,'Disbursements Summary'!$A:$A,"LCWSA")</f>
        <v>0</v>
      </c>
      <c r="DJ76" s="55">
        <f>SUMIFS('Awards Summary'!$H:$H,'Awards Summary'!$B:$B,$C76,'Awards Summary'!$J:$J,"LIPA")</f>
        <v>0</v>
      </c>
      <c r="DK76" s="55">
        <f>SUMIFS('Disbursements Summary'!$E:$E,'Disbursements Summary'!$C:$C,$C76,'Disbursements Summary'!$A:$A,"LIPA")</f>
        <v>0</v>
      </c>
      <c r="DL76" s="55">
        <f>SUMIFS('Awards Summary'!$H:$H,'Awards Summary'!$B:$B,$C76,'Awards Summary'!$J:$J,"MTA")</f>
        <v>0</v>
      </c>
      <c r="DM76" s="55">
        <f>SUMIFS('Disbursements Summary'!$E:$E,'Disbursements Summary'!$C:$C,$C76,'Disbursements Summary'!$A:$A,"MTA")</f>
        <v>0</v>
      </c>
      <c r="DN76" s="55">
        <f>SUMIFS('Awards Summary'!$H:$H,'Awards Summary'!$B:$B,$C76,'Awards Summary'!$J:$J,"NIFA")</f>
        <v>0</v>
      </c>
      <c r="DO76" s="55">
        <f>SUMIFS('Disbursements Summary'!$E:$E,'Disbursements Summary'!$C:$C,$C76,'Disbursements Summary'!$A:$A,"NIFA")</f>
        <v>0</v>
      </c>
      <c r="DP76" s="55">
        <f>SUMIFS('Awards Summary'!$H:$H,'Awards Summary'!$B:$B,$C76,'Awards Summary'!$J:$J,"NHCC")</f>
        <v>0</v>
      </c>
      <c r="DQ76" s="55">
        <f>SUMIFS('Disbursements Summary'!$E:$E,'Disbursements Summary'!$C:$C,$C76,'Disbursements Summary'!$A:$A,"NHCC")</f>
        <v>0</v>
      </c>
      <c r="DR76" s="55">
        <f>SUMIFS('Awards Summary'!$H:$H,'Awards Summary'!$B:$B,$C76,'Awards Summary'!$J:$J,"NHT")</f>
        <v>0</v>
      </c>
      <c r="DS76" s="55">
        <f>SUMIFS('Disbursements Summary'!$E:$E,'Disbursements Summary'!$C:$C,$C76,'Disbursements Summary'!$A:$A,"NHT")</f>
        <v>0</v>
      </c>
      <c r="DT76" s="55">
        <f>SUMIFS('Awards Summary'!$H:$H,'Awards Summary'!$B:$B,$C76,'Awards Summary'!$J:$J,"NYPA")</f>
        <v>0</v>
      </c>
      <c r="DU76" s="55">
        <f>SUMIFS('Disbursements Summary'!$E:$E,'Disbursements Summary'!$C:$C,$C76,'Disbursements Summary'!$A:$A,"NYPA")</f>
        <v>0</v>
      </c>
      <c r="DV76" s="55">
        <f>SUMIFS('Awards Summary'!$H:$H,'Awards Summary'!$B:$B,$C76,'Awards Summary'!$J:$J,"NYSBA")</f>
        <v>0</v>
      </c>
      <c r="DW76" s="55">
        <f>SUMIFS('Disbursements Summary'!$E:$E,'Disbursements Summary'!$C:$C,$C76,'Disbursements Summary'!$A:$A,"NYSBA")</f>
        <v>0</v>
      </c>
      <c r="DX76" s="55">
        <f>SUMIFS('Awards Summary'!$H:$H,'Awards Summary'!$B:$B,$C76,'Awards Summary'!$J:$J,"NYSERDA")</f>
        <v>0</v>
      </c>
      <c r="DY76" s="55">
        <f>SUMIFS('Disbursements Summary'!$E:$E,'Disbursements Summary'!$C:$C,$C76,'Disbursements Summary'!$A:$A,"NYSERDA")</f>
        <v>0</v>
      </c>
      <c r="DZ76" s="55">
        <f>SUMIFS('Awards Summary'!$H:$H,'Awards Summary'!$B:$B,$C76,'Awards Summary'!$J:$J,"DHCR")</f>
        <v>0</v>
      </c>
      <c r="EA76" s="55">
        <f>SUMIFS('Disbursements Summary'!$E:$E,'Disbursements Summary'!$C:$C,$C76,'Disbursements Summary'!$A:$A,"DHCR")</f>
        <v>0</v>
      </c>
      <c r="EB76" s="55">
        <f>SUMIFS('Awards Summary'!$H:$H,'Awards Summary'!$B:$B,$C76,'Awards Summary'!$J:$J,"HFA")</f>
        <v>0</v>
      </c>
      <c r="EC76" s="55">
        <f>SUMIFS('Disbursements Summary'!$E:$E,'Disbursements Summary'!$C:$C,$C76,'Disbursements Summary'!$A:$A,"HFA")</f>
        <v>0</v>
      </c>
      <c r="ED76" s="55">
        <f>SUMIFS('Awards Summary'!$H:$H,'Awards Summary'!$B:$B,$C76,'Awards Summary'!$J:$J,"NYSIF")</f>
        <v>0</v>
      </c>
      <c r="EE76" s="55">
        <f>SUMIFS('Disbursements Summary'!$E:$E,'Disbursements Summary'!$C:$C,$C76,'Disbursements Summary'!$A:$A,"NYSIF")</f>
        <v>0</v>
      </c>
      <c r="EF76" s="55">
        <f>SUMIFS('Awards Summary'!$H:$H,'Awards Summary'!$B:$B,$C76,'Awards Summary'!$J:$J,"NYBREDS")</f>
        <v>0</v>
      </c>
      <c r="EG76" s="55">
        <f>SUMIFS('Disbursements Summary'!$E:$E,'Disbursements Summary'!$C:$C,$C76,'Disbursements Summary'!$A:$A,"NYBREDS")</f>
        <v>0</v>
      </c>
      <c r="EH76" s="55">
        <f>SUMIFS('Awards Summary'!$H:$H,'Awards Summary'!$B:$B,$C76,'Awards Summary'!$J:$J,"NYSTA")</f>
        <v>0</v>
      </c>
      <c r="EI76" s="55">
        <f>SUMIFS('Disbursements Summary'!$E:$E,'Disbursements Summary'!$C:$C,$C76,'Disbursements Summary'!$A:$A,"NYSTA")</f>
        <v>0</v>
      </c>
      <c r="EJ76" s="55">
        <f>SUMIFS('Awards Summary'!$H:$H,'Awards Summary'!$B:$B,$C76,'Awards Summary'!$J:$J,"NFWB")</f>
        <v>0</v>
      </c>
      <c r="EK76" s="55">
        <f>SUMIFS('Disbursements Summary'!$E:$E,'Disbursements Summary'!$C:$C,$C76,'Disbursements Summary'!$A:$A,"NFWB")</f>
        <v>0</v>
      </c>
      <c r="EL76" s="55">
        <f>SUMIFS('Awards Summary'!$H:$H,'Awards Summary'!$B:$B,$C76,'Awards Summary'!$J:$J,"NFTA")</f>
        <v>0</v>
      </c>
      <c r="EM76" s="55">
        <f>SUMIFS('Disbursements Summary'!$E:$E,'Disbursements Summary'!$C:$C,$C76,'Disbursements Summary'!$A:$A,"NFTA")</f>
        <v>0</v>
      </c>
      <c r="EN76" s="55">
        <f>SUMIFS('Awards Summary'!$H:$H,'Awards Summary'!$B:$B,$C76,'Awards Summary'!$J:$J,"OPWDD")</f>
        <v>0</v>
      </c>
      <c r="EO76" s="55">
        <f>SUMIFS('Disbursements Summary'!$E:$E,'Disbursements Summary'!$C:$C,$C76,'Disbursements Summary'!$A:$A,"OPWDD")</f>
        <v>0</v>
      </c>
      <c r="EP76" s="55">
        <f>SUMIFS('Awards Summary'!$H:$H,'Awards Summary'!$B:$B,$C76,'Awards Summary'!$J:$J,"AGING")</f>
        <v>0</v>
      </c>
      <c r="EQ76" s="55">
        <f>SUMIFS('Disbursements Summary'!$E:$E,'Disbursements Summary'!$C:$C,$C76,'Disbursements Summary'!$A:$A,"AGING")</f>
        <v>0</v>
      </c>
      <c r="ER76" s="55">
        <f>SUMIFS('Awards Summary'!$H:$H,'Awards Summary'!$B:$B,$C76,'Awards Summary'!$J:$J,"OPDV")</f>
        <v>0</v>
      </c>
      <c r="ES76" s="55">
        <f>SUMIFS('Disbursements Summary'!$E:$E,'Disbursements Summary'!$C:$C,$C76,'Disbursements Summary'!$A:$A,"OPDV")</f>
        <v>0</v>
      </c>
      <c r="ET76" s="55">
        <f>SUMIFS('Awards Summary'!$H:$H,'Awards Summary'!$B:$B,$C76,'Awards Summary'!$J:$J,"OVS")</f>
        <v>0</v>
      </c>
      <c r="EU76" s="55">
        <f>SUMIFS('Disbursements Summary'!$E:$E,'Disbursements Summary'!$C:$C,$C76,'Disbursements Summary'!$A:$A,"OVS")</f>
        <v>0</v>
      </c>
      <c r="EV76" s="55">
        <f>SUMIFS('Awards Summary'!$H:$H,'Awards Summary'!$B:$B,$C76,'Awards Summary'!$J:$J,"OASAS")</f>
        <v>0</v>
      </c>
      <c r="EW76" s="55">
        <f>SUMIFS('Disbursements Summary'!$E:$E,'Disbursements Summary'!$C:$C,$C76,'Disbursements Summary'!$A:$A,"OASAS")</f>
        <v>0</v>
      </c>
      <c r="EX76" s="55">
        <f>SUMIFS('Awards Summary'!$H:$H,'Awards Summary'!$B:$B,$C76,'Awards Summary'!$J:$J,"OCFS")</f>
        <v>0</v>
      </c>
      <c r="EY76" s="55">
        <f>SUMIFS('Disbursements Summary'!$E:$E,'Disbursements Summary'!$C:$C,$C76,'Disbursements Summary'!$A:$A,"OCFS")</f>
        <v>0</v>
      </c>
      <c r="EZ76" s="55">
        <f>SUMIFS('Awards Summary'!$H:$H,'Awards Summary'!$B:$B,$C76,'Awards Summary'!$J:$J,"OGS")</f>
        <v>0</v>
      </c>
      <c r="FA76" s="55">
        <f>SUMIFS('Disbursements Summary'!$E:$E,'Disbursements Summary'!$C:$C,$C76,'Disbursements Summary'!$A:$A,"OGS")</f>
        <v>0</v>
      </c>
      <c r="FB76" s="55">
        <f>SUMIFS('Awards Summary'!$H:$H,'Awards Summary'!$B:$B,$C76,'Awards Summary'!$J:$J,"OMH")</f>
        <v>0</v>
      </c>
      <c r="FC76" s="55">
        <f>SUMIFS('Disbursements Summary'!$E:$E,'Disbursements Summary'!$C:$C,$C76,'Disbursements Summary'!$A:$A,"OMH")</f>
        <v>0</v>
      </c>
      <c r="FD76" s="55">
        <f>SUMIFS('Awards Summary'!$H:$H,'Awards Summary'!$B:$B,$C76,'Awards Summary'!$J:$J,"PARKS")</f>
        <v>0</v>
      </c>
      <c r="FE76" s="55">
        <f>SUMIFS('Disbursements Summary'!$E:$E,'Disbursements Summary'!$C:$C,$C76,'Disbursements Summary'!$A:$A,"PARKS")</f>
        <v>0</v>
      </c>
      <c r="FF76" s="55">
        <f>SUMIFS('Awards Summary'!$H:$H,'Awards Summary'!$B:$B,$C76,'Awards Summary'!$J:$J,"OTDA")</f>
        <v>0</v>
      </c>
      <c r="FG76" s="55">
        <f>SUMIFS('Disbursements Summary'!$E:$E,'Disbursements Summary'!$C:$C,$C76,'Disbursements Summary'!$A:$A,"OTDA")</f>
        <v>0</v>
      </c>
      <c r="FH76" s="55">
        <f>SUMIFS('Awards Summary'!$H:$H,'Awards Summary'!$B:$B,$C76,'Awards Summary'!$J:$J,"OIG")</f>
        <v>0</v>
      </c>
      <c r="FI76" s="55">
        <f>SUMIFS('Disbursements Summary'!$E:$E,'Disbursements Summary'!$C:$C,$C76,'Disbursements Summary'!$A:$A,"OIG")</f>
        <v>0</v>
      </c>
      <c r="FJ76" s="55">
        <f>SUMIFS('Awards Summary'!$H:$H,'Awards Summary'!$B:$B,$C76,'Awards Summary'!$J:$J,"OMIG")</f>
        <v>0</v>
      </c>
      <c r="FK76" s="55">
        <f>SUMIFS('Disbursements Summary'!$E:$E,'Disbursements Summary'!$C:$C,$C76,'Disbursements Summary'!$A:$A,"OMIG")</f>
        <v>0</v>
      </c>
      <c r="FL76" s="55">
        <f>SUMIFS('Awards Summary'!$H:$H,'Awards Summary'!$B:$B,$C76,'Awards Summary'!$J:$J,"OSC")</f>
        <v>0</v>
      </c>
      <c r="FM76" s="55">
        <f>SUMIFS('Disbursements Summary'!$E:$E,'Disbursements Summary'!$C:$C,$C76,'Disbursements Summary'!$A:$A,"OSC")</f>
        <v>0</v>
      </c>
      <c r="FN76" s="55">
        <f>SUMIFS('Awards Summary'!$H:$H,'Awards Summary'!$B:$B,$C76,'Awards Summary'!$J:$J,"OWIG")</f>
        <v>0</v>
      </c>
      <c r="FO76" s="55">
        <f>SUMIFS('Disbursements Summary'!$E:$E,'Disbursements Summary'!$C:$C,$C76,'Disbursements Summary'!$A:$A,"OWIG")</f>
        <v>0</v>
      </c>
      <c r="FP76" s="55">
        <f>SUMIFS('Awards Summary'!$H:$H,'Awards Summary'!$B:$B,$C76,'Awards Summary'!$J:$J,"OGDEN")</f>
        <v>0</v>
      </c>
      <c r="FQ76" s="55">
        <f>SUMIFS('Disbursements Summary'!$E:$E,'Disbursements Summary'!$C:$C,$C76,'Disbursements Summary'!$A:$A,"OGDEN")</f>
        <v>0</v>
      </c>
      <c r="FR76" s="55">
        <f>SUMIFS('Awards Summary'!$H:$H,'Awards Summary'!$B:$B,$C76,'Awards Summary'!$J:$J,"ORDA")</f>
        <v>0</v>
      </c>
      <c r="FS76" s="55">
        <f>SUMIFS('Disbursements Summary'!$E:$E,'Disbursements Summary'!$C:$C,$C76,'Disbursements Summary'!$A:$A,"ORDA")</f>
        <v>0</v>
      </c>
      <c r="FT76" s="55">
        <f>SUMIFS('Awards Summary'!$H:$H,'Awards Summary'!$B:$B,$C76,'Awards Summary'!$J:$J,"OSWEGO")</f>
        <v>0</v>
      </c>
      <c r="FU76" s="55">
        <f>SUMIFS('Disbursements Summary'!$E:$E,'Disbursements Summary'!$C:$C,$C76,'Disbursements Summary'!$A:$A,"OSWEGO")</f>
        <v>0</v>
      </c>
      <c r="FV76" s="55">
        <f>SUMIFS('Awards Summary'!$H:$H,'Awards Summary'!$B:$B,$C76,'Awards Summary'!$J:$J,"PERB")</f>
        <v>0</v>
      </c>
      <c r="FW76" s="55">
        <f>SUMIFS('Disbursements Summary'!$E:$E,'Disbursements Summary'!$C:$C,$C76,'Disbursements Summary'!$A:$A,"PERB")</f>
        <v>0</v>
      </c>
      <c r="FX76" s="55">
        <f>SUMIFS('Awards Summary'!$H:$H,'Awards Summary'!$B:$B,$C76,'Awards Summary'!$J:$J,"RGRTA")</f>
        <v>0</v>
      </c>
      <c r="FY76" s="55">
        <f>SUMIFS('Disbursements Summary'!$E:$E,'Disbursements Summary'!$C:$C,$C76,'Disbursements Summary'!$A:$A,"RGRTA")</f>
        <v>0</v>
      </c>
      <c r="FZ76" s="55">
        <f>SUMIFS('Awards Summary'!$H:$H,'Awards Summary'!$B:$B,$C76,'Awards Summary'!$J:$J,"RIOC")</f>
        <v>0</v>
      </c>
      <c r="GA76" s="55">
        <f>SUMIFS('Disbursements Summary'!$E:$E,'Disbursements Summary'!$C:$C,$C76,'Disbursements Summary'!$A:$A,"RIOC")</f>
        <v>0</v>
      </c>
      <c r="GB76" s="55">
        <f>SUMIFS('Awards Summary'!$H:$H,'Awards Summary'!$B:$B,$C76,'Awards Summary'!$J:$J,"RPCI")</f>
        <v>0</v>
      </c>
      <c r="GC76" s="55">
        <f>SUMIFS('Disbursements Summary'!$E:$E,'Disbursements Summary'!$C:$C,$C76,'Disbursements Summary'!$A:$A,"RPCI")</f>
        <v>0</v>
      </c>
      <c r="GD76" s="55">
        <f>SUMIFS('Awards Summary'!$H:$H,'Awards Summary'!$B:$B,$C76,'Awards Summary'!$J:$J,"SMDA")</f>
        <v>0</v>
      </c>
      <c r="GE76" s="55">
        <f>SUMIFS('Disbursements Summary'!$E:$E,'Disbursements Summary'!$C:$C,$C76,'Disbursements Summary'!$A:$A,"SMDA")</f>
        <v>0</v>
      </c>
      <c r="GF76" s="55">
        <f>SUMIFS('Awards Summary'!$H:$H,'Awards Summary'!$B:$B,$C76,'Awards Summary'!$J:$J,"SCOC")</f>
        <v>0</v>
      </c>
      <c r="GG76" s="55">
        <f>SUMIFS('Disbursements Summary'!$E:$E,'Disbursements Summary'!$C:$C,$C76,'Disbursements Summary'!$A:$A,"SCOC")</f>
        <v>0</v>
      </c>
      <c r="GH76" s="55">
        <f>SUMIFS('Awards Summary'!$H:$H,'Awards Summary'!$B:$B,$C76,'Awards Summary'!$J:$J,"SUCF")</f>
        <v>0</v>
      </c>
      <c r="GI76" s="55">
        <f>SUMIFS('Disbursements Summary'!$E:$E,'Disbursements Summary'!$C:$C,$C76,'Disbursements Summary'!$A:$A,"SUCF")</f>
        <v>0</v>
      </c>
      <c r="GJ76" s="55">
        <f>SUMIFS('Awards Summary'!$H:$H,'Awards Summary'!$B:$B,$C76,'Awards Summary'!$J:$J,"SUNY")</f>
        <v>0</v>
      </c>
      <c r="GK76" s="55">
        <f>SUMIFS('Disbursements Summary'!$E:$E,'Disbursements Summary'!$C:$C,$C76,'Disbursements Summary'!$A:$A,"SUNY")</f>
        <v>0</v>
      </c>
      <c r="GL76" s="55">
        <f>SUMIFS('Awards Summary'!$H:$H,'Awards Summary'!$B:$B,$C76,'Awards Summary'!$J:$J,"SRAA")</f>
        <v>0</v>
      </c>
      <c r="GM76" s="55">
        <f>SUMIFS('Disbursements Summary'!$E:$E,'Disbursements Summary'!$C:$C,$C76,'Disbursements Summary'!$A:$A,"SRAA")</f>
        <v>0</v>
      </c>
      <c r="GN76" s="55">
        <f>SUMIFS('Awards Summary'!$H:$H,'Awards Summary'!$B:$B,$C76,'Awards Summary'!$J:$J,"UNDC")</f>
        <v>0</v>
      </c>
      <c r="GO76" s="55">
        <f>SUMIFS('Disbursements Summary'!$E:$E,'Disbursements Summary'!$C:$C,$C76,'Disbursements Summary'!$A:$A,"UNDC")</f>
        <v>0</v>
      </c>
      <c r="GP76" s="55">
        <f>SUMIFS('Awards Summary'!$H:$H,'Awards Summary'!$B:$B,$C76,'Awards Summary'!$J:$J,"MVWA")</f>
        <v>0</v>
      </c>
      <c r="GQ76" s="55">
        <f>SUMIFS('Disbursements Summary'!$E:$E,'Disbursements Summary'!$C:$C,$C76,'Disbursements Summary'!$A:$A,"MVWA")</f>
        <v>0</v>
      </c>
      <c r="GR76" s="55">
        <f>SUMIFS('Awards Summary'!$H:$H,'Awards Summary'!$B:$B,$C76,'Awards Summary'!$J:$J,"WMC")</f>
        <v>0</v>
      </c>
      <c r="GS76" s="55">
        <f>SUMIFS('Disbursements Summary'!$E:$E,'Disbursements Summary'!$C:$C,$C76,'Disbursements Summary'!$A:$A,"WMC")</f>
        <v>0</v>
      </c>
      <c r="GT76" s="55">
        <f>SUMIFS('Awards Summary'!$H:$H,'Awards Summary'!$B:$B,$C76,'Awards Summary'!$J:$J,"WCB")</f>
        <v>0</v>
      </c>
      <c r="GU76" s="55">
        <f>SUMIFS('Disbursements Summary'!$E:$E,'Disbursements Summary'!$C:$C,$C76,'Disbursements Summary'!$A:$A,"WCB")</f>
        <v>0</v>
      </c>
      <c r="GV76" s="32">
        <f t="shared" si="5"/>
        <v>0</v>
      </c>
      <c r="GW76" s="32">
        <f t="shared" si="6"/>
        <v>0</v>
      </c>
      <c r="GX76" s="30" t="b">
        <f t="shared" si="7"/>
        <v>1</v>
      </c>
      <c r="GY76" s="30" t="b">
        <f t="shared" si="8"/>
        <v>1</v>
      </c>
    </row>
    <row r="77" spans="1:207" s="30" customFormat="1">
      <c r="A77" s="22" t="str">
        <f t="shared" si="9"/>
        <v/>
      </c>
      <c r="B77" s="40" t="s">
        <v>35</v>
      </c>
      <c r="C77" s="16">
        <v>151154</v>
      </c>
      <c r="D77" s="26">
        <f>COUNTIF('Awards Summary'!B:B,"151154")</f>
        <v>0</v>
      </c>
      <c r="E77" s="45">
        <f>SUMIFS('Awards Summary'!H:H,'Awards Summary'!B:B,"151154")</f>
        <v>0</v>
      </c>
      <c r="F77" s="46">
        <f>SUMIFS('Disbursements Summary'!E:E,'Disbursements Summary'!C:C, "151154")</f>
        <v>0</v>
      </c>
      <c r="H77" s="55">
        <f>SUMIFS('Awards Summary'!$H:$H,'Awards Summary'!$B:$B,$C77,'Awards Summary'!$J:$J,"APA")</f>
        <v>0</v>
      </c>
      <c r="I77" s="55">
        <f>SUMIFS('Disbursements Summary'!$E:$E,'Disbursements Summary'!$C:$C,$C77,'Disbursements Summary'!$A:$A,"APA")</f>
        <v>0</v>
      </c>
      <c r="J77" s="55">
        <f>SUMIFS('Awards Summary'!$H:$H,'Awards Summary'!$B:$B,$C77,'Awards Summary'!$J:$J,"Ag&amp;Horse")</f>
        <v>0</v>
      </c>
      <c r="K77" s="55">
        <f>SUMIFS('Disbursements Summary'!$E:$E,'Disbursements Summary'!$C:$C,$C77,'Disbursements Summary'!$A:$A,"Ag&amp;Horse")</f>
        <v>0</v>
      </c>
      <c r="L77" s="55">
        <f>SUMIFS('Awards Summary'!$H:$H,'Awards Summary'!$B:$B,$C77,'Awards Summary'!$J:$J,"ACAA")</f>
        <v>0</v>
      </c>
      <c r="M77" s="55">
        <f>SUMIFS('Disbursements Summary'!$E:$E,'Disbursements Summary'!$C:$C,$C77,'Disbursements Summary'!$A:$A,"ACAA")</f>
        <v>0</v>
      </c>
      <c r="N77" s="55">
        <f>SUMIFS('Awards Summary'!$H:$H,'Awards Summary'!$B:$B,$C77,'Awards Summary'!$J:$J,"PortAlbany")</f>
        <v>0</v>
      </c>
      <c r="O77" s="55">
        <f>SUMIFS('Disbursements Summary'!$E:$E,'Disbursements Summary'!$C:$C,$C77,'Disbursements Summary'!$A:$A,"PortAlbany")</f>
        <v>0</v>
      </c>
      <c r="P77" s="55">
        <f>SUMIFS('Awards Summary'!$H:$H,'Awards Summary'!$B:$B,$C77,'Awards Summary'!$J:$J,"SLA")</f>
        <v>0</v>
      </c>
      <c r="Q77" s="55">
        <f>SUMIFS('Disbursements Summary'!$E:$E,'Disbursements Summary'!$C:$C,$C77,'Disbursements Summary'!$A:$A,"SLA")</f>
        <v>0</v>
      </c>
      <c r="R77" s="55">
        <f>SUMIFS('Awards Summary'!$H:$H,'Awards Summary'!$B:$B,$C77,'Awards Summary'!$J:$J,"BPCA")</f>
        <v>0</v>
      </c>
      <c r="S77" s="55">
        <f>SUMIFS('Disbursements Summary'!$E:$E,'Disbursements Summary'!$C:$C,$C77,'Disbursements Summary'!$A:$A,"BPCA")</f>
        <v>0</v>
      </c>
      <c r="T77" s="55">
        <f>SUMIFS('Awards Summary'!$H:$H,'Awards Summary'!$B:$B,$C77,'Awards Summary'!$J:$J,"ELECTIONS")</f>
        <v>0</v>
      </c>
      <c r="U77" s="55">
        <f>SUMIFS('Disbursements Summary'!$E:$E,'Disbursements Summary'!$C:$C,$C77,'Disbursements Summary'!$A:$A,"ELECTIONS")</f>
        <v>0</v>
      </c>
      <c r="V77" s="55">
        <f>SUMIFS('Awards Summary'!$H:$H,'Awards Summary'!$B:$B,$C77,'Awards Summary'!$J:$J,"BFSA")</f>
        <v>0</v>
      </c>
      <c r="W77" s="55">
        <f>SUMIFS('Disbursements Summary'!$E:$E,'Disbursements Summary'!$C:$C,$C77,'Disbursements Summary'!$A:$A,"BFSA")</f>
        <v>0</v>
      </c>
      <c r="X77" s="55">
        <f>SUMIFS('Awards Summary'!$H:$H,'Awards Summary'!$B:$B,$C77,'Awards Summary'!$J:$J,"CDTA")</f>
        <v>0</v>
      </c>
      <c r="Y77" s="55">
        <f>SUMIFS('Disbursements Summary'!$E:$E,'Disbursements Summary'!$C:$C,$C77,'Disbursements Summary'!$A:$A,"CDTA")</f>
        <v>0</v>
      </c>
      <c r="Z77" s="55">
        <f>SUMIFS('Awards Summary'!$H:$H,'Awards Summary'!$B:$B,$C77,'Awards Summary'!$J:$J,"CCWSA")</f>
        <v>0</v>
      </c>
      <c r="AA77" s="55">
        <f>SUMIFS('Disbursements Summary'!$E:$E,'Disbursements Summary'!$C:$C,$C77,'Disbursements Summary'!$A:$A,"CCWSA")</f>
        <v>0</v>
      </c>
      <c r="AB77" s="55">
        <f>SUMIFS('Awards Summary'!$H:$H,'Awards Summary'!$B:$B,$C77,'Awards Summary'!$J:$J,"CNYRTA")</f>
        <v>0</v>
      </c>
      <c r="AC77" s="55">
        <f>SUMIFS('Disbursements Summary'!$E:$E,'Disbursements Summary'!$C:$C,$C77,'Disbursements Summary'!$A:$A,"CNYRTA")</f>
        <v>0</v>
      </c>
      <c r="AD77" s="55">
        <f>SUMIFS('Awards Summary'!$H:$H,'Awards Summary'!$B:$B,$C77,'Awards Summary'!$J:$J,"CUCF")</f>
        <v>0</v>
      </c>
      <c r="AE77" s="55">
        <f>SUMIFS('Disbursements Summary'!$E:$E,'Disbursements Summary'!$C:$C,$C77,'Disbursements Summary'!$A:$A,"CUCF")</f>
        <v>0</v>
      </c>
      <c r="AF77" s="55">
        <f>SUMIFS('Awards Summary'!$H:$H,'Awards Summary'!$B:$B,$C77,'Awards Summary'!$J:$J,"CUNY")</f>
        <v>0</v>
      </c>
      <c r="AG77" s="55">
        <f>SUMIFS('Disbursements Summary'!$E:$E,'Disbursements Summary'!$C:$C,$C77,'Disbursements Summary'!$A:$A,"CUNY")</f>
        <v>0</v>
      </c>
      <c r="AH77" s="55">
        <f>SUMIFS('Awards Summary'!$H:$H,'Awards Summary'!$B:$B,$C77,'Awards Summary'!$J:$J,"ARTS")</f>
        <v>0</v>
      </c>
      <c r="AI77" s="55">
        <f>SUMIFS('Disbursements Summary'!$E:$E,'Disbursements Summary'!$C:$C,$C77,'Disbursements Summary'!$A:$A,"ARTS")</f>
        <v>0</v>
      </c>
      <c r="AJ77" s="55">
        <f>SUMIFS('Awards Summary'!$H:$H,'Awards Summary'!$B:$B,$C77,'Awards Summary'!$J:$J,"AG&amp;MKTS")</f>
        <v>0</v>
      </c>
      <c r="AK77" s="55">
        <f>SUMIFS('Disbursements Summary'!$E:$E,'Disbursements Summary'!$C:$C,$C77,'Disbursements Summary'!$A:$A,"AG&amp;MKTS")</f>
        <v>0</v>
      </c>
      <c r="AL77" s="55">
        <f>SUMIFS('Awards Summary'!$H:$H,'Awards Summary'!$B:$B,$C77,'Awards Summary'!$J:$J,"CS")</f>
        <v>0</v>
      </c>
      <c r="AM77" s="55">
        <f>SUMIFS('Disbursements Summary'!$E:$E,'Disbursements Summary'!$C:$C,$C77,'Disbursements Summary'!$A:$A,"CS")</f>
        <v>0</v>
      </c>
      <c r="AN77" s="55">
        <f>SUMIFS('Awards Summary'!$H:$H,'Awards Summary'!$B:$B,$C77,'Awards Summary'!$J:$J,"DOCCS")</f>
        <v>0</v>
      </c>
      <c r="AO77" s="55">
        <f>SUMIFS('Disbursements Summary'!$E:$E,'Disbursements Summary'!$C:$C,$C77,'Disbursements Summary'!$A:$A,"DOCCS")</f>
        <v>0</v>
      </c>
      <c r="AP77" s="55">
        <f>SUMIFS('Awards Summary'!$H:$H,'Awards Summary'!$B:$B,$C77,'Awards Summary'!$J:$J,"DED")</f>
        <v>0</v>
      </c>
      <c r="AQ77" s="55">
        <f>SUMIFS('Disbursements Summary'!$E:$E,'Disbursements Summary'!$C:$C,$C77,'Disbursements Summary'!$A:$A,"DED")</f>
        <v>0</v>
      </c>
      <c r="AR77" s="55">
        <f>SUMIFS('Awards Summary'!$H:$H,'Awards Summary'!$B:$B,$C77,'Awards Summary'!$J:$J,"DEC")</f>
        <v>0</v>
      </c>
      <c r="AS77" s="55">
        <f>SUMIFS('Disbursements Summary'!$E:$E,'Disbursements Summary'!$C:$C,$C77,'Disbursements Summary'!$A:$A,"DEC")</f>
        <v>0</v>
      </c>
      <c r="AT77" s="55">
        <f>SUMIFS('Awards Summary'!$H:$H,'Awards Summary'!$B:$B,$C77,'Awards Summary'!$J:$J,"DFS")</f>
        <v>0</v>
      </c>
      <c r="AU77" s="55">
        <f>SUMIFS('Disbursements Summary'!$E:$E,'Disbursements Summary'!$C:$C,$C77,'Disbursements Summary'!$A:$A,"DFS")</f>
        <v>0</v>
      </c>
      <c r="AV77" s="55">
        <f>SUMIFS('Awards Summary'!$H:$H,'Awards Summary'!$B:$B,$C77,'Awards Summary'!$J:$J,"DOH")</f>
        <v>0</v>
      </c>
      <c r="AW77" s="55">
        <f>SUMIFS('Disbursements Summary'!$E:$E,'Disbursements Summary'!$C:$C,$C77,'Disbursements Summary'!$A:$A,"DOH")</f>
        <v>0</v>
      </c>
      <c r="AX77" s="55">
        <f>SUMIFS('Awards Summary'!$H:$H,'Awards Summary'!$B:$B,$C77,'Awards Summary'!$J:$J,"DOL")</f>
        <v>0</v>
      </c>
      <c r="AY77" s="55">
        <f>SUMIFS('Disbursements Summary'!$E:$E,'Disbursements Summary'!$C:$C,$C77,'Disbursements Summary'!$A:$A,"DOL")</f>
        <v>0</v>
      </c>
      <c r="AZ77" s="55">
        <f>SUMIFS('Awards Summary'!$H:$H,'Awards Summary'!$B:$B,$C77,'Awards Summary'!$J:$J,"DMV")</f>
        <v>0</v>
      </c>
      <c r="BA77" s="55">
        <f>SUMIFS('Disbursements Summary'!$E:$E,'Disbursements Summary'!$C:$C,$C77,'Disbursements Summary'!$A:$A,"DMV")</f>
        <v>0</v>
      </c>
      <c r="BB77" s="55">
        <f>SUMIFS('Awards Summary'!$H:$H,'Awards Summary'!$B:$B,$C77,'Awards Summary'!$J:$J,"DPS")</f>
        <v>0</v>
      </c>
      <c r="BC77" s="55">
        <f>SUMIFS('Disbursements Summary'!$E:$E,'Disbursements Summary'!$C:$C,$C77,'Disbursements Summary'!$A:$A,"DPS")</f>
        <v>0</v>
      </c>
      <c r="BD77" s="55">
        <f>SUMIFS('Awards Summary'!$H:$H,'Awards Summary'!$B:$B,$C77,'Awards Summary'!$J:$J,"DOS")</f>
        <v>0</v>
      </c>
      <c r="BE77" s="55">
        <f>SUMIFS('Disbursements Summary'!$E:$E,'Disbursements Summary'!$C:$C,$C77,'Disbursements Summary'!$A:$A,"DOS")</f>
        <v>0</v>
      </c>
      <c r="BF77" s="55">
        <f>SUMIFS('Awards Summary'!$H:$H,'Awards Summary'!$B:$B,$C77,'Awards Summary'!$J:$J,"TAX")</f>
        <v>0</v>
      </c>
      <c r="BG77" s="55">
        <f>SUMIFS('Disbursements Summary'!$E:$E,'Disbursements Summary'!$C:$C,$C77,'Disbursements Summary'!$A:$A,"TAX")</f>
        <v>0</v>
      </c>
      <c r="BH77" s="55">
        <f>SUMIFS('Awards Summary'!$H:$H,'Awards Summary'!$B:$B,$C77,'Awards Summary'!$J:$J,"DOT")</f>
        <v>0</v>
      </c>
      <c r="BI77" s="55">
        <f>SUMIFS('Disbursements Summary'!$E:$E,'Disbursements Summary'!$C:$C,$C77,'Disbursements Summary'!$A:$A,"DOT")</f>
        <v>0</v>
      </c>
      <c r="BJ77" s="55">
        <f>SUMIFS('Awards Summary'!$H:$H,'Awards Summary'!$B:$B,$C77,'Awards Summary'!$J:$J,"DANC")</f>
        <v>0</v>
      </c>
      <c r="BK77" s="55">
        <f>SUMIFS('Disbursements Summary'!$E:$E,'Disbursements Summary'!$C:$C,$C77,'Disbursements Summary'!$A:$A,"DANC")</f>
        <v>0</v>
      </c>
      <c r="BL77" s="55">
        <f>SUMIFS('Awards Summary'!$H:$H,'Awards Summary'!$B:$B,$C77,'Awards Summary'!$J:$J,"DOB")</f>
        <v>0</v>
      </c>
      <c r="BM77" s="55">
        <f>SUMIFS('Disbursements Summary'!$E:$E,'Disbursements Summary'!$C:$C,$C77,'Disbursements Summary'!$A:$A,"DOB")</f>
        <v>0</v>
      </c>
      <c r="BN77" s="55">
        <f>SUMIFS('Awards Summary'!$H:$H,'Awards Summary'!$B:$B,$C77,'Awards Summary'!$J:$J,"DCJS")</f>
        <v>0</v>
      </c>
      <c r="BO77" s="55">
        <f>SUMIFS('Disbursements Summary'!$E:$E,'Disbursements Summary'!$C:$C,$C77,'Disbursements Summary'!$A:$A,"DCJS")</f>
        <v>0</v>
      </c>
      <c r="BP77" s="55">
        <f>SUMIFS('Awards Summary'!$H:$H,'Awards Summary'!$B:$B,$C77,'Awards Summary'!$J:$J,"DHSES")</f>
        <v>0</v>
      </c>
      <c r="BQ77" s="55">
        <f>SUMIFS('Disbursements Summary'!$E:$E,'Disbursements Summary'!$C:$C,$C77,'Disbursements Summary'!$A:$A,"DHSES")</f>
        <v>0</v>
      </c>
      <c r="BR77" s="55">
        <f>SUMIFS('Awards Summary'!$H:$H,'Awards Summary'!$B:$B,$C77,'Awards Summary'!$J:$J,"DHR")</f>
        <v>0</v>
      </c>
      <c r="BS77" s="55">
        <f>SUMIFS('Disbursements Summary'!$E:$E,'Disbursements Summary'!$C:$C,$C77,'Disbursements Summary'!$A:$A,"DHR")</f>
        <v>0</v>
      </c>
      <c r="BT77" s="55">
        <f>SUMIFS('Awards Summary'!$H:$H,'Awards Summary'!$B:$B,$C77,'Awards Summary'!$J:$J,"DMNA")</f>
        <v>0</v>
      </c>
      <c r="BU77" s="55">
        <f>SUMIFS('Disbursements Summary'!$E:$E,'Disbursements Summary'!$C:$C,$C77,'Disbursements Summary'!$A:$A,"DMNA")</f>
        <v>0</v>
      </c>
      <c r="BV77" s="55">
        <f>SUMIFS('Awards Summary'!$H:$H,'Awards Summary'!$B:$B,$C77,'Awards Summary'!$J:$J,"TROOPERS")</f>
        <v>0</v>
      </c>
      <c r="BW77" s="55">
        <f>SUMIFS('Disbursements Summary'!$E:$E,'Disbursements Summary'!$C:$C,$C77,'Disbursements Summary'!$A:$A,"TROOPERS")</f>
        <v>0</v>
      </c>
      <c r="BX77" s="55">
        <f>SUMIFS('Awards Summary'!$H:$H,'Awards Summary'!$B:$B,$C77,'Awards Summary'!$J:$J,"DVA")</f>
        <v>0</v>
      </c>
      <c r="BY77" s="55">
        <f>SUMIFS('Disbursements Summary'!$E:$E,'Disbursements Summary'!$C:$C,$C77,'Disbursements Summary'!$A:$A,"DVA")</f>
        <v>0</v>
      </c>
      <c r="BZ77" s="55">
        <f>SUMIFS('Awards Summary'!$H:$H,'Awards Summary'!$B:$B,$C77,'Awards Summary'!$J:$J,"DASNY")</f>
        <v>0</v>
      </c>
      <c r="CA77" s="55">
        <f>SUMIFS('Disbursements Summary'!$E:$E,'Disbursements Summary'!$C:$C,$C77,'Disbursements Summary'!$A:$A,"DASNY")</f>
        <v>0</v>
      </c>
      <c r="CB77" s="55">
        <f>SUMIFS('Awards Summary'!$H:$H,'Awards Summary'!$B:$B,$C77,'Awards Summary'!$J:$J,"EGG")</f>
        <v>0</v>
      </c>
      <c r="CC77" s="55">
        <f>SUMIFS('Disbursements Summary'!$E:$E,'Disbursements Summary'!$C:$C,$C77,'Disbursements Summary'!$A:$A,"EGG")</f>
        <v>0</v>
      </c>
      <c r="CD77" s="55">
        <f>SUMIFS('Awards Summary'!$H:$H,'Awards Summary'!$B:$B,$C77,'Awards Summary'!$J:$J,"ESD")</f>
        <v>0</v>
      </c>
      <c r="CE77" s="55">
        <f>SUMIFS('Disbursements Summary'!$E:$E,'Disbursements Summary'!$C:$C,$C77,'Disbursements Summary'!$A:$A,"ESD")</f>
        <v>0</v>
      </c>
      <c r="CF77" s="55">
        <f>SUMIFS('Awards Summary'!$H:$H,'Awards Summary'!$B:$B,$C77,'Awards Summary'!$J:$J,"EFC")</f>
        <v>0</v>
      </c>
      <c r="CG77" s="55">
        <f>SUMIFS('Disbursements Summary'!$E:$E,'Disbursements Summary'!$C:$C,$C77,'Disbursements Summary'!$A:$A,"EFC")</f>
        <v>0</v>
      </c>
      <c r="CH77" s="55">
        <f>SUMIFS('Awards Summary'!$H:$H,'Awards Summary'!$B:$B,$C77,'Awards Summary'!$J:$J,"ECFSA")</f>
        <v>0</v>
      </c>
      <c r="CI77" s="55">
        <f>SUMIFS('Disbursements Summary'!$E:$E,'Disbursements Summary'!$C:$C,$C77,'Disbursements Summary'!$A:$A,"ECFSA")</f>
        <v>0</v>
      </c>
      <c r="CJ77" s="55">
        <f>SUMIFS('Awards Summary'!$H:$H,'Awards Summary'!$B:$B,$C77,'Awards Summary'!$J:$J,"ECMC")</f>
        <v>0</v>
      </c>
      <c r="CK77" s="55">
        <f>SUMIFS('Disbursements Summary'!$E:$E,'Disbursements Summary'!$C:$C,$C77,'Disbursements Summary'!$A:$A,"ECMC")</f>
        <v>0</v>
      </c>
      <c r="CL77" s="55">
        <f>SUMIFS('Awards Summary'!$H:$H,'Awards Summary'!$B:$B,$C77,'Awards Summary'!$J:$J,"CHAMBER")</f>
        <v>0</v>
      </c>
      <c r="CM77" s="55">
        <f>SUMIFS('Disbursements Summary'!$E:$E,'Disbursements Summary'!$C:$C,$C77,'Disbursements Summary'!$A:$A,"CHAMBER")</f>
        <v>0</v>
      </c>
      <c r="CN77" s="55">
        <f>SUMIFS('Awards Summary'!$H:$H,'Awards Summary'!$B:$B,$C77,'Awards Summary'!$J:$J,"GAMING")</f>
        <v>0</v>
      </c>
      <c r="CO77" s="55">
        <f>SUMIFS('Disbursements Summary'!$E:$E,'Disbursements Summary'!$C:$C,$C77,'Disbursements Summary'!$A:$A,"GAMING")</f>
        <v>0</v>
      </c>
      <c r="CP77" s="55">
        <f>SUMIFS('Awards Summary'!$H:$H,'Awards Summary'!$B:$B,$C77,'Awards Summary'!$J:$J,"GOER")</f>
        <v>0</v>
      </c>
      <c r="CQ77" s="55">
        <f>SUMIFS('Disbursements Summary'!$E:$E,'Disbursements Summary'!$C:$C,$C77,'Disbursements Summary'!$A:$A,"GOER")</f>
        <v>0</v>
      </c>
      <c r="CR77" s="55">
        <f>SUMIFS('Awards Summary'!$H:$H,'Awards Summary'!$B:$B,$C77,'Awards Summary'!$J:$J,"HESC")</f>
        <v>0</v>
      </c>
      <c r="CS77" s="55">
        <f>SUMIFS('Disbursements Summary'!$E:$E,'Disbursements Summary'!$C:$C,$C77,'Disbursements Summary'!$A:$A,"HESC")</f>
        <v>0</v>
      </c>
      <c r="CT77" s="55">
        <f>SUMIFS('Awards Summary'!$H:$H,'Awards Summary'!$B:$B,$C77,'Awards Summary'!$J:$J,"GOSR")</f>
        <v>0</v>
      </c>
      <c r="CU77" s="55">
        <f>SUMIFS('Disbursements Summary'!$E:$E,'Disbursements Summary'!$C:$C,$C77,'Disbursements Summary'!$A:$A,"GOSR")</f>
        <v>0</v>
      </c>
      <c r="CV77" s="55">
        <f>SUMIFS('Awards Summary'!$H:$H,'Awards Summary'!$B:$B,$C77,'Awards Summary'!$J:$J,"HRPT")</f>
        <v>0</v>
      </c>
      <c r="CW77" s="55">
        <f>SUMIFS('Disbursements Summary'!$E:$E,'Disbursements Summary'!$C:$C,$C77,'Disbursements Summary'!$A:$A,"HRPT")</f>
        <v>0</v>
      </c>
      <c r="CX77" s="55">
        <f>SUMIFS('Awards Summary'!$H:$H,'Awards Summary'!$B:$B,$C77,'Awards Summary'!$J:$J,"HRBRRD")</f>
        <v>0</v>
      </c>
      <c r="CY77" s="55">
        <f>SUMIFS('Disbursements Summary'!$E:$E,'Disbursements Summary'!$C:$C,$C77,'Disbursements Summary'!$A:$A,"HRBRRD")</f>
        <v>0</v>
      </c>
      <c r="CZ77" s="55">
        <f>SUMIFS('Awards Summary'!$H:$H,'Awards Summary'!$B:$B,$C77,'Awards Summary'!$J:$J,"ITS")</f>
        <v>0</v>
      </c>
      <c r="DA77" s="55">
        <f>SUMIFS('Disbursements Summary'!$E:$E,'Disbursements Summary'!$C:$C,$C77,'Disbursements Summary'!$A:$A,"ITS")</f>
        <v>0</v>
      </c>
      <c r="DB77" s="55">
        <f>SUMIFS('Awards Summary'!$H:$H,'Awards Summary'!$B:$B,$C77,'Awards Summary'!$J:$J,"JAVITS")</f>
        <v>0</v>
      </c>
      <c r="DC77" s="55">
        <f>SUMIFS('Disbursements Summary'!$E:$E,'Disbursements Summary'!$C:$C,$C77,'Disbursements Summary'!$A:$A,"JAVITS")</f>
        <v>0</v>
      </c>
      <c r="DD77" s="55">
        <f>SUMIFS('Awards Summary'!$H:$H,'Awards Summary'!$B:$B,$C77,'Awards Summary'!$J:$J,"JCOPE")</f>
        <v>0</v>
      </c>
      <c r="DE77" s="55">
        <f>SUMIFS('Disbursements Summary'!$E:$E,'Disbursements Summary'!$C:$C,$C77,'Disbursements Summary'!$A:$A,"JCOPE")</f>
        <v>0</v>
      </c>
      <c r="DF77" s="55">
        <f>SUMIFS('Awards Summary'!$H:$H,'Awards Summary'!$B:$B,$C77,'Awards Summary'!$J:$J,"JUSTICE")</f>
        <v>0</v>
      </c>
      <c r="DG77" s="55">
        <f>SUMIFS('Disbursements Summary'!$E:$E,'Disbursements Summary'!$C:$C,$C77,'Disbursements Summary'!$A:$A,"JUSTICE")</f>
        <v>0</v>
      </c>
      <c r="DH77" s="55">
        <f>SUMIFS('Awards Summary'!$H:$H,'Awards Summary'!$B:$B,$C77,'Awards Summary'!$J:$J,"LCWSA")</f>
        <v>0</v>
      </c>
      <c r="DI77" s="55">
        <f>SUMIFS('Disbursements Summary'!$E:$E,'Disbursements Summary'!$C:$C,$C77,'Disbursements Summary'!$A:$A,"LCWSA")</f>
        <v>0</v>
      </c>
      <c r="DJ77" s="55">
        <f>SUMIFS('Awards Summary'!$H:$H,'Awards Summary'!$B:$B,$C77,'Awards Summary'!$J:$J,"LIPA")</f>
        <v>0</v>
      </c>
      <c r="DK77" s="55">
        <f>SUMIFS('Disbursements Summary'!$E:$E,'Disbursements Summary'!$C:$C,$C77,'Disbursements Summary'!$A:$A,"LIPA")</f>
        <v>0</v>
      </c>
      <c r="DL77" s="55">
        <f>SUMIFS('Awards Summary'!$H:$H,'Awards Summary'!$B:$B,$C77,'Awards Summary'!$J:$J,"MTA")</f>
        <v>0</v>
      </c>
      <c r="DM77" s="55">
        <f>SUMIFS('Disbursements Summary'!$E:$E,'Disbursements Summary'!$C:$C,$C77,'Disbursements Summary'!$A:$A,"MTA")</f>
        <v>0</v>
      </c>
      <c r="DN77" s="55">
        <f>SUMIFS('Awards Summary'!$H:$H,'Awards Summary'!$B:$B,$C77,'Awards Summary'!$J:$J,"NIFA")</f>
        <v>0</v>
      </c>
      <c r="DO77" s="55">
        <f>SUMIFS('Disbursements Summary'!$E:$E,'Disbursements Summary'!$C:$C,$C77,'Disbursements Summary'!$A:$A,"NIFA")</f>
        <v>0</v>
      </c>
      <c r="DP77" s="55">
        <f>SUMIFS('Awards Summary'!$H:$H,'Awards Summary'!$B:$B,$C77,'Awards Summary'!$J:$J,"NHCC")</f>
        <v>0</v>
      </c>
      <c r="DQ77" s="55">
        <f>SUMIFS('Disbursements Summary'!$E:$E,'Disbursements Summary'!$C:$C,$C77,'Disbursements Summary'!$A:$A,"NHCC")</f>
        <v>0</v>
      </c>
      <c r="DR77" s="55">
        <f>SUMIFS('Awards Summary'!$H:$H,'Awards Summary'!$B:$B,$C77,'Awards Summary'!$J:$J,"NHT")</f>
        <v>0</v>
      </c>
      <c r="DS77" s="55">
        <f>SUMIFS('Disbursements Summary'!$E:$E,'Disbursements Summary'!$C:$C,$C77,'Disbursements Summary'!$A:$A,"NHT")</f>
        <v>0</v>
      </c>
      <c r="DT77" s="55">
        <f>SUMIFS('Awards Summary'!$H:$H,'Awards Summary'!$B:$B,$C77,'Awards Summary'!$J:$J,"NYPA")</f>
        <v>0</v>
      </c>
      <c r="DU77" s="55">
        <f>SUMIFS('Disbursements Summary'!$E:$E,'Disbursements Summary'!$C:$C,$C77,'Disbursements Summary'!$A:$A,"NYPA")</f>
        <v>0</v>
      </c>
      <c r="DV77" s="55">
        <f>SUMIFS('Awards Summary'!$H:$H,'Awards Summary'!$B:$B,$C77,'Awards Summary'!$J:$J,"NYSBA")</f>
        <v>0</v>
      </c>
      <c r="DW77" s="55">
        <f>SUMIFS('Disbursements Summary'!$E:$E,'Disbursements Summary'!$C:$C,$C77,'Disbursements Summary'!$A:$A,"NYSBA")</f>
        <v>0</v>
      </c>
      <c r="DX77" s="55">
        <f>SUMIFS('Awards Summary'!$H:$H,'Awards Summary'!$B:$B,$C77,'Awards Summary'!$J:$J,"NYSERDA")</f>
        <v>0</v>
      </c>
      <c r="DY77" s="55">
        <f>SUMIFS('Disbursements Summary'!$E:$E,'Disbursements Summary'!$C:$C,$C77,'Disbursements Summary'!$A:$A,"NYSERDA")</f>
        <v>0</v>
      </c>
      <c r="DZ77" s="55">
        <f>SUMIFS('Awards Summary'!$H:$H,'Awards Summary'!$B:$B,$C77,'Awards Summary'!$J:$J,"DHCR")</f>
        <v>0</v>
      </c>
      <c r="EA77" s="55">
        <f>SUMIFS('Disbursements Summary'!$E:$E,'Disbursements Summary'!$C:$C,$C77,'Disbursements Summary'!$A:$A,"DHCR")</f>
        <v>0</v>
      </c>
      <c r="EB77" s="55">
        <f>SUMIFS('Awards Summary'!$H:$H,'Awards Summary'!$B:$B,$C77,'Awards Summary'!$J:$J,"HFA")</f>
        <v>0</v>
      </c>
      <c r="EC77" s="55">
        <f>SUMIFS('Disbursements Summary'!$E:$E,'Disbursements Summary'!$C:$C,$C77,'Disbursements Summary'!$A:$A,"HFA")</f>
        <v>0</v>
      </c>
      <c r="ED77" s="55">
        <f>SUMIFS('Awards Summary'!$H:$H,'Awards Summary'!$B:$B,$C77,'Awards Summary'!$J:$J,"NYSIF")</f>
        <v>0</v>
      </c>
      <c r="EE77" s="55">
        <f>SUMIFS('Disbursements Summary'!$E:$E,'Disbursements Summary'!$C:$C,$C77,'Disbursements Summary'!$A:$A,"NYSIF")</f>
        <v>0</v>
      </c>
      <c r="EF77" s="55">
        <f>SUMIFS('Awards Summary'!$H:$H,'Awards Summary'!$B:$B,$C77,'Awards Summary'!$J:$J,"NYBREDS")</f>
        <v>0</v>
      </c>
      <c r="EG77" s="55">
        <f>SUMIFS('Disbursements Summary'!$E:$E,'Disbursements Summary'!$C:$C,$C77,'Disbursements Summary'!$A:$A,"NYBREDS")</f>
        <v>0</v>
      </c>
      <c r="EH77" s="55">
        <f>SUMIFS('Awards Summary'!$H:$H,'Awards Summary'!$B:$B,$C77,'Awards Summary'!$J:$J,"NYSTA")</f>
        <v>0</v>
      </c>
      <c r="EI77" s="55">
        <f>SUMIFS('Disbursements Summary'!$E:$E,'Disbursements Summary'!$C:$C,$C77,'Disbursements Summary'!$A:$A,"NYSTA")</f>
        <v>0</v>
      </c>
      <c r="EJ77" s="55">
        <f>SUMIFS('Awards Summary'!$H:$H,'Awards Summary'!$B:$B,$C77,'Awards Summary'!$J:$J,"NFWB")</f>
        <v>0</v>
      </c>
      <c r="EK77" s="55">
        <f>SUMIFS('Disbursements Summary'!$E:$E,'Disbursements Summary'!$C:$C,$C77,'Disbursements Summary'!$A:$A,"NFWB")</f>
        <v>0</v>
      </c>
      <c r="EL77" s="55">
        <f>SUMIFS('Awards Summary'!$H:$H,'Awards Summary'!$B:$B,$C77,'Awards Summary'!$J:$J,"NFTA")</f>
        <v>0</v>
      </c>
      <c r="EM77" s="55">
        <f>SUMIFS('Disbursements Summary'!$E:$E,'Disbursements Summary'!$C:$C,$C77,'Disbursements Summary'!$A:$A,"NFTA")</f>
        <v>0</v>
      </c>
      <c r="EN77" s="55">
        <f>SUMIFS('Awards Summary'!$H:$H,'Awards Summary'!$B:$B,$C77,'Awards Summary'!$J:$J,"OPWDD")</f>
        <v>0</v>
      </c>
      <c r="EO77" s="55">
        <f>SUMIFS('Disbursements Summary'!$E:$E,'Disbursements Summary'!$C:$C,$C77,'Disbursements Summary'!$A:$A,"OPWDD")</f>
        <v>0</v>
      </c>
      <c r="EP77" s="55">
        <f>SUMIFS('Awards Summary'!$H:$H,'Awards Summary'!$B:$B,$C77,'Awards Summary'!$J:$J,"AGING")</f>
        <v>0</v>
      </c>
      <c r="EQ77" s="55">
        <f>SUMIFS('Disbursements Summary'!$E:$E,'Disbursements Summary'!$C:$C,$C77,'Disbursements Summary'!$A:$A,"AGING")</f>
        <v>0</v>
      </c>
      <c r="ER77" s="55">
        <f>SUMIFS('Awards Summary'!$H:$H,'Awards Summary'!$B:$B,$C77,'Awards Summary'!$J:$J,"OPDV")</f>
        <v>0</v>
      </c>
      <c r="ES77" s="55">
        <f>SUMIFS('Disbursements Summary'!$E:$E,'Disbursements Summary'!$C:$C,$C77,'Disbursements Summary'!$A:$A,"OPDV")</f>
        <v>0</v>
      </c>
      <c r="ET77" s="55">
        <f>SUMIFS('Awards Summary'!$H:$H,'Awards Summary'!$B:$B,$C77,'Awards Summary'!$J:$J,"OVS")</f>
        <v>0</v>
      </c>
      <c r="EU77" s="55">
        <f>SUMIFS('Disbursements Summary'!$E:$E,'Disbursements Summary'!$C:$C,$C77,'Disbursements Summary'!$A:$A,"OVS")</f>
        <v>0</v>
      </c>
      <c r="EV77" s="55">
        <f>SUMIFS('Awards Summary'!$H:$H,'Awards Summary'!$B:$B,$C77,'Awards Summary'!$J:$J,"OASAS")</f>
        <v>0</v>
      </c>
      <c r="EW77" s="55">
        <f>SUMIFS('Disbursements Summary'!$E:$E,'Disbursements Summary'!$C:$C,$C77,'Disbursements Summary'!$A:$A,"OASAS")</f>
        <v>0</v>
      </c>
      <c r="EX77" s="55">
        <f>SUMIFS('Awards Summary'!$H:$H,'Awards Summary'!$B:$B,$C77,'Awards Summary'!$J:$J,"OCFS")</f>
        <v>0</v>
      </c>
      <c r="EY77" s="55">
        <f>SUMIFS('Disbursements Summary'!$E:$E,'Disbursements Summary'!$C:$C,$C77,'Disbursements Summary'!$A:$A,"OCFS")</f>
        <v>0</v>
      </c>
      <c r="EZ77" s="55">
        <f>SUMIFS('Awards Summary'!$H:$H,'Awards Summary'!$B:$B,$C77,'Awards Summary'!$J:$J,"OGS")</f>
        <v>0</v>
      </c>
      <c r="FA77" s="55">
        <f>SUMIFS('Disbursements Summary'!$E:$E,'Disbursements Summary'!$C:$C,$C77,'Disbursements Summary'!$A:$A,"OGS")</f>
        <v>0</v>
      </c>
      <c r="FB77" s="55">
        <f>SUMIFS('Awards Summary'!$H:$H,'Awards Summary'!$B:$B,$C77,'Awards Summary'!$J:$J,"OMH")</f>
        <v>0</v>
      </c>
      <c r="FC77" s="55">
        <f>SUMIFS('Disbursements Summary'!$E:$E,'Disbursements Summary'!$C:$C,$C77,'Disbursements Summary'!$A:$A,"OMH")</f>
        <v>0</v>
      </c>
      <c r="FD77" s="55">
        <f>SUMIFS('Awards Summary'!$H:$H,'Awards Summary'!$B:$B,$C77,'Awards Summary'!$J:$J,"PARKS")</f>
        <v>0</v>
      </c>
      <c r="FE77" s="55">
        <f>SUMIFS('Disbursements Summary'!$E:$E,'Disbursements Summary'!$C:$C,$C77,'Disbursements Summary'!$A:$A,"PARKS")</f>
        <v>0</v>
      </c>
      <c r="FF77" s="55">
        <f>SUMIFS('Awards Summary'!$H:$H,'Awards Summary'!$B:$B,$C77,'Awards Summary'!$J:$J,"OTDA")</f>
        <v>0</v>
      </c>
      <c r="FG77" s="55">
        <f>SUMIFS('Disbursements Summary'!$E:$E,'Disbursements Summary'!$C:$C,$C77,'Disbursements Summary'!$A:$A,"OTDA")</f>
        <v>0</v>
      </c>
      <c r="FH77" s="55">
        <f>SUMIFS('Awards Summary'!$H:$H,'Awards Summary'!$B:$B,$C77,'Awards Summary'!$J:$J,"OIG")</f>
        <v>0</v>
      </c>
      <c r="FI77" s="55">
        <f>SUMIFS('Disbursements Summary'!$E:$E,'Disbursements Summary'!$C:$C,$C77,'Disbursements Summary'!$A:$A,"OIG")</f>
        <v>0</v>
      </c>
      <c r="FJ77" s="55">
        <f>SUMIFS('Awards Summary'!$H:$H,'Awards Summary'!$B:$B,$C77,'Awards Summary'!$J:$J,"OMIG")</f>
        <v>0</v>
      </c>
      <c r="FK77" s="55">
        <f>SUMIFS('Disbursements Summary'!$E:$E,'Disbursements Summary'!$C:$C,$C77,'Disbursements Summary'!$A:$A,"OMIG")</f>
        <v>0</v>
      </c>
      <c r="FL77" s="55">
        <f>SUMIFS('Awards Summary'!$H:$H,'Awards Summary'!$B:$B,$C77,'Awards Summary'!$J:$J,"OSC")</f>
        <v>0</v>
      </c>
      <c r="FM77" s="55">
        <f>SUMIFS('Disbursements Summary'!$E:$E,'Disbursements Summary'!$C:$C,$C77,'Disbursements Summary'!$A:$A,"OSC")</f>
        <v>0</v>
      </c>
      <c r="FN77" s="55">
        <f>SUMIFS('Awards Summary'!$H:$H,'Awards Summary'!$B:$B,$C77,'Awards Summary'!$J:$J,"OWIG")</f>
        <v>0</v>
      </c>
      <c r="FO77" s="55">
        <f>SUMIFS('Disbursements Summary'!$E:$E,'Disbursements Summary'!$C:$C,$C77,'Disbursements Summary'!$A:$A,"OWIG")</f>
        <v>0</v>
      </c>
      <c r="FP77" s="55">
        <f>SUMIFS('Awards Summary'!$H:$H,'Awards Summary'!$B:$B,$C77,'Awards Summary'!$J:$J,"OGDEN")</f>
        <v>0</v>
      </c>
      <c r="FQ77" s="55">
        <f>SUMIFS('Disbursements Summary'!$E:$E,'Disbursements Summary'!$C:$C,$C77,'Disbursements Summary'!$A:$A,"OGDEN")</f>
        <v>0</v>
      </c>
      <c r="FR77" s="55">
        <f>SUMIFS('Awards Summary'!$H:$H,'Awards Summary'!$B:$B,$C77,'Awards Summary'!$J:$J,"ORDA")</f>
        <v>0</v>
      </c>
      <c r="FS77" s="55">
        <f>SUMIFS('Disbursements Summary'!$E:$E,'Disbursements Summary'!$C:$C,$C77,'Disbursements Summary'!$A:$A,"ORDA")</f>
        <v>0</v>
      </c>
      <c r="FT77" s="55">
        <f>SUMIFS('Awards Summary'!$H:$H,'Awards Summary'!$B:$B,$C77,'Awards Summary'!$J:$J,"OSWEGO")</f>
        <v>0</v>
      </c>
      <c r="FU77" s="55">
        <f>SUMIFS('Disbursements Summary'!$E:$E,'Disbursements Summary'!$C:$C,$C77,'Disbursements Summary'!$A:$A,"OSWEGO")</f>
        <v>0</v>
      </c>
      <c r="FV77" s="55">
        <f>SUMIFS('Awards Summary'!$H:$H,'Awards Summary'!$B:$B,$C77,'Awards Summary'!$J:$J,"PERB")</f>
        <v>0</v>
      </c>
      <c r="FW77" s="55">
        <f>SUMIFS('Disbursements Summary'!$E:$E,'Disbursements Summary'!$C:$C,$C77,'Disbursements Summary'!$A:$A,"PERB")</f>
        <v>0</v>
      </c>
      <c r="FX77" s="55">
        <f>SUMIFS('Awards Summary'!$H:$H,'Awards Summary'!$B:$B,$C77,'Awards Summary'!$J:$J,"RGRTA")</f>
        <v>0</v>
      </c>
      <c r="FY77" s="55">
        <f>SUMIFS('Disbursements Summary'!$E:$E,'Disbursements Summary'!$C:$C,$C77,'Disbursements Summary'!$A:$A,"RGRTA")</f>
        <v>0</v>
      </c>
      <c r="FZ77" s="55">
        <f>SUMIFS('Awards Summary'!$H:$H,'Awards Summary'!$B:$B,$C77,'Awards Summary'!$J:$J,"RIOC")</f>
        <v>0</v>
      </c>
      <c r="GA77" s="55">
        <f>SUMIFS('Disbursements Summary'!$E:$E,'Disbursements Summary'!$C:$C,$C77,'Disbursements Summary'!$A:$A,"RIOC")</f>
        <v>0</v>
      </c>
      <c r="GB77" s="55">
        <f>SUMIFS('Awards Summary'!$H:$H,'Awards Summary'!$B:$B,$C77,'Awards Summary'!$J:$J,"RPCI")</f>
        <v>0</v>
      </c>
      <c r="GC77" s="55">
        <f>SUMIFS('Disbursements Summary'!$E:$E,'Disbursements Summary'!$C:$C,$C77,'Disbursements Summary'!$A:$A,"RPCI")</f>
        <v>0</v>
      </c>
      <c r="GD77" s="55">
        <f>SUMIFS('Awards Summary'!$H:$H,'Awards Summary'!$B:$B,$C77,'Awards Summary'!$J:$J,"SMDA")</f>
        <v>0</v>
      </c>
      <c r="GE77" s="55">
        <f>SUMIFS('Disbursements Summary'!$E:$E,'Disbursements Summary'!$C:$C,$C77,'Disbursements Summary'!$A:$A,"SMDA")</f>
        <v>0</v>
      </c>
      <c r="GF77" s="55">
        <f>SUMIFS('Awards Summary'!$H:$H,'Awards Summary'!$B:$B,$C77,'Awards Summary'!$J:$J,"SCOC")</f>
        <v>0</v>
      </c>
      <c r="GG77" s="55">
        <f>SUMIFS('Disbursements Summary'!$E:$E,'Disbursements Summary'!$C:$C,$C77,'Disbursements Summary'!$A:$A,"SCOC")</f>
        <v>0</v>
      </c>
      <c r="GH77" s="55">
        <f>SUMIFS('Awards Summary'!$H:$H,'Awards Summary'!$B:$B,$C77,'Awards Summary'!$J:$J,"SUCF")</f>
        <v>0</v>
      </c>
      <c r="GI77" s="55">
        <f>SUMIFS('Disbursements Summary'!$E:$E,'Disbursements Summary'!$C:$C,$C77,'Disbursements Summary'!$A:$A,"SUCF")</f>
        <v>0</v>
      </c>
      <c r="GJ77" s="55">
        <f>SUMIFS('Awards Summary'!$H:$H,'Awards Summary'!$B:$B,$C77,'Awards Summary'!$J:$J,"SUNY")</f>
        <v>0</v>
      </c>
      <c r="GK77" s="55">
        <f>SUMIFS('Disbursements Summary'!$E:$E,'Disbursements Summary'!$C:$C,$C77,'Disbursements Summary'!$A:$A,"SUNY")</f>
        <v>0</v>
      </c>
      <c r="GL77" s="55">
        <f>SUMIFS('Awards Summary'!$H:$H,'Awards Summary'!$B:$B,$C77,'Awards Summary'!$J:$J,"SRAA")</f>
        <v>0</v>
      </c>
      <c r="GM77" s="55">
        <f>SUMIFS('Disbursements Summary'!$E:$E,'Disbursements Summary'!$C:$C,$C77,'Disbursements Summary'!$A:$A,"SRAA")</f>
        <v>0</v>
      </c>
      <c r="GN77" s="55">
        <f>SUMIFS('Awards Summary'!$H:$H,'Awards Summary'!$B:$B,$C77,'Awards Summary'!$J:$J,"UNDC")</f>
        <v>0</v>
      </c>
      <c r="GO77" s="55">
        <f>SUMIFS('Disbursements Summary'!$E:$E,'Disbursements Summary'!$C:$C,$C77,'Disbursements Summary'!$A:$A,"UNDC")</f>
        <v>0</v>
      </c>
      <c r="GP77" s="55">
        <f>SUMIFS('Awards Summary'!$H:$H,'Awards Summary'!$B:$B,$C77,'Awards Summary'!$J:$J,"MVWA")</f>
        <v>0</v>
      </c>
      <c r="GQ77" s="55">
        <f>SUMIFS('Disbursements Summary'!$E:$E,'Disbursements Summary'!$C:$C,$C77,'Disbursements Summary'!$A:$A,"MVWA")</f>
        <v>0</v>
      </c>
      <c r="GR77" s="55">
        <f>SUMIFS('Awards Summary'!$H:$H,'Awards Summary'!$B:$B,$C77,'Awards Summary'!$J:$J,"WMC")</f>
        <v>0</v>
      </c>
      <c r="GS77" s="55">
        <f>SUMIFS('Disbursements Summary'!$E:$E,'Disbursements Summary'!$C:$C,$C77,'Disbursements Summary'!$A:$A,"WMC")</f>
        <v>0</v>
      </c>
      <c r="GT77" s="55">
        <f>SUMIFS('Awards Summary'!$H:$H,'Awards Summary'!$B:$B,$C77,'Awards Summary'!$J:$J,"WCB")</f>
        <v>0</v>
      </c>
      <c r="GU77" s="55">
        <f>SUMIFS('Disbursements Summary'!$E:$E,'Disbursements Summary'!$C:$C,$C77,'Disbursements Summary'!$A:$A,"WCB")</f>
        <v>0</v>
      </c>
      <c r="GV77" s="32">
        <f t="shared" si="5"/>
        <v>0</v>
      </c>
      <c r="GW77" s="32">
        <f t="shared" si="6"/>
        <v>0</v>
      </c>
      <c r="GX77" s="30" t="b">
        <f t="shared" si="7"/>
        <v>1</v>
      </c>
      <c r="GY77" s="30" t="b">
        <f t="shared" si="8"/>
        <v>1</v>
      </c>
    </row>
    <row r="78" spans="1:207" s="30" customFormat="1">
      <c r="A78" s="22" t="str">
        <f t="shared" si="9"/>
        <v/>
      </c>
      <c r="B78" s="20" t="s">
        <v>235</v>
      </c>
      <c r="C78" s="16">
        <v>151155</v>
      </c>
      <c r="D78" s="26">
        <f>COUNTIF('Awards Summary'!B:B,"151155")</f>
        <v>0</v>
      </c>
      <c r="E78" s="45">
        <f>SUMIFS('Awards Summary'!H:H,'Awards Summary'!B:B,"151155")</f>
        <v>0</v>
      </c>
      <c r="F78" s="46">
        <f>SUMIFS('Disbursements Summary'!E:E,'Disbursements Summary'!C:C, "151155")</f>
        <v>0</v>
      </c>
      <c r="H78" s="55">
        <f>SUMIFS('Awards Summary'!$H:$H,'Awards Summary'!$B:$B,$C78,'Awards Summary'!$J:$J,"APA")</f>
        <v>0</v>
      </c>
      <c r="I78" s="55">
        <f>SUMIFS('Disbursements Summary'!$E:$E,'Disbursements Summary'!$C:$C,$C78,'Disbursements Summary'!$A:$A,"APA")</f>
        <v>0</v>
      </c>
      <c r="J78" s="55">
        <f>SUMIFS('Awards Summary'!$H:$H,'Awards Summary'!$B:$B,$C78,'Awards Summary'!$J:$J,"Ag&amp;Horse")</f>
        <v>0</v>
      </c>
      <c r="K78" s="55">
        <f>SUMIFS('Disbursements Summary'!$E:$E,'Disbursements Summary'!$C:$C,$C78,'Disbursements Summary'!$A:$A,"Ag&amp;Horse")</f>
        <v>0</v>
      </c>
      <c r="L78" s="55">
        <f>SUMIFS('Awards Summary'!$H:$H,'Awards Summary'!$B:$B,$C78,'Awards Summary'!$J:$J,"ACAA")</f>
        <v>0</v>
      </c>
      <c r="M78" s="55">
        <f>SUMIFS('Disbursements Summary'!$E:$E,'Disbursements Summary'!$C:$C,$C78,'Disbursements Summary'!$A:$A,"ACAA")</f>
        <v>0</v>
      </c>
      <c r="N78" s="55">
        <f>SUMIFS('Awards Summary'!$H:$H,'Awards Summary'!$B:$B,$C78,'Awards Summary'!$J:$J,"PortAlbany")</f>
        <v>0</v>
      </c>
      <c r="O78" s="55">
        <f>SUMIFS('Disbursements Summary'!$E:$E,'Disbursements Summary'!$C:$C,$C78,'Disbursements Summary'!$A:$A,"PortAlbany")</f>
        <v>0</v>
      </c>
      <c r="P78" s="55">
        <f>SUMIFS('Awards Summary'!$H:$H,'Awards Summary'!$B:$B,$C78,'Awards Summary'!$J:$J,"SLA")</f>
        <v>0</v>
      </c>
      <c r="Q78" s="55">
        <f>SUMIFS('Disbursements Summary'!$E:$E,'Disbursements Summary'!$C:$C,$C78,'Disbursements Summary'!$A:$A,"SLA")</f>
        <v>0</v>
      </c>
      <c r="R78" s="55">
        <f>SUMIFS('Awards Summary'!$H:$H,'Awards Summary'!$B:$B,$C78,'Awards Summary'!$J:$J,"BPCA")</f>
        <v>0</v>
      </c>
      <c r="S78" s="55">
        <f>SUMIFS('Disbursements Summary'!$E:$E,'Disbursements Summary'!$C:$C,$C78,'Disbursements Summary'!$A:$A,"BPCA")</f>
        <v>0</v>
      </c>
      <c r="T78" s="55">
        <f>SUMIFS('Awards Summary'!$H:$H,'Awards Summary'!$B:$B,$C78,'Awards Summary'!$J:$J,"ELECTIONS")</f>
        <v>0</v>
      </c>
      <c r="U78" s="55">
        <f>SUMIFS('Disbursements Summary'!$E:$E,'Disbursements Summary'!$C:$C,$C78,'Disbursements Summary'!$A:$A,"ELECTIONS")</f>
        <v>0</v>
      </c>
      <c r="V78" s="55">
        <f>SUMIFS('Awards Summary'!$H:$H,'Awards Summary'!$B:$B,$C78,'Awards Summary'!$J:$J,"BFSA")</f>
        <v>0</v>
      </c>
      <c r="W78" s="55">
        <f>SUMIFS('Disbursements Summary'!$E:$E,'Disbursements Summary'!$C:$C,$C78,'Disbursements Summary'!$A:$A,"BFSA")</f>
        <v>0</v>
      </c>
      <c r="X78" s="55">
        <f>SUMIFS('Awards Summary'!$H:$H,'Awards Summary'!$B:$B,$C78,'Awards Summary'!$J:$J,"CDTA")</f>
        <v>0</v>
      </c>
      <c r="Y78" s="55">
        <f>SUMIFS('Disbursements Summary'!$E:$E,'Disbursements Summary'!$C:$C,$C78,'Disbursements Summary'!$A:$A,"CDTA")</f>
        <v>0</v>
      </c>
      <c r="Z78" s="55">
        <f>SUMIFS('Awards Summary'!$H:$H,'Awards Summary'!$B:$B,$C78,'Awards Summary'!$J:$J,"CCWSA")</f>
        <v>0</v>
      </c>
      <c r="AA78" s="55">
        <f>SUMIFS('Disbursements Summary'!$E:$E,'Disbursements Summary'!$C:$C,$C78,'Disbursements Summary'!$A:$A,"CCWSA")</f>
        <v>0</v>
      </c>
      <c r="AB78" s="55">
        <f>SUMIFS('Awards Summary'!$H:$H,'Awards Summary'!$B:$B,$C78,'Awards Summary'!$J:$J,"CNYRTA")</f>
        <v>0</v>
      </c>
      <c r="AC78" s="55">
        <f>SUMIFS('Disbursements Summary'!$E:$E,'Disbursements Summary'!$C:$C,$C78,'Disbursements Summary'!$A:$A,"CNYRTA")</f>
        <v>0</v>
      </c>
      <c r="AD78" s="55">
        <f>SUMIFS('Awards Summary'!$H:$H,'Awards Summary'!$B:$B,$C78,'Awards Summary'!$J:$J,"CUCF")</f>
        <v>0</v>
      </c>
      <c r="AE78" s="55">
        <f>SUMIFS('Disbursements Summary'!$E:$E,'Disbursements Summary'!$C:$C,$C78,'Disbursements Summary'!$A:$A,"CUCF")</f>
        <v>0</v>
      </c>
      <c r="AF78" s="55">
        <f>SUMIFS('Awards Summary'!$H:$H,'Awards Summary'!$B:$B,$C78,'Awards Summary'!$J:$J,"CUNY")</f>
        <v>0</v>
      </c>
      <c r="AG78" s="55">
        <f>SUMIFS('Disbursements Summary'!$E:$E,'Disbursements Summary'!$C:$C,$C78,'Disbursements Summary'!$A:$A,"CUNY")</f>
        <v>0</v>
      </c>
      <c r="AH78" s="55">
        <f>SUMIFS('Awards Summary'!$H:$H,'Awards Summary'!$B:$B,$C78,'Awards Summary'!$J:$J,"ARTS")</f>
        <v>0</v>
      </c>
      <c r="AI78" s="55">
        <f>SUMIFS('Disbursements Summary'!$E:$E,'Disbursements Summary'!$C:$C,$C78,'Disbursements Summary'!$A:$A,"ARTS")</f>
        <v>0</v>
      </c>
      <c r="AJ78" s="55">
        <f>SUMIFS('Awards Summary'!$H:$H,'Awards Summary'!$B:$B,$C78,'Awards Summary'!$J:$J,"AG&amp;MKTS")</f>
        <v>0</v>
      </c>
      <c r="AK78" s="55">
        <f>SUMIFS('Disbursements Summary'!$E:$E,'Disbursements Summary'!$C:$C,$C78,'Disbursements Summary'!$A:$A,"AG&amp;MKTS")</f>
        <v>0</v>
      </c>
      <c r="AL78" s="55">
        <f>SUMIFS('Awards Summary'!$H:$H,'Awards Summary'!$B:$B,$C78,'Awards Summary'!$J:$J,"CS")</f>
        <v>0</v>
      </c>
      <c r="AM78" s="55">
        <f>SUMIFS('Disbursements Summary'!$E:$E,'Disbursements Summary'!$C:$C,$C78,'Disbursements Summary'!$A:$A,"CS")</f>
        <v>0</v>
      </c>
      <c r="AN78" s="55">
        <f>SUMIFS('Awards Summary'!$H:$H,'Awards Summary'!$B:$B,$C78,'Awards Summary'!$J:$J,"DOCCS")</f>
        <v>0</v>
      </c>
      <c r="AO78" s="55">
        <f>SUMIFS('Disbursements Summary'!$E:$E,'Disbursements Summary'!$C:$C,$C78,'Disbursements Summary'!$A:$A,"DOCCS")</f>
        <v>0</v>
      </c>
      <c r="AP78" s="55">
        <f>SUMIFS('Awards Summary'!$H:$H,'Awards Summary'!$B:$B,$C78,'Awards Summary'!$J:$J,"DED")</f>
        <v>0</v>
      </c>
      <c r="AQ78" s="55">
        <f>SUMIFS('Disbursements Summary'!$E:$E,'Disbursements Summary'!$C:$C,$C78,'Disbursements Summary'!$A:$A,"DED")</f>
        <v>0</v>
      </c>
      <c r="AR78" s="55">
        <f>SUMIFS('Awards Summary'!$H:$H,'Awards Summary'!$B:$B,$C78,'Awards Summary'!$J:$J,"DEC")</f>
        <v>0</v>
      </c>
      <c r="AS78" s="55">
        <f>SUMIFS('Disbursements Summary'!$E:$E,'Disbursements Summary'!$C:$C,$C78,'Disbursements Summary'!$A:$A,"DEC")</f>
        <v>0</v>
      </c>
      <c r="AT78" s="55">
        <f>SUMIFS('Awards Summary'!$H:$H,'Awards Summary'!$B:$B,$C78,'Awards Summary'!$J:$J,"DFS")</f>
        <v>0</v>
      </c>
      <c r="AU78" s="55">
        <f>SUMIFS('Disbursements Summary'!$E:$E,'Disbursements Summary'!$C:$C,$C78,'Disbursements Summary'!$A:$A,"DFS")</f>
        <v>0</v>
      </c>
      <c r="AV78" s="55">
        <f>SUMIFS('Awards Summary'!$H:$H,'Awards Summary'!$B:$B,$C78,'Awards Summary'!$J:$J,"DOH")</f>
        <v>0</v>
      </c>
      <c r="AW78" s="55">
        <f>SUMIFS('Disbursements Summary'!$E:$E,'Disbursements Summary'!$C:$C,$C78,'Disbursements Summary'!$A:$A,"DOH")</f>
        <v>0</v>
      </c>
      <c r="AX78" s="55">
        <f>SUMIFS('Awards Summary'!$H:$H,'Awards Summary'!$B:$B,$C78,'Awards Summary'!$J:$J,"DOL")</f>
        <v>0</v>
      </c>
      <c r="AY78" s="55">
        <f>SUMIFS('Disbursements Summary'!$E:$E,'Disbursements Summary'!$C:$C,$C78,'Disbursements Summary'!$A:$A,"DOL")</f>
        <v>0</v>
      </c>
      <c r="AZ78" s="55">
        <f>SUMIFS('Awards Summary'!$H:$H,'Awards Summary'!$B:$B,$C78,'Awards Summary'!$J:$J,"DMV")</f>
        <v>0</v>
      </c>
      <c r="BA78" s="55">
        <f>SUMIFS('Disbursements Summary'!$E:$E,'Disbursements Summary'!$C:$C,$C78,'Disbursements Summary'!$A:$A,"DMV")</f>
        <v>0</v>
      </c>
      <c r="BB78" s="55">
        <f>SUMIFS('Awards Summary'!$H:$H,'Awards Summary'!$B:$B,$C78,'Awards Summary'!$J:$J,"DPS")</f>
        <v>0</v>
      </c>
      <c r="BC78" s="55">
        <f>SUMIFS('Disbursements Summary'!$E:$E,'Disbursements Summary'!$C:$C,$C78,'Disbursements Summary'!$A:$A,"DPS")</f>
        <v>0</v>
      </c>
      <c r="BD78" s="55">
        <f>SUMIFS('Awards Summary'!$H:$H,'Awards Summary'!$B:$B,$C78,'Awards Summary'!$J:$J,"DOS")</f>
        <v>0</v>
      </c>
      <c r="BE78" s="55">
        <f>SUMIFS('Disbursements Summary'!$E:$E,'Disbursements Summary'!$C:$C,$C78,'Disbursements Summary'!$A:$A,"DOS")</f>
        <v>0</v>
      </c>
      <c r="BF78" s="55">
        <f>SUMIFS('Awards Summary'!$H:$H,'Awards Summary'!$B:$B,$C78,'Awards Summary'!$J:$J,"TAX")</f>
        <v>0</v>
      </c>
      <c r="BG78" s="55">
        <f>SUMIFS('Disbursements Summary'!$E:$E,'Disbursements Summary'!$C:$C,$C78,'Disbursements Summary'!$A:$A,"TAX")</f>
        <v>0</v>
      </c>
      <c r="BH78" s="55">
        <f>SUMIFS('Awards Summary'!$H:$H,'Awards Summary'!$B:$B,$C78,'Awards Summary'!$J:$J,"DOT")</f>
        <v>0</v>
      </c>
      <c r="BI78" s="55">
        <f>SUMIFS('Disbursements Summary'!$E:$E,'Disbursements Summary'!$C:$C,$C78,'Disbursements Summary'!$A:$A,"DOT")</f>
        <v>0</v>
      </c>
      <c r="BJ78" s="55">
        <f>SUMIFS('Awards Summary'!$H:$H,'Awards Summary'!$B:$B,$C78,'Awards Summary'!$J:$J,"DANC")</f>
        <v>0</v>
      </c>
      <c r="BK78" s="55">
        <f>SUMIFS('Disbursements Summary'!$E:$E,'Disbursements Summary'!$C:$C,$C78,'Disbursements Summary'!$A:$A,"DANC")</f>
        <v>0</v>
      </c>
      <c r="BL78" s="55">
        <f>SUMIFS('Awards Summary'!$H:$H,'Awards Summary'!$B:$B,$C78,'Awards Summary'!$J:$J,"DOB")</f>
        <v>0</v>
      </c>
      <c r="BM78" s="55">
        <f>SUMIFS('Disbursements Summary'!$E:$E,'Disbursements Summary'!$C:$C,$C78,'Disbursements Summary'!$A:$A,"DOB")</f>
        <v>0</v>
      </c>
      <c r="BN78" s="55">
        <f>SUMIFS('Awards Summary'!$H:$H,'Awards Summary'!$B:$B,$C78,'Awards Summary'!$J:$J,"DCJS")</f>
        <v>0</v>
      </c>
      <c r="BO78" s="55">
        <f>SUMIFS('Disbursements Summary'!$E:$E,'Disbursements Summary'!$C:$C,$C78,'Disbursements Summary'!$A:$A,"DCJS")</f>
        <v>0</v>
      </c>
      <c r="BP78" s="55">
        <f>SUMIFS('Awards Summary'!$H:$H,'Awards Summary'!$B:$B,$C78,'Awards Summary'!$J:$J,"DHSES")</f>
        <v>0</v>
      </c>
      <c r="BQ78" s="55">
        <f>SUMIFS('Disbursements Summary'!$E:$E,'Disbursements Summary'!$C:$C,$C78,'Disbursements Summary'!$A:$A,"DHSES")</f>
        <v>0</v>
      </c>
      <c r="BR78" s="55">
        <f>SUMIFS('Awards Summary'!$H:$H,'Awards Summary'!$B:$B,$C78,'Awards Summary'!$J:$J,"DHR")</f>
        <v>0</v>
      </c>
      <c r="BS78" s="55">
        <f>SUMIFS('Disbursements Summary'!$E:$E,'Disbursements Summary'!$C:$C,$C78,'Disbursements Summary'!$A:$A,"DHR")</f>
        <v>0</v>
      </c>
      <c r="BT78" s="55">
        <f>SUMIFS('Awards Summary'!$H:$H,'Awards Summary'!$B:$B,$C78,'Awards Summary'!$J:$J,"DMNA")</f>
        <v>0</v>
      </c>
      <c r="BU78" s="55">
        <f>SUMIFS('Disbursements Summary'!$E:$E,'Disbursements Summary'!$C:$C,$C78,'Disbursements Summary'!$A:$A,"DMNA")</f>
        <v>0</v>
      </c>
      <c r="BV78" s="55">
        <f>SUMIFS('Awards Summary'!$H:$H,'Awards Summary'!$B:$B,$C78,'Awards Summary'!$J:$J,"TROOPERS")</f>
        <v>0</v>
      </c>
      <c r="BW78" s="55">
        <f>SUMIFS('Disbursements Summary'!$E:$E,'Disbursements Summary'!$C:$C,$C78,'Disbursements Summary'!$A:$A,"TROOPERS")</f>
        <v>0</v>
      </c>
      <c r="BX78" s="55">
        <f>SUMIFS('Awards Summary'!$H:$H,'Awards Summary'!$B:$B,$C78,'Awards Summary'!$J:$J,"DVA")</f>
        <v>0</v>
      </c>
      <c r="BY78" s="55">
        <f>SUMIFS('Disbursements Summary'!$E:$E,'Disbursements Summary'!$C:$C,$C78,'Disbursements Summary'!$A:$A,"DVA")</f>
        <v>0</v>
      </c>
      <c r="BZ78" s="55">
        <f>SUMIFS('Awards Summary'!$H:$H,'Awards Summary'!$B:$B,$C78,'Awards Summary'!$J:$J,"DASNY")</f>
        <v>0</v>
      </c>
      <c r="CA78" s="55">
        <f>SUMIFS('Disbursements Summary'!$E:$E,'Disbursements Summary'!$C:$C,$C78,'Disbursements Summary'!$A:$A,"DASNY")</f>
        <v>0</v>
      </c>
      <c r="CB78" s="55">
        <f>SUMIFS('Awards Summary'!$H:$H,'Awards Summary'!$B:$B,$C78,'Awards Summary'!$J:$J,"EGG")</f>
        <v>0</v>
      </c>
      <c r="CC78" s="55">
        <f>SUMIFS('Disbursements Summary'!$E:$E,'Disbursements Summary'!$C:$C,$C78,'Disbursements Summary'!$A:$A,"EGG")</f>
        <v>0</v>
      </c>
      <c r="CD78" s="55">
        <f>SUMIFS('Awards Summary'!$H:$H,'Awards Summary'!$B:$B,$C78,'Awards Summary'!$J:$J,"ESD")</f>
        <v>0</v>
      </c>
      <c r="CE78" s="55">
        <f>SUMIFS('Disbursements Summary'!$E:$E,'Disbursements Summary'!$C:$C,$C78,'Disbursements Summary'!$A:$A,"ESD")</f>
        <v>0</v>
      </c>
      <c r="CF78" s="55">
        <f>SUMIFS('Awards Summary'!$H:$H,'Awards Summary'!$B:$B,$C78,'Awards Summary'!$J:$J,"EFC")</f>
        <v>0</v>
      </c>
      <c r="CG78" s="55">
        <f>SUMIFS('Disbursements Summary'!$E:$E,'Disbursements Summary'!$C:$C,$C78,'Disbursements Summary'!$A:$A,"EFC")</f>
        <v>0</v>
      </c>
      <c r="CH78" s="55">
        <f>SUMIFS('Awards Summary'!$H:$H,'Awards Summary'!$B:$B,$C78,'Awards Summary'!$J:$J,"ECFSA")</f>
        <v>0</v>
      </c>
      <c r="CI78" s="55">
        <f>SUMIFS('Disbursements Summary'!$E:$E,'Disbursements Summary'!$C:$C,$C78,'Disbursements Summary'!$A:$A,"ECFSA")</f>
        <v>0</v>
      </c>
      <c r="CJ78" s="55">
        <f>SUMIFS('Awards Summary'!$H:$H,'Awards Summary'!$B:$B,$C78,'Awards Summary'!$J:$J,"ECMC")</f>
        <v>0</v>
      </c>
      <c r="CK78" s="55">
        <f>SUMIFS('Disbursements Summary'!$E:$E,'Disbursements Summary'!$C:$C,$C78,'Disbursements Summary'!$A:$A,"ECMC")</f>
        <v>0</v>
      </c>
      <c r="CL78" s="55">
        <f>SUMIFS('Awards Summary'!$H:$H,'Awards Summary'!$B:$B,$C78,'Awards Summary'!$J:$J,"CHAMBER")</f>
        <v>0</v>
      </c>
      <c r="CM78" s="55">
        <f>SUMIFS('Disbursements Summary'!$E:$E,'Disbursements Summary'!$C:$C,$C78,'Disbursements Summary'!$A:$A,"CHAMBER")</f>
        <v>0</v>
      </c>
      <c r="CN78" s="55">
        <f>SUMIFS('Awards Summary'!$H:$H,'Awards Summary'!$B:$B,$C78,'Awards Summary'!$J:$J,"GAMING")</f>
        <v>0</v>
      </c>
      <c r="CO78" s="55">
        <f>SUMIFS('Disbursements Summary'!$E:$E,'Disbursements Summary'!$C:$C,$C78,'Disbursements Summary'!$A:$A,"GAMING")</f>
        <v>0</v>
      </c>
      <c r="CP78" s="55">
        <f>SUMIFS('Awards Summary'!$H:$H,'Awards Summary'!$B:$B,$C78,'Awards Summary'!$J:$J,"GOER")</f>
        <v>0</v>
      </c>
      <c r="CQ78" s="55">
        <f>SUMIFS('Disbursements Summary'!$E:$E,'Disbursements Summary'!$C:$C,$C78,'Disbursements Summary'!$A:$A,"GOER")</f>
        <v>0</v>
      </c>
      <c r="CR78" s="55">
        <f>SUMIFS('Awards Summary'!$H:$H,'Awards Summary'!$B:$B,$C78,'Awards Summary'!$J:$J,"HESC")</f>
        <v>0</v>
      </c>
      <c r="CS78" s="55">
        <f>SUMIFS('Disbursements Summary'!$E:$E,'Disbursements Summary'!$C:$C,$C78,'Disbursements Summary'!$A:$A,"HESC")</f>
        <v>0</v>
      </c>
      <c r="CT78" s="55">
        <f>SUMIFS('Awards Summary'!$H:$H,'Awards Summary'!$B:$B,$C78,'Awards Summary'!$J:$J,"GOSR")</f>
        <v>0</v>
      </c>
      <c r="CU78" s="55">
        <f>SUMIFS('Disbursements Summary'!$E:$E,'Disbursements Summary'!$C:$C,$C78,'Disbursements Summary'!$A:$A,"GOSR")</f>
        <v>0</v>
      </c>
      <c r="CV78" s="55">
        <f>SUMIFS('Awards Summary'!$H:$H,'Awards Summary'!$B:$B,$C78,'Awards Summary'!$J:$J,"HRPT")</f>
        <v>0</v>
      </c>
      <c r="CW78" s="55">
        <f>SUMIFS('Disbursements Summary'!$E:$E,'Disbursements Summary'!$C:$C,$C78,'Disbursements Summary'!$A:$A,"HRPT")</f>
        <v>0</v>
      </c>
      <c r="CX78" s="55">
        <f>SUMIFS('Awards Summary'!$H:$H,'Awards Summary'!$B:$B,$C78,'Awards Summary'!$J:$J,"HRBRRD")</f>
        <v>0</v>
      </c>
      <c r="CY78" s="55">
        <f>SUMIFS('Disbursements Summary'!$E:$E,'Disbursements Summary'!$C:$C,$C78,'Disbursements Summary'!$A:$A,"HRBRRD")</f>
        <v>0</v>
      </c>
      <c r="CZ78" s="55">
        <f>SUMIFS('Awards Summary'!$H:$H,'Awards Summary'!$B:$B,$C78,'Awards Summary'!$J:$J,"ITS")</f>
        <v>0</v>
      </c>
      <c r="DA78" s="55">
        <f>SUMIFS('Disbursements Summary'!$E:$E,'Disbursements Summary'!$C:$C,$C78,'Disbursements Summary'!$A:$A,"ITS")</f>
        <v>0</v>
      </c>
      <c r="DB78" s="55">
        <f>SUMIFS('Awards Summary'!$H:$H,'Awards Summary'!$B:$B,$C78,'Awards Summary'!$J:$J,"JAVITS")</f>
        <v>0</v>
      </c>
      <c r="DC78" s="55">
        <f>SUMIFS('Disbursements Summary'!$E:$E,'Disbursements Summary'!$C:$C,$C78,'Disbursements Summary'!$A:$A,"JAVITS")</f>
        <v>0</v>
      </c>
      <c r="DD78" s="55">
        <f>SUMIFS('Awards Summary'!$H:$H,'Awards Summary'!$B:$B,$C78,'Awards Summary'!$J:$J,"JCOPE")</f>
        <v>0</v>
      </c>
      <c r="DE78" s="55">
        <f>SUMIFS('Disbursements Summary'!$E:$E,'Disbursements Summary'!$C:$C,$C78,'Disbursements Summary'!$A:$A,"JCOPE")</f>
        <v>0</v>
      </c>
      <c r="DF78" s="55">
        <f>SUMIFS('Awards Summary'!$H:$H,'Awards Summary'!$B:$B,$C78,'Awards Summary'!$J:$J,"JUSTICE")</f>
        <v>0</v>
      </c>
      <c r="DG78" s="55">
        <f>SUMIFS('Disbursements Summary'!$E:$E,'Disbursements Summary'!$C:$C,$C78,'Disbursements Summary'!$A:$A,"JUSTICE")</f>
        <v>0</v>
      </c>
      <c r="DH78" s="55">
        <f>SUMIFS('Awards Summary'!$H:$H,'Awards Summary'!$B:$B,$C78,'Awards Summary'!$J:$J,"LCWSA")</f>
        <v>0</v>
      </c>
      <c r="DI78" s="55">
        <f>SUMIFS('Disbursements Summary'!$E:$E,'Disbursements Summary'!$C:$C,$C78,'Disbursements Summary'!$A:$A,"LCWSA")</f>
        <v>0</v>
      </c>
      <c r="DJ78" s="55">
        <f>SUMIFS('Awards Summary'!$H:$H,'Awards Summary'!$B:$B,$C78,'Awards Summary'!$J:$J,"LIPA")</f>
        <v>0</v>
      </c>
      <c r="DK78" s="55">
        <f>SUMIFS('Disbursements Summary'!$E:$E,'Disbursements Summary'!$C:$C,$C78,'Disbursements Summary'!$A:$A,"LIPA")</f>
        <v>0</v>
      </c>
      <c r="DL78" s="55">
        <f>SUMIFS('Awards Summary'!$H:$H,'Awards Summary'!$B:$B,$C78,'Awards Summary'!$J:$J,"MTA")</f>
        <v>0</v>
      </c>
      <c r="DM78" s="55">
        <f>SUMIFS('Disbursements Summary'!$E:$E,'Disbursements Summary'!$C:$C,$C78,'Disbursements Summary'!$A:$A,"MTA")</f>
        <v>0</v>
      </c>
      <c r="DN78" s="55">
        <f>SUMIFS('Awards Summary'!$H:$H,'Awards Summary'!$B:$B,$C78,'Awards Summary'!$J:$J,"NIFA")</f>
        <v>0</v>
      </c>
      <c r="DO78" s="55">
        <f>SUMIFS('Disbursements Summary'!$E:$E,'Disbursements Summary'!$C:$C,$C78,'Disbursements Summary'!$A:$A,"NIFA")</f>
        <v>0</v>
      </c>
      <c r="DP78" s="55">
        <f>SUMIFS('Awards Summary'!$H:$H,'Awards Summary'!$B:$B,$C78,'Awards Summary'!$J:$J,"NHCC")</f>
        <v>0</v>
      </c>
      <c r="DQ78" s="55">
        <f>SUMIFS('Disbursements Summary'!$E:$E,'Disbursements Summary'!$C:$C,$C78,'Disbursements Summary'!$A:$A,"NHCC")</f>
        <v>0</v>
      </c>
      <c r="DR78" s="55">
        <f>SUMIFS('Awards Summary'!$H:$H,'Awards Summary'!$B:$B,$C78,'Awards Summary'!$J:$J,"NHT")</f>
        <v>0</v>
      </c>
      <c r="DS78" s="55">
        <f>SUMIFS('Disbursements Summary'!$E:$E,'Disbursements Summary'!$C:$C,$C78,'Disbursements Summary'!$A:$A,"NHT")</f>
        <v>0</v>
      </c>
      <c r="DT78" s="55">
        <f>SUMIFS('Awards Summary'!$H:$H,'Awards Summary'!$B:$B,$C78,'Awards Summary'!$J:$J,"NYPA")</f>
        <v>0</v>
      </c>
      <c r="DU78" s="55">
        <f>SUMIFS('Disbursements Summary'!$E:$E,'Disbursements Summary'!$C:$C,$C78,'Disbursements Summary'!$A:$A,"NYPA")</f>
        <v>0</v>
      </c>
      <c r="DV78" s="55">
        <f>SUMIFS('Awards Summary'!$H:$H,'Awards Summary'!$B:$B,$C78,'Awards Summary'!$J:$J,"NYSBA")</f>
        <v>0</v>
      </c>
      <c r="DW78" s="55">
        <f>SUMIFS('Disbursements Summary'!$E:$E,'Disbursements Summary'!$C:$C,$C78,'Disbursements Summary'!$A:$A,"NYSBA")</f>
        <v>0</v>
      </c>
      <c r="DX78" s="55">
        <f>SUMIFS('Awards Summary'!$H:$H,'Awards Summary'!$B:$B,$C78,'Awards Summary'!$J:$J,"NYSERDA")</f>
        <v>0</v>
      </c>
      <c r="DY78" s="55">
        <f>SUMIFS('Disbursements Summary'!$E:$E,'Disbursements Summary'!$C:$C,$C78,'Disbursements Summary'!$A:$A,"NYSERDA")</f>
        <v>0</v>
      </c>
      <c r="DZ78" s="55">
        <f>SUMIFS('Awards Summary'!$H:$H,'Awards Summary'!$B:$B,$C78,'Awards Summary'!$J:$J,"DHCR")</f>
        <v>0</v>
      </c>
      <c r="EA78" s="55">
        <f>SUMIFS('Disbursements Summary'!$E:$E,'Disbursements Summary'!$C:$C,$C78,'Disbursements Summary'!$A:$A,"DHCR")</f>
        <v>0</v>
      </c>
      <c r="EB78" s="55">
        <f>SUMIFS('Awards Summary'!$H:$H,'Awards Summary'!$B:$B,$C78,'Awards Summary'!$J:$J,"HFA")</f>
        <v>0</v>
      </c>
      <c r="EC78" s="55">
        <f>SUMIFS('Disbursements Summary'!$E:$E,'Disbursements Summary'!$C:$C,$C78,'Disbursements Summary'!$A:$A,"HFA")</f>
        <v>0</v>
      </c>
      <c r="ED78" s="55">
        <f>SUMIFS('Awards Summary'!$H:$H,'Awards Summary'!$B:$B,$C78,'Awards Summary'!$J:$J,"NYSIF")</f>
        <v>0</v>
      </c>
      <c r="EE78" s="55">
        <f>SUMIFS('Disbursements Summary'!$E:$E,'Disbursements Summary'!$C:$C,$C78,'Disbursements Summary'!$A:$A,"NYSIF")</f>
        <v>0</v>
      </c>
      <c r="EF78" s="55">
        <f>SUMIFS('Awards Summary'!$H:$H,'Awards Summary'!$B:$B,$C78,'Awards Summary'!$J:$J,"NYBREDS")</f>
        <v>0</v>
      </c>
      <c r="EG78" s="55">
        <f>SUMIFS('Disbursements Summary'!$E:$E,'Disbursements Summary'!$C:$C,$C78,'Disbursements Summary'!$A:$A,"NYBREDS")</f>
        <v>0</v>
      </c>
      <c r="EH78" s="55">
        <f>SUMIFS('Awards Summary'!$H:$H,'Awards Summary'!$B:$B,$C78,'Awards Summary'!$J:$J,"NYSTA")</f>
        <v>0</v>
      </c>
      <c r="EI78" s="55">
        <f>SUMIFS('Disbursements Summary'!$E:$E,'Disbursements Summary'!$C:$C,$C78,'Disbursements Summary'!$A:$A,"NYSTA")</f>
        <v>0</v>
      </c>
      <c r="EJ78" s="55">
        <f>SUMIFS('Awards Summary'!$H:$H,'Awards Summary'!$B:$B,$C78,'Awards Summary'!$J:$J,"NFWB")</f>
        <v>0</v>
      </c>
      <c r="EK78" s="55">
        <f>SUMIFS('Disbursements Summary'!$E:$E,'Disbursements Summary'!$C:$C,$C78,'Disbursements Summary'!$A:$A,"NFWB")</f>
        <v>0</v>
      </c>
      <c r="EL78" s="55">
        <f>SUMIFS('Awards Summary'!$H:$H,'Awards Summary'!$B:$B,$C78,'Awards Summary'!$J:$J,"NFTA")</f>
        <v>0</v>
      </c>
      <c r="EM78" s="55">
        <f>SUMIFS('Disbursements Summary'!$E:$E,'Disbursements Summary'!$C:$C,$C78,'Disbursements Summary'!$A:$A,"NFTA")</f>
        <v>0</v>
      </c>
      <c r="EN78" s="55">
        <f>SUMIFS('Awards Summary'!$H:$H,'Awards Summary'!$B:$B,$C78,'Awards Summary'!$J:$J,"OPWDD")</f>
        <v>0</v>
      </c>
      <c r="EO78" s="55">
        <f>SUMIFS('Disbursements Summary'!$E:$E,'Disbursements Summary'!$C:$C,$C78,'Disbursements Summary'!$A:$A,"OPWDD")</f>
        <v>0</v>
      </c>
      <c r="EP78" s="55">
        <f>SUMIFS('Awards Summary'!$H:$H,'Awards Summary'!$B:$B,$C78,'Awards Summary'!$J:$J,"AGING")</f>
        <v>0</v>
      </c>
      <c r="EQ78" s="55">
        <f>SUMIFS('Disbursements Summary'!$E:$E,'Disbursements Summary'!$C:$C,$C78,'Disbursements Summary'!$A:$A,"AGING")</f>
        <v>0</v>
      </c>
      <c r="ER78" s="55">
        <f>SUMIFS('Awards Summary'!$H:$H,'Awards Summary'!$B:$B,$C78,'Awards Summary'!$J:$J,"OPDV")</f>
        <v>0</v>
      </c>
      <c r="ES78" s="55">
        <f>SUMIFS('Disbursements Summary'!$E:$E,'Disbursements Summary'!$C:$C,$C78,'Disbursements Summary'!$A:$A,"OPDV")</f>
        <v>0</v>
      </c>
      <c r="ET78" s="55">
        <f>SUMIFS('Awards Summary'!$H:$H,'Awards Summary'!$B:$B,$C78,'Awards Summary'!$J:$J,"OVS")</f>
        <v>0</v>
      </c>
      <c r="EU78" s="55">
        <f>SUMIFS('Disbursements Summary'!$E:$E,'Disbursements Summary'!$C:$C,$C78,'Disbursements Summary'!$A:$A,"OVS")</f>
        <v>0</v>
      </c>
      <c r="EV78" s="55">
        <f>SUMIFS('Awards Summary'!$H:$H,'Awards Summary'!$B:$B,$C78,'Awards Summary'!$J:$J,"OASAS")</f>
        <v>0</v>
      </c>
      <c r="EW78" s="55">
        <f>SUMIFS('Disbursements Summary'!$E:$E,'Disbursements Summary'!$C:$C,$C78,'Disbursements Summary'!$A:$A,"OASAS")</f>
        <v>0</v>
      </c>
      <c r="EX78" s="55">
        <f>SUMIFS('Awards Summary'!$H:$H,'Awards Summary'!$B:$B,$C78,'Awards Summary'!$J:$J,"OCFS")</f>
        <v>0</v>
      </c>
      <c r="EY78" s="55">
        <f>SUMIFS('Disbursements Summary'!$E:$E,'Disbursements Summary'!$C:$C,$C78,'Disbursements Summary'!$A:$A,"OCFS")</f>
        <v>0</v>
      </c>
      <c r="EZ78" s="55">
        <f>SUMIFS('Awards Summary'!$H:$H,'Awards Summary'!$B:$B,$C78,'Awards Summary'!$J:$J,"OGS")</f>
        <v>0</v>
      </c>
      <c r="FA78" s="55">
        <f>SUMIFS('Disbursements Summary'!$E:$E,'Disbursements Summary'!$C:$C,$C78,'Disbursements Summary'!$A:$A,"OGS")</f>
        <v>0</v>
      </c>
      <c r="FB78" s="55">
        <f>SUMIFS('Awards Summary'!$H:$H,'Awards Summary'!$B:$B,$C78,'Awards Summary'!$J:$J,"OMH")</f>
        <v>0</v>
      </c>
      <c r="FC78" s="55">
        <f>SUMIFS('Disbursements Summary'!$E:$E,'Disbursements Summary'!$C:$C,$C78,'Disbursements Summary'!$A:$A,"OMH")</f>
        <v>0</v>
      </c>
      <c r="FD78" s="55">
        <f>SUMIFS('Awards Summary'!$H:$H,'Awards Summary'!$B:$B,$C78,'Awards Summary'!$J:$J,"PARKS")</f>
        <v>0</v>
      </c>
      <c r="FE78" s="55">
        <f>SUMIFS('Disbursements Summary'!$E:$E,'Disbursements Summary'!$C:$C,$C78,'Disbursements Summary'!$A:$A,"PARKS")</f>
        <v>0</v>
      </c>
      <c r="FF78" s="55">
        <f>SUMIFS('Awards Summary'!$H:$H,'Awards Summary'!$B:$B,$C78,'Awards Summary'!$J:$J,"OTDA")</f>
        <v>0</v>
      </c>
      <c r="FG78" s="55">
        <f>SUMIFS('Disbursements Summary'!$E:$E,'Disbursements Summary'!$C:$C,$C78,'Disbursements Summary'!$A:$A,"OTDA")</f>
        <v>0</v>
      </c>
      <c r="FH78" s="55">
        <f>SUMIFS('Awards Summary'!$H:$H,'Awards Summary'!$B:$B,$C78,'Awards Summary'!$J:$J,"OIG")</f>
        <v>0</v>
      </c>
      <c r="FI78" s="55">
        <f>SUMIFS('Disbursements Summary'!$E:$E,'Disbursements Summary'!$C:$C,$C78,'Disbursements Summary'!$A:$A,"OIG")</f>
        <v>0</v>
      </c>
      <c r="FJ78" s="55">
        <f>SUMIFS('Awards Summary'!$H:$H,'Awards Summary'!$B:$B,$C78,'Awards Summary'!$J:$J,"OMIG")</f>
        <v>0</v>
      </c>
      <c r="FK78" s="55">
        <f>SUMIFS('Disbursements Summary'!$E:$E,'Disbursements Summary'!$C:$C,$C78,'Disbursements Summary'!$A:$A,"OMIG")</f>
        <v>0</v>
      </c>
      <c r="FL78" s="55">
        <f>SUMIFS('Awards Summary'!$H:$H,'Awards Summary'!$B:$B,$C78,'Awards Summary'!$J:$J,"OSC")</f>
        <v>0</v>
      </c>
      <c r="FM78" s="55">
        <f>SUMIFS('Disbursements Summary'!$E:$E,'Disbursements Summary'!$C:$C,$C78,'Disbursements Summary'!$A:$A,"OSC")</f>
        <v>0</v>
      </c>
      <c r="FN78" s="55">
        <f>SUMIFS('Awards Summary'!$H:$H,'Awards Summary'!$B:$B,$C78,'Awards Summary'!$J:$J,"OWIG")</f>
        <v>0</v>
      </c>
      <c r="FO78" s="55">
        <f>SUMIFS('Disbursements Summary'!$E:$E,'Disbursements Summary'!$C:$C,$C78,'Disbursements Summary'!$A:$A,"OWIG")</f>
        <v>0</v>
      </c>
      <c r="FP78" s="55">
        <f>SUMIFS('Awards Summary'!$H:$H,'Awards Summary'!$B:$B,$C78,'Awards Summary'!$J:$J,"OGDEN")</f>
        <v>0</v>
      </c>
      <c r="FQ78" s="55">
        <f>SUMIFS('Disbursements Summary'!$E:$E,'Disbursements Summary'!$C:$C,$C78,'Disbursements Summary'!$A:$A,"OGDEN")</f>
        <v>0</v>
      </c>
      <c r="FR78" s="55">
        <f>SUMIFS('Awards Summary'!$H:$H,'Awards Summary'!$B:$B,$C78,'Awards Summary'!$J:$J,"ORDA")</f>
        <v>0</v>
      </c>
      <c r="FS78" s="55">
        <f>SUMIFS('Disbursements Summary'!$E:$E,'Disbursements Summary'!$C:$C,$C78,'Disbursements Summary'!$A:$A,"ORDA")</f>
        <v>0</v>
      </c>
      <c r="FT78" s="55">
        <f>SUMIFS('Awards Summary'!$H:$H,'Awards Summary'!$B:$B,$C78,'Awards Summary'!$J:$J,"OSWEGO")</f>
        <v>0</v>
      </c>
      <c r="FU78" s="55">
        <f>SUMIFS('Disbursements Summary'!$E:$E,'Disbursements Summary'!$C:$C,$C78,'Disbursements Summary'!$A:$A,"OSWEGO")</f>
        <v>0</v>
      </c>
      <c r="FV78" s="55">
        <f>SUMIFS('Awards Summary'!$H:$H,'Awards Summary'!$B:$B,$C78,'Awards Summary'!$J:$J,"PERB")</f>
        <v>0</v>
      </c>
      <c r="FW78" s="55">
        <f>SUMIFS('Disbursements Summary'!$E:$E,'Disbursements Summary'!$C:$C,$C78,'Disbursements Summary'!$A:$A,"PERB")</f>
        <v>0</v>
      </c>
      <c r="FX78" s="55">
        <f>SUMIFS('Awards Summary'!$H:$H,'Awards Summary'!$B:$B,$C78,'Awards Summary'!$J:$J,"RGRTA")</f>
        <v>0</v>
      </c>
      <c r="FY78" s="55">
        <f>SUMIFS('Disbursements Summary'!$E:$E,'Disbursements Summary'!$C:$C,$C78,'Disbursements Summary'!$A:$A,"RGRTA")</f>
        <v>0</v>
      </c>
      <c r="FZ78" s="55">
        <f>SUMIFS('Awards Summary'!$H:$H,'Awards Summary'!$B:$B,$C78,'Awards Summary'!$J:$J,"RIOC")</f>
        <v>0</v>
      </c>
      <c r="GA78" s="55">
        <f>SUMIFS('Disbursements Summary'!$E:$E,'Disbursements Summary'!$C:$C,$C78,'Disbursements Summary'!$A:$A,"RIOC")</f>
        <v>0</v>
      </c>
      <c r="GB78" s="55">
        <f>SUMIFS('Awards Summary'!$H:$H,'Awards Summary'!$B:$B,$C78,'Awards Summary'!$J:$J,"RPCI")</f>
        <v>0</v>
      </c>
      <c r="GC78" s="55">
        <f>SUMIFS('Disbursements Summary'!$E:$E,'Disbursements Summary'!$C:$C,$C78,'Disbursements Summary'!$A:$A,"RPCI")</f>
        <v>0</v>
      </c>
      <c r="GD78" s="55">
        <f>SUMIFS('Awards Summary'!$H:$H,'Awards Summary'!$B:$B,$C78,'Awards Summary'!$J:$J,"SMDA")</f>
        <v>0</v>
      </c>
      <c r="GE78" s="55">
        <f>SUMIFS('Disbursements Summary'!$E:$E,'Disbursements Summary'!$C:$C,$C78,'Disbursements Summary'!$A:$A,"SMDA")</f>
        <v>0</v>
      </c>
      <c r="GF78" s="55">
        <f>SUMIFS('Awards Summary'!$H:$H,'Awards Summary'!$B:$B,$C78,'Awards Summary'!$J:$J,"SCOC")</f>
        <v>0</v>
      </c>
      <c r="GG78" s="55">
        <f>SUMIFS('Disbursements Summary'!$E:$E,'Disbursements Summary'!$C:$C,$C78,'Disbursements Summary'!$A:$A,"SCOC")</f>
        <v>0</v>
      </c>
      <c r="GH78" s="55">
        <f>SUMIFS('Awards Summary'!$H:$H,'Awards Summary'!$B:$B,$C78,'Awards Summary'!$J:$J,"SUCF")</f>
        <v>0</v>
      </c>
      <c r="GI78" s="55">
        <f>SUMIFS('Disbursements Summary'!$E:$E,'Disbursements Summary'!$C:$C,$C78,'Disbursements Summary'!$A:$A,"SUCF")</f>
        <v>0</v>
      </c>
      <c r="GJ78" s="55">
        <f>SUMIFS('Awards Summary'!$H:$H,'Awards Summary'!$B:$B,$C78,'Awards Summary'!$J:$J,"SUNY")</f>
        <v>0</v>
      </c>
      <c r="GK78" s="55">
        <f>SUMIFS('Disbursements Summary'!$E:$E,'Disbursements Summary'!$C:$C,$C78,'Disbursements Summary'!$A:$A,"SUNY")</f>
        <v>0</v>
      </c>
      <c r="GL78" s="55">
        <f>SUMIFS('Awards Summary'!$H:$H,'Awards Summary'!$B:$B,$C78,'Awards Summary'!$J:$J,"SRAA")</f>
        <v>0</v>
      </c>
      <c r="GM78" s="55">
        <f>SUMIFS('Disbursements Summary'!$E:$E,'Disbursements Summary'!$C:$C,$C78,'Disbursements Summary'!$A:$A,"SRAA")</f>
        <v>0</v>
      </c>
      <c r="GN78" s="55">
        <f>SUMIFS('Awards Summary'!$H:$H,'Awards Summary'!$B:$B,$C78,'Awards Summary'!$J:$J,"UNDC")</f>
        <v>0</v>
      </c>
      <c r="GO78" s="55">
        <f>SUMIFS('Disbursements Summary'!$E:$E,'Disbursements Summary'!$C:$C,$C78,'Disbursements Summary'!$A:$A,"UNDC")</f>
        <v>0</v>
      </c>
      <c r="GP78" s="55">
        <f>SUMIFS('Awards Summary'!$H:$H,'Awards Summary'!$B:$B,$C78,'Awards Summary'!$J:$J,"MVWA")</f>
        <v>0</v>
      </c>
      <c r="GQ78" s="55">
        <f>SUMIFS('Disbursements Summary'!$E:$E,'Disbursements Summary'!$C:$C,$C78,'Disbursements Summary'!$A:$A,"MVWA")</f>
        <v>0</v>
      </c>
      <c r="GR78" s="55">
        <f>SUMIFS('Awards Summary'!$H:$H,'Awards Summary'!$B:$B,$C78,'Awards Summary'!$J:$J,"WMC")</f>
        <v>0</v>
      </c>
      <c r="GS78" s="55">
        <f>SUMIFS('Disbursements Summary'!$E:$E,'Disbursements Summary'!$C:$C,$C78,'Disbursements Summary'!$A:$A,"WMC")</f>
        <v>0</v>
      </c>
      <c r="GT78" s="55">
        <f>SUMIFS('Awards Summary'!$H:$H,'Awards Summary'!$B:$B,$C78,'Awards Summary'!$J:$J,"WCB")</f>
        <v>0</v>
      </c>
      <c r="GU78" s="55">
        <f>SUMIFS('Disbursements Summary'!$E:$E,'Disbursements Summary'!$C:$C,$C78,'Disbursements Summary'!$A:$A,"WCB")</f>
        <v>0</v>
      </c>
      <c r="GV78" s="32">
        <f t="shared" si="5"/>
        <v>0</v>
      </c>
      <c r="GW78" s="32">
        <f t="shared" si="6"/>
        <v>0</v>
      </c>
      <c r="GX78" s="30" t="b">
        <f t="shared" si="7"/>
        <v>1</v>
      </c>
      <c r="GY78" s="30" t="b">
        <f t="shared" si="8"/>
        <v>1</v>
      </c>
    </row>
    <row r="79" spans="1:207" s="30" customFormat="1">
      <c r="A79" s="22" t="str">
        <f t="shared" si="9"/>
        <v/>
      </c>
      <c r="B79" s="40" t="s">
        <v>98</v>
      </c>
      <c r="C79" s="16">
        <v>151156</v>
      </c>
      <c r="D79" s="26">
        <f>COUNTIF('Awards Summary'!B:B,"151156")</f>
        <v>0</v>
      </c>
      <c r="E79" s="45">
        <f>SUMIFS('Awards Summary'!H:H,'Awards Summary'!B:B,"151156")</f>
        <v>0</v>
      </c>
      <c r="F79" s="46">
        <f>SUMIFS('Disbursements Summary'!E:E,'Disbursements Summary'!C:C, "151156")</f>
        <v>0</v>
      </c>
      <c r="H79" s="55">
        <f>SUMIFS('Awards Summary'!$H:$H,'Awards Summary'!$B:$B,$C79,'Awards Summary'!$J:$J,"APA")</f>
        <v>0</v>
      </c>
      <c r="I79" s="55">
        <f>SUMIFS('Disbursements Summary'!$E:$E,'Disbursements Summary'!$C:$C,$C79,'Disbursements Summary'!$A:$A,"APA")</f>
        <v>0</v>
      </c>
      <c r="J79" s="55">
        <f>SUMIFS('Awards Summary'!$H:$H,'Awards Summary'!$B:$B,$C79,'Awards Summary'!$J:$J,"Ag&amp;Horse")</f>
        <v>0</v>
      </c>
      <c r="K79" s="55">
        <f>SUMIFS('Disbursements Summary'!$E:$E,'Disbursements Summary'!$C:$C,$C79,'Disbursements Summary'!$A:$A,"Ag&amp;Horse")</f>
        <v>0</v>
      </c>
      <c r="L79" s="55">
        <f>SUMIFS('Awards Summary'!$H:$H,'Awards Summary'!$B:$B,$C79,'Awards Summary'!$J:$J,"ACAA")</f>
        <v>0</v>
      </c>
      <c r="M79" s="55">
        <f>SUMIFS('Disbursements Summary'!$E:$E,'Disbursements Summary'!$C:$C,$C79,'Disbursements Summary'!$A:$A,"ACAA")</f>
        <v>0</v>
      </c>
      <c r="N79" s="55">
        <f>SUMIFS('Awards Summary'!$H:$H,'Awards Summary'!$B:$B,$C79,'Awards Summary'!$J:$J,"PortAlbany")</f>
        <v>0</v>
      </c>
      <c r="O79" s="55">
        <f>SUMIFS('Disbursements Summary'!$E:$E,'Disbursements Summary'!$C:$C,$C79,'Disbursements Summary'!$A:$A,"PortAlbany")</f>
        <v>0</v>
      </c>
      <c r="P79" s="55">
        <f>SUMIFS('Awards Summary'!$H:$H,'Awards Summary'!$B:$B,$C79,'Awards Summary'!$J:$J,"SLA")</f>
        <v>0</v>
      </c>
      <c r="Q79" s="55">
        <f>SUMIFS('Disbursements Summary'!$E:$E,'Disbursements Summary'!$C:$C,$C79,'Disbursements Summary'!$A:$A,"SLA")</f>
        <v>0</v>
      </c>
      <c r="R79" s="55">
        <f>SUMIFS('Awards Summary'!$H:$H,'Awards Summary'!$B:$B,$C79,'Awards Summary'!$J:$J,"BPCA")</f>
        <v>0</v>
      </c>
      <c r="S79" s="55">
        <f>SUMIFS('Disbursements Summary'!$E:$E,'Disbursements Summary'!$C:$C,$C79,'Disbursements Summary'!$A:$A,"BPCA")</f>
        <v>0</v>
      </c>
      <c r="T79" s="55">
        <f>SUMIFS('Awards Summary'!$H:$H,'Awards Summary'!$B:$B,$C79,'Awards Summary'!$J:$J,"ELECTIONS")</f>
        <v>0</v>
      </c>
      <c r="U79" s="55">
        <f>SUMIFS('Disbursements Summary'!$E:$E,'Disbursements Summary'!$C:$C,$C79,'Disbursements Summary'!$A:$A,"ELECTIONS")</f>
        <v>0</v>
      </c>
      <c r="V79" s="55">
        <f>SUMIFS('Awards Summary'!$H:$H,'Awards Summary'!$B:$B,$C79,'Awards Summary'!$J:$J,"BFSA")</f>
        <v>0</v>
      </c>
      <c r="W79" s="55">
        <f>SUMIFS('Disbursements Summary'!$E:$E,'Disbursements Summary'!$C:$C,$C79,'Disbursements Summary'!$A:$A,"BFSA")</f>
        <v>0</v>
      </c>
      <c r="X79" s="55">
        <f>SUMIFS('Awards Summary'!$H:$H,'Awards Summary'!$B:$B,$C79,'Awards Summary'!$J:$J,"CDTA")</f>
        <v>0</v>
      </c>
      <c r="Y79" s="55">
        <f>SUMIFS('Disbursements Summary'!$E:$E,'Disbursements Summary'!$C:$C,$C79,'Disbursements Summary'!$A:$A,"CDTA")</f>
        <v>0</v>
      </c>
      <c r="Z79" s="55">
        <f>SUMIFS('Awards Summary'!$H:$H,'Awards Summary'!$B:$B,$C79,'Awards Summary'!$J:$J,"CCWSA")</f>
        <v>0</v>
      </c>
      <c r="AA79" s="55">
        <f>SUMIFS('Disbursements Summary'!$E:$E,'Disbursements Summary'!$C:$C,$C79,'Disbursements Summary'!$A:$A,"CCWSA")</f>
        <v>0</v>
      </c>
      <c r="AB79" s="55">
        <f>SUMIFS('Awards Summary'!$H:$H,'Awards Summary'!$B:$B,$C79,'Awards Summary'!$J:$J,"CNYRTA")</f>
        <v>0</v>
      </c>
      <c r="AC79" s="55">
        <f>SUMIFS('Disbursements Summary'!$E:$E,'Disbursements Summary'!$C:$C,$C79,'Disbursements Summary'!$A:$A,"CNYRTA")</f>
        <v>0</v>
      </c>
      <c r="AD79" s="55">
        <f>SUMIFS('Awards Summary'!$H:$H,'Awards Summary'!$B:$B,$C79,'Awards Summary'!$J:$J,"CUCF")</f>
        <v>0</v>
      </c>
      <c r="AE79" s="55">
        <f>SUMIFS('Disbursements Summary'!$E:$E,'Disbursements Summary'!$C:$C,$C79,'Disbursements Summary'!$A:$A,"CUCF")</f>
        <v>0</v>
      </c>
      <c r="AF79" s="55">
        <f>SUMIFS('Awards Summary'!$H:$H,'Awards Summary'!$B:$B,$C79,'Awards Summary'!$J:$J,"CUNY")</f>
        <v>0</v>
      </c>
      <c r="AG79" s="55">
        <f>SUMIFS('Disbursements Summary'!$E:$E,'Disbursements Summary'!$C:$C,$C79,'Disbursements Summary'!$A:$A,"CUNY")</f>
        <v>0</v>
      </c>
      <c r="AH79" s="55">
        <f>SUMIFS('Awards Summary'!$H:$H,'Awards Summary'!$B:$B,$C79,'Awards Summary'!$J:$J,"ARTS")</f>
        <v>0</v>
      </c>
      <c r="AI79" s="55">
        <f>SUMIFS('Disbursements Summary'!$E:$E,'Disbursements Summary'!$C:$C,$C79,'Disbursements Summary'!$A:$A,"ARTS")</f>
        <v>0</v>
      </c>
      <c r="AJ79" s="55">
        <f>SUMIFS('Awards Summary'!$H:$H,'Awards Summary'!$B:$B,$C79,'Awards Summary'!$J:$J,"AG&amp;MKTS")</f>
        <v>0</v>
      </c>
      <c r="AK79" s="55">
        <f>SUMIFS('Disbursements Summary'!$E:$E,'Disbursements Summary'!$C:$C,$C79,'Disbursements Summary'!$A:$A,"AG&amp;MKTS")</f>
        <v>0</v>
      </c>
      <c r="AL79" s="55">
        <f>SUMIFS('Awards Summary'!$H:$H,'Awards Summary'!$B:$B,$C79,'Awards Summary'!$J:$J,"CS")</f>
        <v>0</v>
      </c>
      <c r="AM79" s="55">
        <f>SUMIFS('Disbursements Summary'!$E:$E,'Disbursements Summary'!$C:$C,$C79,'Disbursements Summary'!$A:$A,"CS")</f>
        <v>0</v>
      </c>
      <c r="AN79" s="55">
        <f>SUMIFS('Awards Summary'!$H:$H,'Awards Summary'!$B:$B,$C79,'Awards Summary'!$J:$J,"DOCCS")</f>
        <v>0</v>
      </c>
      <c r="AO79" s="55">
        <f>SUMIFS('Disbursements Summary'!$E:$E,'Disbursements Summary'!$C:$C,$C79,'Disbursements Summary'!$A:$A,"DOCCS")</f>
        <v>0</v>
      </c>
      <c r="AP79" s="55">
        <f>SUMIFS('Awards Summary'!$H:$H,'Awards Summary'!$B:$B,$C79,'Awards Summary'!$J:$J,"DED")</f>
        <v>0</v>
      </c>
      <c r="AQ79" s="55">
        <f>SUMIFS('Disbursements Summary'!$E:$E,'Disbursements Summary'!$C:$C,$C79,'Disbursements Summary'!$A:$A,"DED")</f>
        <v>0</v>
      </c>
      <c r="AR79" s="55">
        <f>SUMIFS('Awards Summary'!$H:$H,'Awards Summary'!$B:$B,$C79,'Awards Summary'!$J:$J,"DEC")</f>
        <v>0</v>
      </c>
      <c r="AS79" s="55">
        <f>SUMIFS('Disbursements Summary'!$E:$E,'Disbursements Summary'!$C:$C,$C79,'Disbursements Summary'!$A:$A,"DEC")</f>
        <v>0</v>
      </c>
      <c r="AT79" s="55">
        <f>SUMIFS('Awards Summary'!$H:$H,'Awards Summary'!$B:$B,$C79,'Awards Summary'!$J:$J,"DFS")</f>
        <v>0</v>
      </c>
      <c r="AU79" s="55">
        <f>SUMIFS('Disbursements Summary'!$E:$E,'Disbursements Summary'!$C:$C,$C79,'Disbursements Summary'!$A:$A,"DFS")</f>
        <v>0</v>
      </c>
      <c r="AV79" s="55">
        <f>SUMIFS('Awards Summary'!$H:$H,'Awards Summary'!$B:$B,$C79,'Awards Summary'!$J:$J,"DOH")</f>
        <v>0</v>
      </c>
      <c r="AW79" s="55">
        <f>SUMIFS('Disbursements Summary'!$E:$E,'Disbursements Summary'!$C:$C,$C79,'Disbursements Summary'!$A:$A,"DOH")</f>
        <v>0</v>
      </c>
      <c r="AX79" s="55">
        <f>SUMIFS('Awards Summary'!$H:$H,'Awards Summary'!$B:$B,$C79,'Awards Summary'!$J:$J,"DOL")</f>
        <v>0</v>
      </c>
      <c r="AY79" s="55">
        <f>SUMIFS('Disbursements Summary'!$E:$E,'Disbursements Summary'!$C:$C,$C79,'Disbursements Summary'!$A:$A,"DOL")</f>
        <v>0</v>
      </c>
      <c r="AZ79" s="55">
        <f>SUMIFS('Awards Summary'!$H:$H,'Awards Summary'!$B:$B,$C79,'Awards Summary'!$J:$J,"DMV")</f>
        <v>0</v>
      </c>
      <c r="BA79" s="55">
        <f>SUMIFS('Disbursements Summary'!$E:$E,'Disbursements Summary'!$C:$C,$C79,'Disbursements Summary'!$A:$A,"DMV")</f>
        <v>0</v>
      </c>
      <c r="BB79" s="55">
        <f>SUMIFS('Awards Summary'!$H:$H,'Awards Summary'!$B:$B,$C79,'Awards Summary'!$J:$J,"DPS")</f>
        <v>0</v>
      </c>
      <c r="BC79" s="55">
        <f>SUMIFS('Disbursements Summary'!$E:$E,'Disbursements Summary'!$C:$C,$C79,'Disbursements Summary'!$A:$A,"DPS")</f>
        <v>0</v>
      </c>
      <c r="BD79" s="55">
        <f>SUMIFS('Awards Summary'!$H:$H,'Awards Summary'!$B:$B,$C79,'Awards Summary'!$J:$J,"DOS")</f>
        <v>0</v>
      </c>
      <c r="BE79" s="55">
        <f>SUMIFS('Disbursements Summary'!$E:$E,'Disbursements Summary'!$C:$C,$C79,'Disbursements Summary'!$A:$A,"DOS")</f>
        <v>0</v>
      </c>
      <c r="BF79" s="55">
        <f>SUMIFS('Awards Summary'!$H:$H,'Awards Summary'!$B:$B,$C79,'Awards Summary'!$J:$J,"TAX")</f>
        <v>0</v>
      </c>
      <c r="BG79" s="55">
        <f>SUMIFS('Disbursements Summary'!$E:$E,'Disbursements Summary'!$C:$C,$C79,'Disbursements Summary'!$A:$A,"TAX")</f>
        <v>0</v>
      </c>
      <c r="BH79" s="55">
        <f>SUMIFS('Awards Summary'!$H:$H,'Awards Summary'!$B:$B,$C79,'Awards Summary'!$J:$J,"DOT")</f>
        <v>0</v>
      </c>
      <c r="BI79" s="55">
        <f>SUMIFS('Disbursements Summary'!$E:$E,'Disbursements Summary'!$C:$C,$C79,'Disbursements Summary'!$A:$A,"DOT")</f>
        <v>0</v>
      </c>
      <c r="BJ79" s="55">
        <f>SUMIFS('Awards Summary'!$H:$H,'Awards Summary'!$B:$B,$C79,'Awards Summary'!$J:$J,"DANC")</f>
        <v>0</v>
      </c>
      <c r="BK79" s="55">
        <f>SUMIFS('Disbursements Summary'!$E:$E,'Disbursements Summary'!$C:$C,$C79,'Disbursements Summary'!$A:$A,"DANC")</f>
        <v>0</v>
      </c>
      <c r="BL79" s="55">
        <f>SUMIFS('Awards Summary'!$H:$H,'Awards Summary'!$B:$B,$C79,'Awards Summary'!$J:$J,"DOB")</f>
        <v>0</v>
      </c>
      <c r="BM79" s="55">
        <f>SUMIFS('Disbursements Summary'!$E:$E,'Disbursements Summary'!$C:$C,$C79,'Disbursements Summary'!$A:$A,"DOB")</f>
        <v>0</v>
      </c>
      <c r="BN79" s="55">
        <f>SUMIFS('Awards Summary'!$H:$H,'Awards Summary'!$B:$B,$C79,'Awards Summary'!$J:$J,"DCJS")</f>
        <v>0</v>
      </c>
      <c r="BO79" s="55">
        <f>SUMIFS('Disbursements Summary'!$E:$E,'Disbursements Summary'!$C:$C,$C79,'Disbursements Summary'!$A:$A,"DCJS")</f>
        <v>0</v>
      </c>
      <c r="BP79" s="55">
        <f>SUMIFS('Awards Summary'!$H:$H,'Awards Summary'!$B:$B,$C79,'Awards Summary'!$J:$J,"DHSES")</f>
        <v>0</v>
      </c>
      <c r="BQ79" s="55">
        <f>SUMIFS('Disbursements Summary'!$E:$E,'Disbursements Summary'!$C:$C,$C79,'Disbursements Summary'!$A:$A,"DHSES")</f>
        <v>0</v>
      </c>
      <c r="BR79" s="55">
        <f>SUMIFS('Awards Summary'!$H:$H,'Awards Summary'!$B:$B,$C79,'Awards Summary'!$J:$J,"DHR")</f>
        <v>0</v>
      </c>
      <c r="BS79" s="55">
        <f>SUMIFS('Disbursements Summary'!$E:$E,'Disbursements Summary'!$C:$C,$C79,'Disbursements Summary'!$A:$A,"DHR")</f>
        <v>0</v>
      </c>
      <c r="BT79" s="55">
        <f>SUMIFS('Awards Summary'!$H:$H,'Awards Summary'!$B:$B,$C79,'Awards Summary'!$J:$J,"DMNA")</f>
        <v>0</v>
      </c>
      <c r="BU79" s="55">
        <f>SUMIFS('Disbursements Summary'!$E:$E,'Disbursements Summary'!$C:$C,$C79,'Disbursements Summary'!$A:$A,"DMNA")</f>
        <v>0</v>
      </c>
      <c r="BV79" s="55">
        <f>SUMIFS('Awards Summary'!$H:$H,'Awards Summary'!$B:$B,$C79,'Awards Summary'!$J:$J,"TROOPERS")</f>
        <v>0</v>
      </c>
      <c r="BW79" s="55">
        <f>SUMIFS('Disbursements Summary'!$E:$E,'Disbursements Summary'!$C:$C,$C79,'Disbursements Summary'!$A:$A,"TROOPERS")</f>
        <v>0</v>
      </c>
      <c r="BX79" s="55">
        <f>SUMIFS('Awards Summary'!$H:$H,'Awards Summary'!$B:$B,$C79,'Awards Summary'!$J:$J,"DVA")</f>
        <v>0</v>
      </c>
      <c r="BY79" s="55">
        <f>SUMIFS('Disbursements Summary'!$E:$E,'Disbursements Summary'!$C:$C,$C79,'Disbursements Summary'!$A:$A,"DVA")</f>
        <v>0</v>
      </c>
      <c r="BZ79" s="55">
        <f>SUMIFS('Awards Summary'!$H:$H,'Awards Summary'!$B:$B,$C79,'Awards Summary'!$J:$J,"DASNY")</f>
        <v>0</v>
      </c>
      <c r="CA79" s="55">
        <f>SUMIFS('Disbursements Summary'!$E:$E,'Disbursements Summary'!$C:$C,$C79,'Disbursements Summary'!$A:$A,"DASNY")</f>
        <v>0</v>
      </c>
      <c r="CB79" s="55">
        <f>SUMIFS('Awards Summary'!$H:$H,'Awards Summary'!$B:$B,$C79,'Awards Summary'!$J:$J,"EGG")</f>
        <v>0</v>
      </c>
      <c r="CC79" s="55">
        <f>SUMIFS('Disbursements Summary'!$E:$E,'Disbursements Summary'!$C:$C,$C79,'Disbursements Summary'!$A:$A,"EGG")</f>
        <v>0</v>
      </c>
      <c r="CD79" s="55">
        <f>SUMIFS('Awards Summary'!$H:$H,'Awards Summary'!$B:$B,$C79,'Awards Summary'!$J:$J,"ESD")</f>
        <v>0</v>
      </c>
      <c r="CE79" s="55">
        <f>SUMIFS('Disbursements Summary'!$E:$E,'Disbursements Summary'!$C:$C,$C79,'Disbursements Summary'!$A:$A,"ESD")</f>
        <v>0</v>
      </c>
      <c r="CF79" s="55">
        <f>SUMIFS('Awards Summary'!$H:$H,'Awards Summary'!$B:$B,$C79,'Awards Summary'!$J:$J,"EFC")</f>
        <v>0</v>
      </c>
      <c r="CG79" s="55">
        <f>SUMIFS('Disbursements Summary'!$E:$E,'Disbursements Summary'!$C:$C,$C79,'Disbursements Summary'!$A:$A,"EFC")</f>
        <v>0</v>
      </c>
      <c r="CH79" s="55">
        <f>SUMIFS('Awards Summary'!$H:$H,'Awards Summary'!$B:$B,$C79,'Awards Summary'!$J:$J,"ECFSA")</f>
        <v>0</v>
      </c>
      <c r="CI79" s="55">
        <f>SUMIFS('Disbursements Summary'!$E:$E,'Disbursements Summary'!$C:$C,$C79,'Disbursements Summary'!$A:$A,"ECFSA")</f>
        <v>0</v>
      </c>
      <c r="CJ79" s="55">
        <f>SUMIFS('Awards Summary'!$H:$H,'Awards Summary'!$B:$B,$C79,'Awards Summary'!$J:$J,"ECMC")</f>
        <v>0</v>
      </c>
      <c r="CK79" s="55">
        <f>SUMIFS('Disbursements Summary'!$E:$E,'Disbursements Summary'!$C:$C,$C79,'Disbursements Summary'!$A:$A,"ECMC")</f>
        <v>0</v>
      </c>
      <c r="CL79" s="55">
        <f>SUMIFS('Awards Summary'!$H:$H,'Awards Summary'!$B:$B,$C79,'Awards Summary'!$J:$J,"CHAMBER")</f>
        <v>0</v>
      </c>
      <c r="CM79" s="55">
        <f>SUMIFS('Disbursements Summary'!$E:$E,'Disbursements Summary'!$C:$C,$C79,'Disbursements Summary'!$A:$A,"CHAMBER")</f>
        <v>0</v>
      </c>
      <c r="CN79" s="55">
        <f>SUMIFS('Awards Summary'!$H:$H,'Awards Summary'!$B:$B,$C79,'Awards Summary'!$J:$J,"GAMING")</f>
        <v>0</v>
      </c>
      <c r="CO79" s="55">
        <f>SUMIFS('Disbursements Summary'!$E:$E,'Disbursements Summary'!$C:$C,$C79,'Disbursements Summary'!$A:$A,"GAMING")</f>
        <v>0</v>
      </c>
      <c r="CP79" s="55">
        <f>SUMIFS('Awards Summary'!$H:$H,'Awards Summary'!$B:$B,$C79,'Awards Summary'!$J:$J,"GOER")</f>
        <v>0</v>
      </c>
      <c r="CQ79" s="55">
        <f>SUMIFS('Disbursements Summary'!$E:$E,'Disbursements Summary'!$C:$C,$C79,'Disbursements Summary'!$A:$A,"GOER")</f>
        <v>0</v>
      </c>
      <c r="CR79" s="55">
        <f>SUMIFS('Awards Summary'!$H:$H,'Awards Summary'!$B:$B,$C79,'Awards Summary'!$J:$J,"HESC")</f>
        <v>0</v>
      </c>
      <c r="CS79" s="55">
        <f>SUMIFS('Disbursements Summary'!$E:$E,'Disbursements Summary'!$C:$C,$C79,'Disbursements Summary'!$A:$A,"HESC")</f>
        <v>0</v>
      </c>
      <c r="CT79" s="55">
        <f>SUMIFS('Awards Summary'!$H:$H,'Awards Summary'!$B:$B,$C79,'Awards Summary'!$J:$J,"GOSR")</f>
        <v>0</v>
      </c>
      <c r="CU79" s="55">
        <f>SUMIFS('Disbursements Summary'!$E:$E,'Disbursements Summary'!$C:$C,$C79,'Disbursements Summary'!$A:$A,"GOSR")</f>
        <v>0</v>
      </c>
      <c r="CV79" s="55">
        <f>SUMIFS('Awards Summary'!$H:$H,'Awards Summary'!$B:$B,$C79,'Awards Summary'!$J:$J,"HRPT")</f>
        <v>0</v>
      </c>
      <c r="CW79" s="55">
        <f>SUMIFS('Disbursements Summary'!$E:$E,'Disbursements Summary'!$C:$C,$C79,'Disbursements Summary'!$A:$A,"HRPT")</f>
        <v>0</v>
      </c>
      <c r="CX79" s="55">
        <f>SUMIFS('Awards Summary'!$H:$H,'Awards Summary'!$B:$B,$C79,'Awards Summary'!$J:$J,"HRBRRD")</f>
        <v>0</v>
      </c>
      <c r="CY79" s="55">
        <f>SUMIFS('Disbursements Summary'!$E:$E,'Disbursements Summary'!$C:$C,$C79,'Disbursements Summary'!$A:$A,"HRBRRD")</f>
        <v>0</v>
      </c>
      <c r="CZ79" s="55">
        <f>SUMIFS('Awards Summary'!$H:$H,'Awards Summary'!$B:$B,$C79,'Awards Summary'!$J:$J,"ITS")</f>
        <v>0</v>
      </c>
      <c r="DA79" s="55">
        <f>SUMIFS('Disbursements Summary'!$E:$E,'Disbursements Summary'!$C:$C,$C79,'Disbursements Summary'!$A:$A,"ITS")</f>
        <v>0</v>
      </c>
      <c r="DB79" s="55">
        <f>SUMIFS('Awards Summary'!$H:$H,'Awards Summary'!$B:$B,$C79,'Awards Summary'!$J:$J,"JAVITS")</f>
        <v>0</v>
      </c>
      <c r="DC79" s="55">
        <f>SUMIFS('Disbursements Summary'!$E:$E,'Disbursements Summary'!$C:$C,$C79,'Disbursements Summary'!$A:$A,"JAVITS")</f>
        <v>0</v>
      </c>
      <c r="DD79" s="55">
        <f>SUMIFS('Awards Summary'!$H:$H,'Awards Summary'!$B:$B,$C79,'Awards Summary'!$J:$J,"JCOPE")</f>
        <v>0</v>
      </c>
      <c r="DE79" s="55">
        <f>SUMIFS('Disbursements Summary'!$E:$E,'Disbursements Summary'!$C:$C,$C79,'Disbursements Summary'!$A:$A,"JCOPE")</f>
        <v>0</v>
      </c>
      <c r="DF79" s="55">
        <f>SUMIFS('Awards Summary'!$H:$H,'Awards Summary'!$B:$B,$C79,'Awards Summary'!$J:$J,"JUSTICE")</f>
        <v>0</v>
      </c>
      <c r="DG79" s="55">
        <f>SUMIFS('Disbursements Summary'!$E:$E,'Disbursements Summary'!$C:$C,$C79,'Disbursements Summary'!$A:$A,"JUSTICE")</f>
        <v>0</v>
      </c>
      <c r="DH79" s="55">
        <f>SUMIFS('Awards Summary'!$H:$H,'Awards Summary'!$B:$B,$C79,'Awards Summary'!$J:$J,"LCWSA")</f>
        <v>0</v>
      </c>
      <c r="DI79" s="55">
        <f>SUMIFS('Disbursements Summary'!$E:$E,'Disbursements Summary'!$C:$C,$C79,'Disbursements Summary'!$A:$A,"LCWSA")</f>
        <v>0</v>
      </c>
      <c r="DJ79" s="55">
        <f>SUMIFS('Awards Summary'!$H:$H,'Awards Summary'!$B:$B,$C79,'Awards Summary'!$J:$J,"LIPA")</f>
        <v>0</v>
      </c>
      <c r="DK79" s="55">
        <f>SUMIFS('Disbursements Summary'!$E:$E,'Disbursements Summary'!$C:$C,$C79,'Disbursements Summary'!$A:$A,"LIPA")</f>
        <v>0</v>
      </c>
      <c r="DL79" s="55">
        <f>SUMIFS('Awards Summary'!$H:$H,'Awards Summary'!$B:$B,$C79,'Awards Summary'!$J:$J,"MTA")</f>
        <v>0</v>
      </c>
      <c r="DM79" s="55">
        <f>SUMIFS('Disbursements Summary'!$E:$E,'Disbursements Summary'!$C:$C,$C79,'Disbursements Summary'!$A:$A,"MTA")</f>
        <v>0</v>
      </c>
      <c r="DN79" s="55">
        <f>SUMIFS('Awards Summary'!$H:$H,'Awards Summary'!$B:$B,$C79,'Awards Summary'!$J:$J,"NIFA")</f>
        <v>0</v>
      </c>
      <c r="DO79" s="55">
        <f>SUMIFS('Disbursements Summary'!$E:$E,'Disbursements Summary'!$C:$C,$C79,'Disbursements Summary'!$A:$A,"NIFA")</f>
        <v>0</v>
      </c>
      <c r="DP79" s="55">
        <f>SUMIFS('Awards Summary'!$H:$H,'Awards Summary'!$B:$B,$C79,'Awards Summary'!$J:$J,"NHCC")</f>
        <v>0</v>
      </c>
      <c r="DQ79" s="55">
        <f>SUMIFS('Disbursements Summary'!$E:$E,'Disbursements Summary'!$C:$C,$C79,'Disbursements Summary'!$A:$A,"NHCC")</f>
        <v>0</v>
      </c>
      <c r="DR79" s="55">
        <f>SUMIFS('Awards Summary'!$H:$H,'Awards Summary'!$B:$B,$C79,'Awards Summary'!$J:$J,"NHT")</f>
        <v>0</v>
      </c>
      <c r="DS79" s="55">
        <f>SUMIFS('Disbursements Summary'!$E:$E,'Disbursements Summary'!$C:$C,$C79,'Disbursements Summary'!$A:$A,"NHT")</f>
        <v>0</v>
      </c>
      <c r="DT79" s="55">
        <f>SUMIFS('Awards Summary'!$H:$H,'Awards Summary'!$B:$B,$C79,'Awards Summary'!$J:$J,"NYPA")</f>
        <v>0</v>
      </c>
      <c r="DU79" s="55">
        <f>SUMIFS('Disbursements Summary'!$E:$E,'Disbursements Summary'!$C:$C,$C79,'Disbursements Summary'!$A:$A,"NYPA")</f>
        <v>0</v>
      </c>
      <c r="DV79" s="55">
        <f>SUMIFS('Awards Summary'!$H:$H,'Awards Summary'!$B:$B,$C79,'Awards Summary'!$J:$J,"NYSBA")</f>
        <v>0</v>
      </c>
      <c r="DW79" s="55">
        <f>SUMIFS('Disbursements Summary'!$E:$E,'Disbursements Summary'!$C:$C,$C79,'Disbursements Summary'!$A:$A,"NYSBA")</f>
        <v>0</v>
      </c>
      <c r="DX79" s="55">
        <f>SUMIFS('Awards Summary'!$H:$H,'Awards Summary'!$B:$B,$C79,'Awards Summary'!$J:$J,"NYSERDA")</f>
        <v>0</v>
      </c>
      <c r="DY79" s="55">
        <f>SUMIFS('Disbursements Summary'!$E:$E,'Disbursements Summary'!$C:$C,$C79,'Disbursements Summary'!$A:$A,"NYSERDA")</f>
        <v>0</v>
      </c>
      <c r="DZ79" s="55">
        <f>SUMIFS('Awards Summary'!$H:$H,'Awards Summary'!$B:$B,$C79,'Awards Summary'!$J:$J,"DHCR")</f>
        <v>0</v>
      </c>
      <c r="EA79" s="55">
        <f>SUMIFS('Disbursements Summary'!$E:$E,'Disbursements Summary'!$C:$C,$C79,'Disbursements Summary'!$A:$A,"DHCR")</f>
        <v>0</v>
      </c>
      <c r="EB79" s="55">
        <f>SUMIFS('Awards Summary'!$H:$H,'Awards Summary'!$B:$B,$C79,'Awards Summary'!$J:$J,"HFA")</f>
        <v>0</v>
      </c>
      <c r="EC79" s="55">
        <f>SUMIFS('Disbursements Summary'!$E:$E,'Disbursements Summary'!$C:$C,$C79,'Disbursements Summary'!$A:$A,"HFA")</f>
        <v>0</v>
      </c>
      <c r="ED79" s="55">
        <f>SUMIFS('Awards Summary'!$H:$H,'Awards Summary'!$B:$B,$C79,'Awards Summary'!$J:$J,"NYSIF")</f>
        <v>0</v>
      </c>
      <c r="EE79" s="55">
        <f>SUMIFS('Disbursements Summary'!$E:$E,'Disbursements Summary'!$C:$C,$C79,'Disbursements Summary'!$A:$A,"NYSIF")</f>
        <v>0</v>
      </c>
      <c r="EF79" s="55">
        <f>SUMIFS('Awards Summary'!$H:$H,'Awards Summary'!$B:$B,$C79,'Awards Summary'!$J:$J,"NYBREDS")</f>
        <v>0</v>
      </c>
      <c r="EG79" s="55">
        <f>SUMIFS('Disbursements Summary'!$E:$E,'Disbursements Summary'!$C:$C,$C79,'Disbursements Summary'!$A:$A,"NYBREDS")</f>
        <v>0</v>
      </c>
      <c r="EH79" s="55">
        <f>SUMIFS('Awards Summary'!$H:$H,'Awards Summary'!$B:$B,$C79,'Awards Summary'!$J:$J,"NYSTA")</f>
        <v>0</v>
      </c>
      <c r="EI79" s="55">
        <f>SUMIFS('Disbursements Summary'!$E:$E,'Disbursements Summary'!$C:$C,$C79,'Disbursements Summary'!$A:$A,"NYSTA")</f>
        <v>0</v>
      </c>
      <c r="EJ79" s="55">
        <f>SUMIFS('Awards Summary'!$H:$H,'Awards Summary'!$B:$B,$C79,'Awards Summary'!$J:$J,"NFWB")</f>
        <v>0</v>
      </c>
      <c r="EK79" s="55">
        <f>SUMIFS('Disbursements Summary'!$E:$E,'Disbursements Summary'!$C:$C,$C79,'Disbursements Summary'!$A:$A,"NFWB")</f>
        <v>0</v>
      </c>
      <c r="EL79" s="55">
        <f>SUMIFS('Awards Summary'!$H:$H,'Awards Summary'!$B:$B,$C79,'Awards Summary'!$J:$J,"NFTA")</f>
        <v>0</v>
      </c>
      <c r="EM79" s="55">
        <f>SUMIFS('Disbursements Summary'!$E:$E,'Disbursements Summary'!$C:$C,$C79,'Disbursements Summary'!$A:$A,"NFTA")</f>
        <v>0</v>
      </c>
      <c r="EN79" s="55">
        <f>SUMIFS('Awards Summary'!$H:$H,'Awards Summary'!$B:$B,$C79,'Awards Summary'!$J:$J,"OPWDD")</f>
        <v>0</v>
      </c>
      <c r="EO79" s="55">
        <f>SUMIFS('Disbursements Summary'!$E:$E,'Disbursements Summary'!$C:$C,$C79,'Disbursements Summary'!$A:$A,"OPWDD")</f>
        <v>0</v>
      </c>
      <c r="EP79" s="55">
        <f>SUMIFS('Awards Summary'!$H:$H,'Awards Summary'!$B:$B,$C79,'Awards Summary'!$J:$J,"AGING")</f>
        <v>0</v>
      </c>
      <c r="EQ79" s="55">
        <f>SUMIFS('Disbursements Summary'!$E:$E,'Disbursements Summary'!$C:$C,$C79,'Disbursements Summary'!$A:$A,"AGING")</f>
        <v>0</v>
      </c>
      <c r="ER79" s="55">
        <f>SUMIFS('Awards Summary'!$H:$H,'Awards Summary'!$B:$B,$C79,'Awards Summary'!$J:$J,"OPDV")</f>
        <v>0</v>
      </c>
      <c r="ES79" s="55">
        <f>SUMIFS('Disbursements Summary'!$E:$E,'Disbursements Summary'!$C:$C,$C79,'Disbursements Summary'!$A:$A,"OPDV")</f>
        <v>0</v>
      </c>
      <c r="ET79" s="55">
        <f>SUMIFS('Awards Summary'!$H:$H,'Awards Summary'!$B:$B,$C79,'Awards Summary'!$J:$J,"OVS")</f>
        <v>0</v>
      </c>
      <c r="EU79" s="55">
        <f>SUMIFS('Disbursements Summary'!$E:$E,'Disbursements Summary'!$C:$C,$C79,'Disbursements Summary'!$A:$A,"OVS")</f>
        <v>0</v>
      </c>
      <c r="EV79" s="55">
        <f>SUMIFS('Awards Summary'!$H:$H,'Awards Summary'!$B:$B,$C79,'Awards Summary'!$J:$J,"OASAS")</f>
        <v>0</v>
      </c>
      <c r="EW79" s="55">
        <f>SUMIFS('Disbursements Summary'!$E:$E,'Disbursements Summary'!$C:$C,$C79,'Disbursements Summary'!$A:$A,"OASAS")</f>
        <v>0</v>
      </c>
      <c r="EX79" s="55">
        <f>SUMIFS('Awards Summary'!$H:$H,'Awards Summary'!$B:$B,$C79,'Awards Summary'!$J:$J,"OCFS")</f>
        <v>0</v>
      </c>
      <c r="EY79" s="55">
        <f>SUMIFS('Disbursements Summary'!$E:$E,'Disbursements Summary'!$C:$C,$C79,'Disbursements Summary'!$A:$A,"OCFS")</f>
        <v>0</v>
      </c>
      <c r="EZ79" s="55">
        <f>SUMIFS('Awards Summary'!$H:$H,'Awards Summary'!$B:$B,$C79,'Awards Summary'!$J:$J,"OGS")</f>
        <v>0</v>
      </c>
      <c r="FA79" s="55">
        <f>SUMIFS('Disbursements Summary'!$E:$E,'Disbursements Summary'!$C:$C,$C79,'Disbursements Summary'!$A:$A,"OGS")</f>
        <v>0</v>
      </c>
      <c r="FB79" s="55">
        <f>SUMIFS('Awards Summary'!$H:$H,'Awards Summary'!$B:$B,$C79,'Awards Summary'!$J:$J,"OMH")</f>
        <v>0</v>
      </c>
      <c r="FC79" s="55">
        <f>SUMIFS('Disbursements Summary'!$E:$E,'Disbursements Summary'!$C:$C,$C79,'Disbursements Summary'!$A:$A,"OMH")</f>
        <v>0</v>
      </c>
      <c r="FD79" s="55">
        <f>SUMIFS('Awards Summary'!$H:$H,'Awards Summary'!$B:$B,$C79,'Awards Summary'!$J:$J,"PARKS")</f>
        <v>0</v>
      </c>
      <c r="FE79" s="55">
        <f>SUMIFS('Disbursements Summary'!$E:$E,'Disbursements Summary'!$C:$C,$C79,'Disbursements Summary'!$A:$A,"PARKS")</f>
        <v>0</v>
      </c>
      <c r="FF79" s="55">
        <f>SUMIFS('Awards Summary'!$H:$H,'Awards Summary'!$B:$B,$C79,'Awards Summary'!$J:$J,"OTDA")</f>
        <v>0</v>
      </c>
      <c r="FG79" s="55">
        <f>SUMIFS('Disbursements Summary'!$E:$E,'Disbursements Summary'!$C:$C,$C79,'Disbursements Summary'!$A:$A,"OTDA")</f>
        <v>0</v>
      </c>
      <c r="FH79" s="55">
        <f>SUMIFS('Awards Summary'!$H:$H,'Awards Summary'!$B:$B,$C79,'Awards Summary'!$J:$J,"OIG")</f>
        <v>0</v>
      </c>
      <c r="FI79" s="55">
        <f>SUMIFS('Disbursements Summary'!$E:$E,'Disbursements Summary'!$C:$C,$C79,'Disbursements Summary'!$A:$A,"OIG")</f>
        <v>0</v>
      </c>
      <c r="FJ79" s="55">
        <f>SUMIFS('Awards Summary'!$H:$H,'Awards Summary'!$B:$B,$C79,'Awards Summary'!$J:$J,"OMIG")</f>
        <v>0</v>
      </c>
      <c r="FK79" s="55">
        <f>SUMIFS('Disbursements Summary'!$E:$E,'Disbursements Summary'!$C:$C,$C79,'Disbursements Summary'!$A:$A,"OMIG")</f>
        <v>0</v>
      </c>
      <c r="FL79" s="55">
        <f>SUMIFS('Awards Summary'!$H:$H,'Awards Summary'!$B:$B,$C79,'Awards Summary'!$J:$J,"OSC")</f>
        <v>0</v>
      </c>
      <c r="FM79" s="55">
        <f>SUMIFS('Disbursements Summary'!$E:$E,'Disbursements Summary'!$C:$C,$C79,'Disbursements Summary'!$A:$A,"OSC")</f>
        <v>0</v>
      </c>
      <c r="FN79" s="55">
        <f>SUMIFS('Awards Summary'!$H:$H,'Awards Summary'!$B:$B,$C79,'Awards Summary'!$J:$J,"OWIG")</f>
        <v>0</v>
      </c>
      <c r="FO79" s="55">
        <f>SUMIFS('Disbursements Summary'!$E:$E,'Disbursements Summary'!$C:$C,$C79,'Disbursements Summary'!$A:$A,"OWIG")</f>
        <v>0</v>
      </c>
      <c r="FP79" s="55">
        <f>SUMIFS('Awards Summary'!$H:$H,'Awards Summary'!$B:$B,$C79,'Awards Summary'!$J:$J,"OGDEN")</f>
        <v>0</v>
      </c>
      <c r="FQ79" s="55">
        <f>SUMIFS('Disbursements Summary'!$E:$E,'Disbursements Summary'!$C:$C,$C79,'Disbursements Summary'!$A:$A,"OGDEN")</f>
        <v>0</v>
      </c>
      <c r="FR79" s="55">
        <f>SUMIFS('Awards Summary'!$H:$H,'Awards Summary'!$B:$B,$C79,'Awards Summary'!$J:$J,"ORDA")</f>
        <v>0</v>
      </c>
      <c r="FS79" s="55">
        <f>SUMIFS('Disbursements Summary'!$E:$E,'Disbursements Summary'!$C:$C,$C79,'Disbursements Summary'!$A:$A,"ORDA")</f>
        <v>0</v>
      </c>
      <c r="FT79" s="55">
        <f>SUMIFS('Awards Summary'!$H:$H,'Awards Summary'!$B:$B,$C79,'Awards Summary'!$J:$J,"OSWEGO")</f>
        <v>0</v>
      </c>
      <c r="FU79" s="55">
        <f>SUMIFS('Disbursements Summary'!$E:$E,'Disbursements Summary'!$C:$C,$C79,'Disbursements Summary'!$A:$A,"OSWEGO")</f>
        <v>0</v>
      </c>
      <c r="FV79" s="55">
        <f>SUMIFS('Awards Summary'!$H:$H,'Awards Summary'!$B:$B,$C79,'Awards Summary'!$J:$J,"PERB")</f>
        <v>0</v>
      </c>
      <c r="FW79" s="55">
        <f>SUMIFS('Disbursements Summary'!$E:$E,'Disbursements Summary'!$C:$C,$C79,'Disbursements Summary'!$A:$A,"PERB")</f>
        <v>0</v>
      </c>
      <c r="FX79" s="55">
        <f>SUMIFS('Awards Summary'!$H:$H,'Awards Summary'!$B:$B,$C79,'Awards Summary'!$J:$J,"RGRTA")</f>
        <v>0</v>
      </c>
      <c r="FY79" s="55">
        <f>SUMIFS('Disbursements Summary'!$E:$E,'Disbursements Summary'!$C:$C,$C79,'Disbursements Summary'!$A:$A,"RGRTA")</f>
        <v>0</v>
      </c>
      <c r="FZ79" s="55">
        <f>SUMIFS('Awards Summary'!$H:$H,'Awards Summary'!$B:$B,$C79,'Awards Summary'!$J:$J,"RIOC")</f>
        <v>0</v>
      </c>
      <c r="GA79" s="55">
        <f>SUMIFS('Disbursements Summary'!$E:$E,'Disbursements Summary'!$C:$C,$C79,'Disbursements Summary'!$A:$A,"RIOC")</f>
        <v>0</v>
      </c>
      <c r="GB79" s="55">
        <f>SUMIFS('Awards Summary'!$H:$H,'Awards Summary'!$B:$B,$C79,'Awards Summary'!$J:$J,"RPCI")</f>
        <v>0</v>
      </c>
      <c r="GC79" s="55">
        <f>SUMIFS('Disbursements Summary'!$E:$E,'Disbursements Summary'!$C:$C,$C79,'Disbursements Summary'!$A:$A,"RPCI")</f>
        <v>0</v>
      </c>
      <c r="GD79" s="55">
        <f>SUMIFS('Awards Summary'!$H:$H,'Awards Summary'!$B:$B,$C79,'Awards Summary'!$J:$J,"SMDA")</f>
        <v>0</v>
      </c>
      <c r="GE79" s="55">
        <f>SUMIFS('Disbursements Summary'!$E:$E,'Disbursements Summary'!$C:$C,$C79,'Disbursements Summary'!$A:$A,"SMDA")</f>
        <v>0</v>
      </c>
      <c r="GF79" s="55">
        <f>SUMIFS('Awards Summary'!$H:$H,'Awards Summary'!$B:$B,$C79,'Awards Summary'!$J:$J,"SCOC")</f>
        <v>0</v>
      </c>
      <c r="GG79" s="55">
        <f>SUMIFS('Disbursements Summary'!$E:$E,'Disbursements Summary'!$C:$C,$C79,'Disbursements Summary'!$A:$A,"SCOC")</f>
        <v>0</v>
      </c>
      <c r="GH79" s="55">
        <f>SUMIFS('Awards Summary'!$H:$H,'Awards Summary'!$B:$B,$C79,'Awards Summary'!$J:$J,"SUCF")</f>
        <v>0</v>
      </c>
      <c r="GI79" s="55">
        <f>SUMIFS('Disbursements Summary'!$E:$E,'Disbursements Summary'!$C:$C,$C79,'Disbursements Summary'!$A:$A,"SUCF")</f>
        <v>0</v>
      </c>
      <c r="GJ79" s="55">
        <f>SUMIFS('Awards Summary'!$H:$H,'Awards Summary'!$B:$B,$C79,'Awards Summary'!$J:$J,"SUNY")</f>
        <v>0</v>
      </c>
      <c r="GK79" s="55">
        <f>SUMIFS('Disbursements Summary'!$E:$E,'Disbursements Summary'!$C:$C,$C79,'Disbursements Summary'!$A:$A,"SUNY")</f>
        <v>0</v>
      </c>
      <c r="GL79" s="55">
        <f>SUMIFS('Awards Summary'!$H:$H,'Awards Summary'!$B:$B,$C79,'Awards Summary'!$J:$J,"SRAA")</f>
        <v>0</v>
      </c>
      <c r="GM79" s="55">
        <f>SUMIFS('Disbursements Summary'!$E:$E,'Disbursements Summary'!$C:$C,$C79,'Disbursements Summary'!$A:$A,"SRAA")</f>
        <v>0</v>
      </c>
      <c r="GN79" s="55">
        <f>SUMIFS('Awards Summary'!$H:$H,'Awards Summary'!$B:$B,$C79,'Awards Summary'!$J:$J,"UNDC")</f>
        <v>0</v>
      </c>
      <c r="GO79" s="55">
        <f>SUMIFS('Disbursements Summary'!$E:$E,'Disbursements Summary'!$C:$C,$C79,'Disbursements Summary'!$A:$A,"UNDC")</f>
        <v>0</v>
      </c>
      <c r="GP79" s="55">
        <f>SUMIFS('Awards Summary'!$H:$H,'Awards Summary'!$B:$B,$C79,'Awards Summary'!$J:$J,"MVWA")</f>
        <v>0</v>
      </c>
      <c r="GQ79" s="55">
        <f>SUMIFS('Disbursements Summary'!$E:$E,'Disbursements Summary'!$C:$C,$C79,'Disbursements Summary'!$A:$A,"MVWA")</f>
        <v>0</v>
      </c>
      <c r="GR79" s="55">
        <f>SUMIFS('Awards Summary'!$H:$H,'Awards Summary'!$B:$B,$C79,'Awards Summary'!$J:$J,"WMC")</f>
        <v>0</v>
      </c>
      <c r="GS79" s="55">
        <f>SUMIFS('Disbursements Summary'!$E:$E,'Disbursements Summary'!$C:$C,$C79,'Disbursements Summary'!$A:$A,"WMC")</f>
        <v>0</v>
      </c>
      <c r="GT79" s="55">
        <f>SUMIFS('Awards Summary'!$H:$H,'Awards Summary'!$B:$B,$C79,'Awards Summary'!$J:$J,"WCB")</f>
        <v>0</v>
      </c>
      <c r="GU79" s="55">
        <f>SUMIFS('Disbursements Summary'!$E:$E,'Disbursements Summary'!$C:$C,$C79,'Disbursements Summary'!$A:$A,"WCB")</f>
        <v>0</v>
      </c>
      <c r="GV79" s="32">
        <f t="shared" si="5"/>
        <v>0</v>
      </c>
      <c r="GW79" s="32">
        <f t="shared" si="6"/>
        <v>0</v>
      </c>
      <c r="GX79" s="30" t="b">
        <f t="shared" si="7"/>
        <v>1</v>
      </c>
      <c r="GY79" s="30" t="b">
        <f t="shared" si="8"/>
        <v>1</v>
      </c>
    </row>
    <row r="80" spans="1:207" s="30" customFormat="1">
      <c r="A80" s="22" t="str">
        <f t="shared" si="9"/>
        <v/>
      </c>
      <c r="B80" s="40" t="s">
        <v>102</v>
      </c>
      <c r="C80" s="16">
        <v>151157</v>
      </c>
      <c r="D80" s="26">
        <f>COUNTIF('Awards Summary'!B:B,"151157")</f>
        <v>0</v>
      </c>
      <c r="E80" s="45">
        <f>SUMIFS('Awards Summary'!H:H,'Awards Summary'!B:B,"151157")</f>
        <v>0</v>
      </c>
      <c r="F80" s="46">
        <f>SUMIFS('Disbursements Summary'!E:E,'Disbursements Summary'!C:C, "151157")</f>
        <v>0</v>
      </c>
      <c r="H80" s="55">
        <f>SUMIFS('Awards Summary'!$H:$H,'Awards Summary'!$B:$B,$C80,'Awards Summary'!$J:$J,"APA")</f>
        <v>0</v>
      </c>
      <c r="I80" s="55">
        <f>SUMIFS('Disbursements Summary'!$E:$E,'Disbursements Summary'!$C:$C,$C80,'Disbursements Summary'!$A:$A,"APA")</f>
        <v>0</v>
      </c>
      <c r="J80" s="55">
        <f>SUMIFS('Awards Summary'!$H:$H,'Awards Summary'!$B:$B,$C80,'Awards Summary'!$J:$J,"Ag&amp;Horse")</f>
        <v>0</v>
      </c>
      <c r="K80" s="55">
        <f>SUMIFS('Disbursements Summary'!$E:$E,'Disbursements Summary'!$C:$C,$C80,'Disbursements Summary'!$A:$A,"Ag&amp;Horse")</f>
        <v>0</v>
      </c>
      <c r="L80" s="55">
        <f>SUMIFS('Awards Summary'!$H:$H,'Awards Summary'!$B:$B,$C80,'Awards Summary'!$J:$J,"ACAA")</f>
        <v>0</v>
      </c>
      <c r="M80" s="55">
        <f>SUMIFS('Disbursements Summary'!$E:$E,'Disbursements Summary'!$C:$C,$C80,'Disbursements Summary'!$A:$A,"ACAA")</f>
        <v>0</v>
      </c>
      <c r="N80" s="55">
        <f>SUMIFS('Awards Summary'!$H:$H,'Awards Summary'!$B:$B,$C80,'Awards Summary'!$J:$J,"PortAlbany")</f>
        <v>0</v>
      </c>
      <c r="O80" s="55">
        <f>SUMIFS('Disbursements Summary'!$E:$E,'Disbursements Summary'!$C:$C,$C80,'Disbursements Summary'!$A:$A,"PortAlbany")</f>
        <v>0</v>
      </c>
      <c r="P80" s="55">
        <f>SUMIFS('Awards Summary'!$H:$H,'Awards Summary'!$B:$B,$C80,'Awards Summary'!$J:$J,"SLA")</f>
        <v>0</v>
      </c>
      <c r="Q80" s="55">
        <f>SUMIFS('Disbursements Summary'!$E:$E,'Disbursements Summary'!$C:$C,$C80,'Disbursements Summary'!$A:$A,"SLA")</f>
        <v>0</v>
      </c>
      <c r="R80" s="55">
        <f>SUMIFS('Awards Summary'!$H:$H,'Awards Summary'!$B:$B,$C80,'Awards Summary'!$J:$J,"BPCA")</f>
        <v>0</v>
      </c>
      <c r="S80" s="55">
        <f>SUMIFS('Disbursements Summary'!$E:$E,'Disbursements Summary'!$C:$C,$C80,'Disbursements Summary'!$A:$A,"BPCA")</f>
        <v>0</v>
      </c>
      <c r="T80" s="55">
        <f>SUMIFS('Awards Summary'!$H:$H,'Awards Summary'!$B:$B,$C80,'Awards Summary'!$J:$J,"ELECTIONS")</f>
        <v>0</v>
      </c>
      <c r="U80" s="55">
        <f>SUMIFS('Disbursements Summary'!$E:$E,'Disbursements Summary'!$C:$C,$C80,'Disbursements Summary'!$A:$A,"ELECTIONS")</f>
        <v>0</v>
      </c>
      <c r="V80" s="55">
        <f>SUMIFS('Awards Summary'!$H:$H,'Awards Summary'!$B:$B,$C80,'Awards Summary'!$J:$J,"BFSA")</f>
        <v>0</v>
      </c>
      <c r="W80" s="55">
        <f>SUMIFS('Disbursements Summary'!$E:$E,'Disbursements Summary'!$C:$C,$C80,'Disbursements Summary'!$A:$A,"BFSA")</f>
        <v>0</v>
      </c>
      <c r="X80" s="55">
        <f>SUMIFS('Awards Summary'!$H:$H,'Awards Summary'!$B:$B,$C80,'Awards Summary'!$J:$J,"CDTA")</f>
        <v>0</v>
      </c>
      <c r="Y80" s="55">
        <f>SUMIFS('Disbursements Summary'!$E:$E,'Disbursements Summary'!$C:$C,$C80,'Disbursements Summary'!$A:$A,"CDTA")</f>
        <v>0</v>
      </c>
      <c r="Z80" s="55">
        <f>SUMIFS('Awards Summary'!$H:$H,'Awards Summary'!$B:$B,$C80,'Awards Summary'!$J:$J,"CCWSA")</f>
        <v>0</v>
      </c>
      <c r="AA80" s="55">
        <f>SUMIFS('Disbursements Summary'!$E:$E,'Disbursements Summary'!$C:$C,$C80,'Disbursements Summary'!$A:$A,"CCWSA")</f>
        <v>0</v>
      </c>
      <c r="AB80" s="55">
        <f>SUMIFS('Awards Summary'!$H:$H,'Awards Summary'!$B:$B,$C80,'Awards Summary'!$J:$J,"CNYRTA")</f>
        <v>0</v>
      </c>
      <c r="AC80" s="55">
        <f>SUMIFS('Disbursements Summary'!$E:$E,'Disbursements Summary'!$C:$C,$C80,'Disbursements Summary'!$A:$A,"CNYRTA")</f>
        <v>0</v>
      </c>
      <c r="AD80" s="55">
        <f>SUMIFS('Awards Summary'!$H:$H,'Awards Summary'!$B:$B,$C80,'Awards Summary'!$J:$J,"CUCF")</f>
        <v>0</v>
      </c>
      <c r="AE80" s="55">
        <f>SUMIFS('Disbursements Summary'!$E:$E,'Disbursements Summary'!$C:$C,$C80,'Disbursements Summary'!$A:$A,"CUCF")</f>
        <v>0</v>
      </c>
      <c r="AF80" s="55">
        <f>SUMIFS('Awards Summary'!$H:$H,'Awards Summary'!$B:$B,$C80,'Awards Summary'!$J:$J,"CUNY")</f>
        <v>0</v>
      </c>
      <c r="AG80" s="55">
        <f>SUMIFS('Disbursements Summary'!$E:$E,'Disbursements Summary'!$C:$C,$C80,'Disbursements Summary'!$A:$A,"CUNY")</f>
        <v>0</v>
      </c>
      <c r="AH80" s="55">
        <f>SUMIFS('Awards Summary'!$H:$H,'Awards Summary'!$B:$B,$C80,'Awards Summary'!$J:$J,"ARTS")</f>
        <v>0</v>
      </c>
      <c r="AI80" s="55">
        <f>SUMIFS('Disbursements Summary'!$E:$E,'Disbursements Summary'!$C:$C,$C80,'Disbursements Summary'!$A:$A,"ARTS")</f>
        <v>0</v>
      </c>
      <c r="AJ80" s="55">
        <f>SUMIFS('Awards Summary'!$H:$H,'Awards Summary'!$B:$B,$C80,'Awards Summary'!$J:$J,"AG&amp;MKTS")</f>
        <v>0</v>
      </c>
      <c r="AK80" s="55">
        <f>SUMIFS('Disbursements Summary'!$E:$E,'Disbursements Summary'!$C:$C,$C80,'Disbursements Summary'!$A:$A,"AG&amp;MKTS")</f>
        <v>0</v>
      </c>
      <c r="AL80" s="55">
        <f>SUMIFS('Awards Summary'!$H:$H,'Awards Summary'!$B:$B,$C80,'Awards Summary'!$J:$J,"CS")</f>
        <v>0</v>
      </c>
      <c r="AM80" s="55">
        <f>SUMIFS('Disbursements Summary'!$E:$E,'Disbursements Summary'!$C:$C,$C80,'Disbursements Summary'!$A:$A,"CS")</f>
        <v>0</v>
      </c>
      <c r="AN80" s="55">
        <f>SUMIFS('Awards Summary'!$H:$H,'Awards Summary'!$B:$B,$C80,'Awards Summary'!$J:$J,"DOCCS")</f>
        <v>0</v>
      </c>
      <c r="AO80" s="55">
        <f>SUMIFS('Disbursements Summary'!$E:$E,'Disbursements Summary'!$C:$C,$C80,'Disbursements Summary'!$A:$A,"DOCCS")</f>
        <v>0</v>
      </c>
      <c r="AP80" s="55">
        <f>SUMIFS('Awards Summary'!$H:$H,'Awards Summary'!$B:$B,$C80,'Awards Summary'!$J:$J,"DED")</f>
        <v>0</v>
      </c>
      <c r="AQ80" s="55">
        <f>SUMIFS('Disbursements Summary'!$E:$E,'Disbursements Summary'!$C:$C,$C80,'Disbursements Summary'!$A:$A,"DED")</f>
        <v>0</v>
      </c>
      <c r="AR80" s="55">
        <f>SUMIFS('Awards Summary'!$H:$H,'Awards Summary'!$B:$B,$C80,'Awards Summary'!$J:$J,"DEC")</f>
        <v>0</v>
      </c>
      <c r="AS80" s="55">
        <f>SUMIFS('Disbursements Summary'!$E:$E,'Disbursements Summary'!$C:$C,$C80,'Disbursements Summary'!$A:$A,"DEC")</f>
        <v>0</v>
      </c>
      <c r="AT80" s="55">
        <f>SUMIFS('Awards Summary'!$H:$H,'Awards Summary'!$B:$B,$C80,'Awards Summary'!$J:$J,"DFS")</f>
        <v>0</v>
      </c>
      <c r="AU80" s="55">
        <f>SUMIFS('Disbursements Summary'!$E:$E,'Disbursements Summary'!$C:$C,$C80,'Disbursements Summary'!$A:$A,"DFS")</f>
        <v>0</v>
      </c>
      <c r="AV80" s="55">
        <f>SUMIFS('Awards Summary'!$H:$H,'Awards Summary'!$B:$B,$C80,'Awards Summary'!$J:$J,"DOH")</f>
        <v>0</v>
      </c>
      <c r="AW80" s="55">
        <f>SUMIFS('Disbursements Summary'!$E:$E,'Disbursements Summary'!$C:$C,$C80,'Disbursements Summary'!$A:$A,"DOH")</f>
        <v>0</v>
      </c>
      <c r="AX80" s="55">
        <f>SUMIFS('Awards Summary'!$H:$H,'Awards Summary'!$B:$B,$C80,'Awards Summary'!$J:$J,"DOL")</f>
        <v>0</v>
      </c>
      <c r="AY80" s="55">
        <f>SUMIFS('Disbursements Summary'!$E:$E,'Disbursements Summary'!$C:$C,$C80,'Disbursements Summary'!$A:$A,"DOL")</f>
        <v>0</v>
      </c>
      <c r="AZ80" s="55">
        <f>SUMIFS('Awards Summary'!$H:$H,'Awards Summary'!$B:$B,$C80,'Awards Summary'!$J:$J,"DMV")</f>
        <v>0</v>
      </c>
      <c r="BA80" s="55">
        <f>SUMIFS('Disbursements Summary'!$E:$E,'Disbursements Summary'!$C:$C,$C80,'Disbursements Summary'!$A:$A,"DMV")</f>
        <v>0</v>
      </c>
      <c r="BB80" s="55">
        <f>SUMIFS('Awards Summary'!$H:$H,'Awards Summary'!$B:$B,$C80,'Awards Summary'!$J:$J,"DPS")</f>
        <v>0</v>
      </c>
      <c r="BC80" s="55">
        <f>SUMIFS('Disbursements Summary'!$E:$E,'Disbursements Summary'!$C:$C,$C80,'Disbursements Summary'!$A:$A,"DPS")</f>
        <v>0</v>
      </c>
      <c r="BD80" s="55">
        <f>SUMIFS('Awards Summary'!$H:$H,'Awards Summary'!$B:$B,$C80,'Awards Summary'!$J:$J,"DOS")</f>
        <v>0</v>
      </c>
      <c r="BE80" s="55">
        <f>SUMIFS('Disbursements Summary'!$E:$E,'Disbursements Summary'!$C:$C,$C80,'Disbursements Summary'!$A:$A,"DOS")</f>
        <v>0</v>
      </c>
      <c r="BF80" s="55">
        <f>SUMIFS('Awards Summary'!$H:$H,'Awards Summary'!$B:$B,$C80,'Awards Summary'!$J:$J,"TAX")</f>
        <v>0</v>
      </c>
      <c r="BG80" s="55">
        <f>SUMIFS('Disbursements Summary'!$E:$E,'Disbursements Summary'!$C:$C,$C80,'Disbursements Summary'!$A:$A,"TAX")</f>
        <v>0</v>
      </c>
      <c r="BH80" s="55">
        <f>SUMIFS('Awards Summary'!$H:$H,'Awards Summary'!$B:$B,$C80,'Awards Summary'!$J:$J,"DOT")</f>
        <v>0</v>
      </c>
      <c r="BI80" s="55">
        <f>SUMIFS('Disbursements Summary'!$E:$E,'Disbursements Summary'!$C:$C,$C80,'Disbursements Summary'!$A:$A,"DOT")</f>
        <v>0</v>
      </c>
      <c r="BJ80" s="55">
        <f>SUMIFS('Awards Summary'!$H:$H,'Awards Summary'!$B:$B,$C80,'Awards Summary'!$J:$J,"DANC")</f>
        <v>0</v>
      </c>
      <c r="BK80" s="55">
        <f>SUMIFS('Disbursements Summary'!$E:$E,'Disbursements Summary'!$C:$C,$C80,'Disbursements Summary'!$A:$A,"DANC")</f>
        <v>0</v>
      </c>
      <c r="BL80" s="55">
        <f>SUMIFS('Awards Summary'!$H:$H,'Awards Summary'!$B:$B,$C80,'Awards Summary'!$J:$J,"DOB")</f>
        <v>0</v>
      </c>
      <c r="BM80" s="55">
        <f>SUMIFS('Disbursements Summary'!$E:$E,'Disbursements Summary'!$C:$C,$C80,'Disbursements Summary'!$A:$A,"DOB")</f>
        <v>0</v>
      </c>
      <c r="BN80" s="55">
        <f>SUMIFS('Awards Summary'!$H:$H,'Awards Summary'!$B:$B,$C80,'Awards Summary'!$J:$J,"DCJS")</f>
        <v>0</v>
      </c>
      <c r="BO80" s="55">
        <f>SUMIFS('Disbursements Summary'!$E:$E,'Disbursements Summary'!$C:$C,$C80,'Disbursements Summary'!$A:$A,"DCJS")</f>
        <v>0</v>
      </c>
      <c r="BP80" s="55">
        <f>SUMIFS('Awards Summary'!$H:$H,'Awards Summary'!$B:$B,$C80,'Awards Summary'!$J:$J,"DHSES")</f>
        <v>0</v>
      </c>
      <c r="BQ80" s="55">
        <f>SUMIFS('Disbursements Summary'!$E:$E,'Disbursements Summary'!$C:$C,$C80,'Disbursements Summary'!$A:$A,"DHSES")</f>
        <v>0</v>
      </c>
      <c r="BR80" s="55">
        <f>SUMIFS('Awards Summary'!$H:$H,'Awards Summary'!$B:$B,$C80,'Awards Summary'!$J:$J,"DHR")</f>
        <v>0</v>
      </c>
      <c r="BS80" s="55">
        <f>SUMIFS('Disbursements Summary'!$E:$E,'Disbursements Summary'!$C:$C,$C80,'Disbursements Summary'!$A:$A,"DHR")</f>
        <v>0</v>
      </c>
      <c r="BT80" s="55">
        <f>SUMIFS('Awards Summary'!$H:$H,'Awards Summary'!$B:$B,$C80,'Awards Summary'!$J:$J,"DMNA")</f>
        <v>0</v>
      </c>
      <c r="BU80" s="55">
        <f>SUMIFS('Disbursements Summary'!$E:$E,'Disbursements Summary'!$C:$C,$C80,'Disbursements Summary'!$A:$A,"DMNA")</f>
        <v>0</v>
      </c>
      <c r="BV80" s="55">
        <f>SUMIFS('Awards Summary'!$H:$H,'Awards Summary'!$B:$B,$C80,'Awards Summary'!$J:$J,"TROOPERS")</f>
        <v>0</v>
      </c>
      <c r="BW80" s="55">
        <f>SUMIFS('Disbursements Summary'!$E:$E,'Disbursements Summary'!$C:$C,$C80,'Disbursements Summary'!$A:$A,"TROOPERS")</f>
        <v>0</v>
      </c>
      <c r="BX80" s="55">
        <f>SUMIFS('Awards Summary'!$H:$H,'Awards Summary'!$B:$B,$C80,'Awards Summary'!$J:$J,"DVA")</f>
        <v>0</v>
      </c>
      <c r="BY80" s="55">
        <f>SUMIFS('Disbursements Summary'!$E:$E,'Disbursements Summary'!$C:$C,$C80,'Disbursements Summary'!$A:$A,"DVA")</f>
        <v>0</v>
      </c>
      <c r="BZ80" s="55">
        <f>SUMIFS('Awards Summary'!$H:$H,'Awards Summary'!$B:$B,$C80,'Awards Summary'!$J:$J,"DASNY")</f>
        <v>0</v>
      </c>
      <c r="CA80" s="55">
        <f>SUMIFS('Disbursements Summary'!$E:$E,'Disbursements Summary'!$C:$C,$C80,'Disbursements Summary'!$A:$A,"DASNY")</f>
        <v>0</v>
      </c>
      <c r="CB80" s="55">
        <f>SUMIFS('Awards Summary'!$H:$H,'Awards Summary'!$B:$B,$C80,'Awards Summary'!$J:$J,"EGG")</f>
        <v>0</v>
      </c>
      <c r="CC80" s="55">
        <f>SUMIFS('Disbursements Summary'!$E:$E,'Disbursements Summary'!$C:$C,$C80,'Disbursements Summary'!$A:$A,"EGG")</f>
        <v>0</v>
      </c>
      <c r="CD80" s="55">
        <f>SUMIFS('Awards Summary'!$H:$H,'Awards Summary'!$B:$B,$C80,'Awards Summary'!$J:$J,"ESD")</f>
        <v>0</v>
      </c>
      <c r="CE80" s="55">
        <f>SUMIFS('Disbursements Summary'!$E:$E,'Disbursements Summary'!$C:$C,$C80,'Disbursements Summary'!$A:$A,"ESD")</f>
        <v>0</v>
      </c>
      <c r="CF80" s="55">
        <f>SUMIFS('Awards Summary'!$H:$H,'Awards Summary'!$B:$B,$C80,'Awards Summary'!$J:$J,"EFC")</f>
        <v>0</v>
      </c>
      <c r="CG80" s="55">
        <f>SUMIFS('Disbursements Summary'!$E:$E,'Disbursements Summary'!$C:$C,$C80,'Disbursements Summary'!$A:$A,"EFC")</f>
        <v>0</v>
      </c>
      <c r="CH80" s="55">
        <f>SUMIFS('Awards Summary'!$H:$H,'Awards Summary'!$B:$B,$C80,'Awards Summary'!$J:$J,"ECFSA")</f>
        <v>0</v>
      </c>
      <c r="CI80" s="55">
        <f>SUMIFS('Disbursements Summary'!$E:$E,'Disbursements Summary'!$C:$C,$C80,'Disbursements Summary'!$A:$A,"ECFSA")</f>
        <v>0</v>
      </c>
      <c r="CJ80" s="55">
        <f>SUMIFS('Awards Summary'!$H:$H,'Awards Summary'!$B:$B,$C80,'Awards Summary'!$J:$J,"ECMC")</f>
        <v>0</v>
      </c>
      <c r="CK80" s="55">
        <f>SUMIFS('Disbursements Summary'!$E:$E,'Disbursements Summary'!$C:$C,$C80,'Disbursements Summary'!$A:$A,"ECMC")</f>
        <v>0</v>
      </c>
      <c r="CL80" s="55">
        <f>SUMIFS('Awards Summary'!$H:$H,'Awards Summary'!$B:$B,$C80,'Awards Summary'!$J:$J,"CHAMBER")</f>
        <v>0</v>
      </c>
      <c r="CM80" s="55">
        <f>SUMIFS('Disbursements Summary'!$E:$E,'Disbursements Summary'!$C:$C,$C80,'Disbursements Summary'!$A:$A,"CHAMBER")</f>
        <v>0</v>
      </c>
      <c r="CN80" s="55">
        <f>SUMIFS('Awards Summary'!$H:$H,'Awards Summary'!$B:$B,$C80,'Awards Summary'!$J:$J,"GAMING")</f>
        <v>0</v>
      </c>
      <c r="CO80" s="55">
        <f>SUMIFS('Disbursements Summary'!$E:$E,'Disbursements Summary'!$C:$C,$C80,'Disbursements Summary'!$A:$A,"GAMING")</f>
        <v>0</v>
      </c>
      <c r="CP80" s="55">
        <f>SUMIFS('Awards Summary'!$H:$H,'Awards Summary'!$B:$B,$C80,'Awards Summary'!$J:$J,"GOER")</f>
        <v>0</v>
      </c>
      <c r="CQ80" s="55">
        <f>SUMIFS('Disbursements Summary'!$E:$E,'Disbursements Summary'!$C:$C,$C80,'Disbursements Summary'!$A:$A,"GOER")</f>
        <v>0</v>
      </c>
      <c r="CR80" s="55">
        <f>SUMIFS('Awards Summary'!$H:$H,'Awards Summary'!$B:$B,$C80,'Awards Summary'!$J:$J,"HESC")</f>
        <v>0</v>
      </c>
      <c r="CS80" s="55">
        <f>SUMIFS('Disbursements Summary'!$E:$E,'Disbursements Summary'!$C:$C,$C80,'Disbursements Summary'!$A:$A,"HESC")</f>
        <v>0</v>
      </c>
      <c r="CT80" s="55">
        <f>SUMIFS('Awards Summary'!$H:$H,'Awards Summary'!$B:$B,$C80,'Awards Summary'!$J:$J,"GOSR")</f>
        <v>0</v>
      </c>
      <c r="CU80" s="55">
        <f>SUMIFS('Disbursements Summary'!$E:$E,'Disbursements Summary'!$C:$C,$C80,'Disbursements Summary'!$A:$A,"GOSR")</f>
        <v>0</v>
      </c>
      <c r="CV80" s="55">
        <f>SUMIFS('Awards Summary'!$H:$H,'Awards Summary'!$B:$B,$C80,'Awards Summary'!$J:$J,"HRPT")</f>
        <v>0</v>
      </c>
      <c r="CW80" s="55">
        <f>SUMIFS('Disbursements Summary'!$E:$E,'Disbursements Summary'!$C:$C,$C80,'Disbursements Summary'!$A:$A,"HRPT")</f>
        <v>0</v>
      </c>
      <c r="CX80" s="55">
        <f>SUMIFS('Awards Summary'!$H:$H,'Awards Summary'!$B:$B,$C80,'Awards Summary'!$J:$J,"HRBRRD")</f>
        <v>0</v>
      </c>
      <c r="CY80" s="55">
        <f>SUMIFS('Disbursements Summary'!$E:$E,'Disbursements Summary'!$C:$C,$C80,'Disbursements Summary'!$A:$A,"HRBRRD")</f>
        <v>0</v>
      </c>
      <c r="CZ80" s="55">
        <f>SUMIFS('Awards Summary'!$H:$H,'Awards Summary'!$B:$B,$C80,'Awards Summary'!$J:$J,"ITS")</f>
        <v>0</v>
      </c>
      <c r="DA80" s="55">
        <f>SUMIFS('Disbursements Summary'!$E:$E,'Disbursements Summary'!$C:$C,$C80,'Disbursements Summary'!$A:$A,"ITS")</f>
        <v>0</v>
      </c>
      <c r="DB80" s="55">
        <f>SUMIFS('Awards Summary'!$H:$H,'Awards Summary'!$B:$B,$C80,'Awards Summary'!$J:$J,"JAVITS")</f>
        <v>0</v>
      </c>
      <c r="DC80" s="55">
        <f>SUMIFS('Disbursements Summary'!$E:$E,'Disbursements Summary'!$C:$C,$C80,'Disbursements Summary'!$A:$A,"JAVITS")</f>
        <v>0</v>
      </c>
      <c r="DD80" s="55">
        <f>SUMIFS('Awards Summary'!$H:$H,'Awards Summary'!$B:$B,$C80,'Awards Summary'!$J:$J,"JCOPE")</f>
        <v>0</v>
      </c>
      <c r="DE80" s="55">
        <f>SUMIFS('Disbursements Summary'!$E:$E,'Disbursements Summary'!$C:$C,$C80,'Disbursements Summary'!$A:$A,"JCOPE")</f>
        <v>0</v>
      </c>
      <c r="DF80" s="55">
        <f>SUMIFS('Awards Summary'!$H:$H,'Awards Summary'!$B:$B,$C80,'Awards Summary'!$J:$J,"JUSTICE")</f>
        <v>0</v>
      </c>
      <c r="DG80" s="55">
        <f>SUMIFS('Disbursements Summary'!$E:$E,'Disbursements Summary'!$C:$C,$C80,'Disbursements Summary'!$A:$A,"JUSTICE")</f>
        <v>0</v>
      </c>
      <c r="DH80" s="55">
        <f>SUMIFS('Awards Summary'!$H:$H,'Awards Summary'!$B:$B,$C80,'Awards Summary'!$J:$J,"LCWSA")</f>
        <v>0</v>
      </c>
      <c r="DI80" s="55">
        <f>SUMIFS('Disbursements Summary'!$E:$E,'Disbursements Summary'!$C:$C,$C80,'Disbursements Summary'!$A:$A,"LCWSA")</f>
        <v>0</v>
      </c>
      <c r="DJ80" s="55">
        <f>SUMIFS('Awards Summary'!$H:$H,'Awards Summary'!$B:$B,$C80,'Awards Summary'!$J:$J,"LIPA")</f>
        <v>0</v>
      </c>
      <c r="DK80" s="55">
        <f>SUMIFS('Disbursements Summary'!$E:$E,'Disbursements Summary'!$C:$C,$C80,'Disbursements Summary'!$A:$A,"LIPA")</f>
        <v>0</v>
      </c>
      <c r="DL80" s="55">
        <f>SUMIFS('Awards Summary'!$H:$H,'Awards Summary'!$B:$B,$C80,'Awards Summary'!$J:$J,"MTA")</f>
        <v>0</v>
      </c>
      <c r="DM80" s="55">
        <f>SUMIFS('Disbursements Summary'!$E:$E,'Disbursements Summary'!$C:$C,$C80,'Disbursements Summary'!$A:$A,"MTA")</f>
        <v>0</v>
      </c>
      <c r="DN80" s="55">
        <f>SUMIFS('Awards Summary'!$H:$H,'Awards Summary'!$B:$B,$C80,'Awards Summary'!$J:$J,"NIFA")</f>
        <v>0</v>
      </c>
      <c r="DO80" s="55">
        <f>SUMIFS('Disbursements Summary'!$E:$E,'Disbursements Summary'!$C:$C,$C80,'Disbursements Summary'!$A:$A,"NIFA")</f>
        <v>0</v>
      </c>
      <c r="DP80" s="55">
        <f>SUMIFS('Awards Summary'!$H:$H,'Awards Summary'!$B:$B,$C80,'Awards Summary'!$J:$J,"NHCC")</f>
        <v>0</v>
      </c>
      <c r="DQ80" s="55">
        <f>SUMIFS('Disbursements Summary'!$E:$E,'Disbursements Summary'!$C:$C,$C80,'Disbursements Summary'!$A:$A,"NHCC")</f>
        <v>0</v>
      </c>
      <c r="DR80" s="55">
        <f>SUMIFS('Awards Summary'!$H:$H,'Awards Summary'!$B:$B,$C80,'Awards Summary'!$J:$J,"NHT")</f>
        <v>0</v>
      </c>
      <c r="DS80" s="55">
        <f>SUMIFS('Disbursements Summary'!$E:$E,'Disbursements Summary'!$C:$C,$C80,'Disbursements Summary'!$A:$A,"NHT")</f>
        <v>0</v>
      </c>
      <c r="DT80" s="55">
        <f>SUMIFS('Awards Summary'!$H:$H,'Awards Summary'!$B:$B,$C80,'Awards Summary'!$J:$J,"NYPA")</f>
        <v>0</v>
      </c>
      <c r="DU80" s="55">
        <f>SUMIFS('Disbursements Summary'!$E:$E,'Disbursements Summary'!$C:$C,$C80,'Disbursements Summary'!$A:$A,"NYPA")</f>
        <v>0</v>
      </c>
      <c r="DV80" s="55">
        <f>SUMIFS('Awards Summary'!$H:$H,'Awards Summary'!$B:$B,$C80,'Awards Summary'!$J:$J,"NYSBA")</f>
        <v>0</v>
      </c>
      <c r="DW80" s="55">
        <f>SUMIFS('Disbursements Summary'!$E:$E,'Disbursements Summary'!$C:$C,$C80,'Disbursements Summary'!$A:$A,"NYSBA")</f>
        <v>0</v>
      </c>
      <c r="DX80" s="55">
        <f>SUMIFS('Awards Summary'!$H:$H,'Awards Summary'!$B:$B,$C80,'Awards Summary'!$J:$J,"NYSERDA")</f>
        <v>0</v>
      </c>
      <c r="DY80" s="55">
        <f>SUMIFS('Disbursements Summary'!$E:$E,'Disbursements Summary'!$C:$C,$C80,'Disbursements Summary'!$A:$A,"NYSERDA")</f>
        <v>0</v>
      </c>
      <c r="DZ80" s="55">
        <f>SUMIFS('Awards Summary'!$H:$H,'Awards Summary'!$B:$B,$C80,'Awards Summary'!$J:$J,"DHCR")</f>
        <v>0</v>
      </c>
      <c r="EA80" s="55">
        <f>SUMIFS('Disbursements Summary'!$E:$E,'Disbursements Summary'!$C:$C,$C80,'Disbursements Summary'!$A:$A,"DHCR")</f>
        <v>0</v>
      </c>
      <c r="EB80" s="55">
        <f>SUMIFS('Awards Summary'!$H:$H,'Awards Summary'!$B:$B,$C80,'Awards Summary'!$J:$J,"HFA")</f>
        <v>0</v>
      </c>
      <c r="EC80" s="55">
        <f>SUMIFS('Disbursements Summary'!$E:$E,'Disbursements Summary'!$C:$C,$C80,'Disbursements Summary'!$A:$A,"HFA")</f>
        <v>0</v>
      </c>
      <c r="ED80" s="55">
        <f>SUMIFS('Awards Summary'!$H:$H,'Awards Summary'!$B:$B,$C80,'Awards Summary'!$J:$J,"NYSIF")</f>
        <v>0</v>
      </c>
      <c r="EE80" s="55">
        <f>SUMIFS('Disbursements Summary'!$E:$E,'Disbursements Summary'!$C:$C,$C80,'Disbursements Summary'!$A:$A,"NYSIF")</f>
        <v>0</v>
      </c>
      <c r="EF80" s="55">
        <f>SUMIFS('Awards Summary'!$H:$H,'Awards Summary'!$B:$B,$C80,'Awards Summary'!$J:$J,"NYBREDS")</f>
        <v>0</v>
      </c>
      <c r="EG80" s="55">
        <f>SUMIFS('Disbursements Summary'!$E:$E,'Disbursements Summary'!$C:$C,$C80,'Disbursements Summary'!$A:$A,"NYBREDS")</f>
        <v>0</v>
      </c>
      <c r="EH80" s="55">
        <f>SUMIFS('Awards Summary'!$H:$H,'Awards Summary'!$B:$B,$C80,'Awards Summary'!$J:$J,"NYSTA")</f>
        <v>0</v>
      </c>
      <c r="EI80" s="55">
        <f>SUMIFS('Disbursements Summary'!$E:$E,'Disbursements Summary'!$C:$C,$C80,'Disbursements Summary'!$A:$A,"NYSTA")</f>
        <v>0</v>
      </c>
      <c r="EJ80" s="55">
        <f>SUMIFS('Awards Summary'!$H:$H,'Awards Summary'!$B:$B,$C80,'Awards Summary'!$J:$J,"NFWB")</f>
        <v>0</v>
      </c>
      <c r="EK80" s="55">
        <f>SUMIFS('Disbursements Summary'!$E:$E,'Disbursements Summary'!$C:$C,$C80,'Disbursements Summary'!$A:$A,"NFWB")</f>
        <v>0</v>
      </c>
      <c r="EL80" s="55">
        <f>SUMIFS('Awards Summary'!$H:$H,'Awards Summary'!$B:$B,$C80,'Awards Summary'!$J:$J,"NFTA")</f>
        <v>0</v>
      </c>
      <c r="EM80" s="55">
        <f>SUMIFS('Disbursements Summary'!$E:$E,'Disbursements Summary'!$C:$C,$C80,'Disbursements Summary'!$A:$A,"NFTA")</f>
        <v>0</v>
      </c>
      <c r="EN80" s="55">
        <f>SUMIFS('Awards Summary'!$H:$H,'Awards Summary'!$B:$B,$C80,'Awards Summary'!$J:$J,"OPWDD")</f>
        <v>0</v>
      </c>
      <c r="EO80" s="55">
        <f>SUMIFS('Disbursements Summary'!$E:$E,'Disbursements Summary'!$C:$C,$C80,'Disbursements Summary'!$A:$A,"OPWDD")</f>
        <v>0</v>
      </c>
      <c r="EP80" s="55">
        <f>SUMIFS('Awards Summary'!$H:$H,'Awards Summary'!$B:$B,$C80,'Awards Summary'!$J:$J,"AGING")</f>
        <v>0</v>
      </c>
      <c r="EQ80" s="55">
        <f>SUMIFS('Disbursements Summary'!$E:$E,'Disbursements Summary'!$C:$C,$C80,'Disbursements Summary'!$A:$A,"AGING")</f>
        <v>0</v>
      </c>
      <c r="ER80" s="55">
        <f>SUMIFS('Awards Summary'!$H:$H,'Awards Summary'!$B:$B,$C80,'Awards Summary'!$J:$J,"OPDV")</f>
        <v>0</v>
      </c>
      <c r="ES80" s="55">
        <f>SUMIFS('Disbursements Summary'!$E:$E,'Disbursements Summary'!$C:$C,$C80,'Disbursements Summary'!$A:$A,"OPDV")</f>
        <v>0</v>
      </c>
      <c r="ET80" s="55">
        <f>SUMIFS('Awards Summary'!$H:$H,'Awards Summary'!$B:$B,$C80,'Awards Summary'!$J:$J,"OVS")</f>
        <v>0</v>
      </c>
      <c r="EU80" s="55">
        <f>SUMIFS('Disbursements Summary'!$E:$E,'Disbursements Summary'!$C:$C,$C80,'Disbursements Summary'!$A:$A,"OVS")</f>
        <v>0</v>
      </c>
      <c r="EV80" s="55">
        <f>SUMIFS('Awards Summary'!$H:$H,'Awards Summary'!$B:$B,$C80,'Awards Summary'!$J:$J,"OASAS")</f>
        <v>0</v>
      </c>
      <c r="EW80" s="55">
        <f>SUMIFS('Disbursements Summary'!$E:$E,'Disbursements Summary'!$C:$C,$C80,'Disbursements Summary'!$A:$A,"OASAS")</f>
        <v>0</v>
      </c>
      <c r="EX80" s="55">
        <f>SUMIFS('Awards Summary'!$H:$H,'Awards Summary'!$B:$B,$C80,'Awards Summary'!$J:$J,"OCFS")</f>
        <v>0</v>
      </c>
      <c r="EY80" s="55">
        <f>SUMIFS('Disbursements Summary'!$E:$E,'Disbursements Summary'!$C:$C,$C80,'Disbursements Summary'!$A:$A,"OCFS")</f>
        <v>0</v>
      </c>
      <c r="EZ80" s="55">
        <f>SUMIFS('Awards Summary'!$H:$H,'Awards Summary'!$B:$B,$C80,'Awards Summary'!$J:$J,"OGS")</f>
        <v>0</v>
      </c>
      <c r="FA80" s="55">
        <f>SUMIFS('Disbursements Summary'!$E:$E,'Disbursements Summary'!$C:$C,$C80,'Disbursements Summary'!$A:$A,"OGS")</f>
        <v>0</v>
      </c>
      <c r="FB80" s="55">
        <f>SUMIFS('Awards Summary'!$H:$H,'Awards Summary'!$B:$B,$C80,'Awards Summary'!$J:$J,"OMH")</f>
        <v>0</v>
      </c>
      <c r="FC80" s="55">
        <f>SUMIFS('Disbursements Summary'!$E:$E,'Disbursements Summary'!$C:$C,$C80,'Disbursements Summary'!$A:$A,"OMH")</f>
        <v>0</v>
      </c>
      <c r="FD80" s="55">
        <f>SUMIFS('Awards Summary'!$H:$H,'Awards Summary'!$B:$B,$C80,'Awards Summary'!$J:$J,"PARKS")</f>
        <v>0</v>
      </c>
      <c r="FE80" s="55">
        <f>SUMIFS('Disbursements Summary'!$E:$E,'Disbursements Summary'!$C:$C,$C80,'Disbursements Summary'!$A:$A,"PARKS")</f>
        <v>0</v>
      </c>
      <c r="FF80" s="55">
        <f>SUMIFS('Awards Summary'!$H:$H,'Awards Summary'!$B:$B,$C80,'Awards Summary'!$J:$J,"OTDA")</f>
        <v>0</v>
      </c>
      <c r="FG80" s="55">
        <f>SUMIFS('Disbursements Summary'!$E:$E,'Disbursements Summary'!$C:$C,$C80,'Disbursements Summary'!$A:$A,"OTDA")</f>
        <v>0</v>
      </c>
      <c r="FH80" s="55">
        <f>SUMIFS('Awards Summary'!$H:$H,'Awards Summary'!$B:$B,$C80,'Awards Summary'!$J:$J,"OIG")</f>
        <v>0</v>
      </c>
      <c r="FI80" s="55">
        <f>SUMIFS('Disbursements Summary'!$E:$E,'Disbursements Summary'!$C:$C,$C80,'Disbursements Summary'!$A:$A,"OIG")</f>
        <v>0</v>
      </c>
      <c r="FJ80" s="55">
        <f>SUMIFS('Awards Summary'!$H:$H,'Awards Summary'!$B:$B,$C80,'Awards Summary'!$J:$J,"OMIG")</f>
        <v>0</v>
      </c>
      <c r="FK80" s="55">
        <f>SUMIFS('Disbursements Summary'!$E:$E,'Disbursements Summary'!$C:$C,$C80,'Disbursements Summary'!$A:$A,"OMIG")</f>
        <v>0</v>
      </c>
      <c r="FL80" s="55">
        <f>SUMIFS('Awards Summary'!$H:$H,'Awards Summary'!$B:$B,$C80,'Awards Summary'!$J:$J,"OSC")</f>
        <v>0</v>
      </c>
      <c r="FM80" s="55">
        <f>SUMIFS('Disbursements Summary'!$E:$E,'Disbursements Summary'!$C:$C,$C80,'Disbursements Summary'!$A:$A,"OSC")</f>
        <v>0</v>
      </c>
      <c r="FN80" s="55">
        <f>SUMIFS('Awards Summary'!$H:$H,'Awards Summary'!$B:$B,$C80,'Awards Summary'!$J:$J,"OWIG")</f>
        <v>0</v>
      </c>
      <c r="FO80" s="55">
        <f>SUMIFS('Disbursements Summary'!$E:$E,'Disbursements Summary'!$C:$C,$C80,'Disbursements Summary'!$A:$A,"OWIG")</f>
        <v>0</v>
      </c>
      <c r="FP80" s="55">
        <f>SUMIFS('Awards Summary'!$H:$H,'Awards Summary'!$B:$B,$C80,'Awards Summary'!$J:$J,"OGDEN")</f>
        <v>0</v>
      </c>
      <c r="FQ80" s="55">
        <f>SUMIFS('Disbursements Summary'!$E:$E,'Disbursements Summary'!$C:$C,$C80,'Disbursements Summary'!$A:$A,"OGDEN")</f>
        <v>0</v>
      </c>
      <c r="FR80" s="55">
        <f>SUMIFS('Awards Summary'!$H:$H,'Awards Summary'!$B:$B,$C80,'Awards Summary'!$J:$J,"ORDA")</f>
        <v>0</v>
      </c>
      <c r="FS80" s="55">
        <f>SUMIFS('Disbursements Summary'!$E:$E,'Disbursements Summary'!$C:$C,$C80,'Disbursements Summary'!$A:$A,"ORDA")</f>
        <v>0</v>
      </c>
      <c r="FT80" s="55">
        <f>SUMIFS('Awards Summary'!$H:$H,'Awards Summary'!$B:$B,$C80,'Awards Summary'!$J:$J,"OSWEGO")</f>
        <v>0</v>
      </c>
      <c r="FU80" s="55">
        <f>SUMIFS('Disbursements Summary'!$E:$E,'Disbursements Summary'!$C:$C,$C80,'Disbursements Summary'!$A:$A,"OSWEGO")</f>
        <v>0</v>
      </c>
      <c r="FV80" s="55">
        <f>SUMIFS('Awards Summary'!$H:$H,'Awards Summary'!$B:$B,$C80,'Awards Summary'!$J:$J,"PERB")</f>
        <v>0</v>
      </c>
      <c r="FW80" s="55">
        <f>SUMIFS('Disbursements Summary'!$E:$E,'Disbursements Summary'!$C:$C,$C80,'Disbursements Summary'!$A:$A,"PERB")</f>
        <v>0</v>
      </c>
      <c r="FX80" s="55">
        <f>SUMIFS('Awards Summary'!$H:$H,'Awards Summary'!$B:$B,$C80,'Awards Summary'!$J:$J,"RGRTA")</f>
        <v>0</v>
      </c>
      <c r="FY80" s="55">
        <f>SUMIFS('Disbursements Summary'!$E:$E,'Disbursements Summary'!$C:$C,$C80,'Disbursements Summary'!$A:$A,"RGRTA")</f>
        <v>0</v>
      </c>
      <c r="FZ80" s="55">
        <f>SUMIFS('Awards Summary'!$H:$H,'Awards Summary'!$B:$B,$C80,'Awards Summary'!$J:$J,"RIOC")</f>
        <v>0</v>
      </c>
      <c r="GA80" s="55">
        <f>SUMIFS('Disbursements Summary'!$E:$E,'Disbursements Summary'!$C:$C,$C80,'Disbursements Summary'!$A:$A,"RIOC")</f>
        <v>0</v>
      </c>
      <c r="GB80" s="55">
        <f>SUMIFS('Awards Summary'!$H:$H,'Awards Summary'!$B:$B,$C80,'Awards Summary'!$J:$J,"RPCI")</f>
        <v>0</v>
      </c>
      <c r="GC80" s="55">
        <f>SUMIFS('Disbursements Summary'!$E:$E,'Disbursements Summary'!$C:$C,$C80,'Disbursements Summary'!$A:$A,"RPCI")</f>
        <v>0</v>
      </c>
      <c r="GD80" s="55">
        <f>SUMIFS('Awards Summary'!$H:$H,'Awards Summary'!$B:$B,$C80,'Awards Summary'!$J:$J,"SMDA")</f>
        <v>0</v>
      </c>
      <c r="GE80" s="55">
        <f>SUMIFS('Disbursements Summary'!$E:$E,'Disbursements Summary'!$C:$C,$C80,'Disbursements Summary'!$A:$A,"SMDA")</f>
        <v>0</v>
      </c>
      <c r="GF80" s="55">
        <f>SUMIFS('Awards Summary'!$H:$H,'Awards Summary'!$B:$B,$C80,'Awards Summary'!$J:$J,"SCOC")</f>
        <v>0</v>
      </c>
      <c r="GG80" s="55">
        <f>SUMIFS('Disbursements Summary'!$E:$E,'Disbursements Summary'!$C:$C,$C80,'Disbursements Summary'!$A:$A,"SCOC")</f>
        <v>0</v>
      </c>
      <c r="GH80" s="55">
        <f>SUMIFS('Awards Summary'!$H:$H,'Awards Summary'!$B:$B,$C80,'Awards Summary'!$J:$J,"SUCF")</f>
        <v>0</v>
      </c>
      <c r="GI80" s="55">
        <f>SUMIFS('Disbursements Summary'!$E:$E,'Disbursements Summary'!$C:$C,$C80,'Disbursements Summary'!$A:$A,"SUCF")</f>
        <v>0</v>
      </c>
      <c r="GJ80" s="55">
        <f>SUMIFS('Awards Summary'!$H:$H,'Awards Summary'!$B:$B,$C80,'Awards Summary'!$J:$J,"SUNY")</f>
        <v>0</v>
      </c>
      <c r="GK80" s="55">
        <f>SUMIFS('Disbursements Summary'!$E:$E,'Disbursements Summary'!$C:$C,$C80,'Disbursements Summary'!$A:$A,"SUNY")</f>
        <v>0</v>
      </c>
      <c r="GL80" s="55">
        <f>SUMIFS('Awards Summary'!$H:$H,'Awards Summary'!$B:$B,$C80,'Awards Summary'!$J:$J,"SRAA")</f>
        <v>0</v>
      </c>
      <c r="GM80" s="55">
        <f>SUMIFS('Disbursements Summary'!$E:$E,'Disbursements Summary'!$C:$C,$C80,'Disbursements Summary'!$A:$A,"SRAA")</f>
        <v>0</v>
      </c>
      <c r="GN80" s="55">
        <f>SUMIFS('Awards Summary'!$H:$H,'Awards Summary'!$B:$B,$C80,'Awards Summary'!$J:$J,"UNDC")</f>
        <v>0</v>
      </c>
      <c r="GO80" s="55">
        <f>SUMIFS('Disbursements Summary'!$E:$E,'Disbursements Summary'!$C:$C,$C80,'Disbursements Summary'!$A:$A,"UNDC")</f>
        <v>0</v>
      </c>
      <c r="GP80" s="55">
        <f>SUMIFS('Awards Summary'!$H:$H,'Awards Summary'!$B:$B,$C80,'Awards Summary'!$J:$J,"MVWA")</f>
        <v>0</v>
      </c>
      <c r="GQ80" s="55">
        <f>SUMIFS('Disbursements Summary'!$E:$E,'Disbursements Summary'!$C:$C,$C80,'Disbursements Summary'!$A:$A,"MVWA")</f>
        <v>0</v>
      </c>
      <c r="GR80" s="55">
        <f>SUMIFS('Awards Summary'!$H:$H,'Awards Summary'!$B:$B,$C80,'Awards Summary'!$J:$J,"WMC")</f>
        <v>0</v>
      </c>
      <c r="GS80" s="55">
        <f>SUMIFS('Disbursements Summary'!$E:$E,'Disbursements Summary'!$C:$C,$C80,'Disbursements Summary'!$A:$A,"WMC")</f>
        <v>0</v>
      </c>
      <c r="GT80" s="55">
        <f>SUMIFS('Awards Summary'!$H:$H,'Awards Summary'!$B:$B,$C80,'Awards Summary'!$J:$J,"WCB")</f>
        <v>0</v>
      </c>
      <c r="GU80" s="55">
        <f>SUMIFS('Disbursements Summary'!$E:$E,'Disbursements Summary'!$C:$C,$C80,'Disbursements Summary'!$A:$A,"WCB")</f>
        <v>0</v>
      </c>
      <c r="GV80" s="32">
        <f t="shared" si="5"/>
        <v>0</v>
      </c>
      <c r="GW80" s="32">
        <f t="shared" si="6"/>
        <v>0</v>
      </c>
      <c r="GX80" s="30" t="b">
        <f t="shared" si="7"/>
        <v>1</v>
      </c>
      <c r="GY80" s="30" t="b">
        <f t="shared" si="8"/>
        <v>1</v>
      </c>
    </row>
    <row r="81" spans="1:207" s="30" customFormat="1">
      <c r="A81" s="22" t="str">
        <f t="shared" si="9"/>
        <v/>
      </c>
      <c r="B81" s="18" t="s">
        <v>230</v>
      </c>
      <c r="C81" s="16">
        <v>151160</v>
      </c>
      <c r="D81" s="26">
        <f>COUNTIF('Awards Summary'!B:B,"151160")</f>
        <v>0</v>
      </c>
      <c r="E81" s="45">
        <f>SUMIFS('Awards Summary'!H:H,'Awards Summary'!B:B,"151160")</f>
        <v>0</v>
      </c>
      <c r="F81" s="46">
        <f>SUMIFS('Disbursements Summary'!E:E,'Disbursements Summary'!C:C, "151160")</f>
        <v>0</v>
      </c>
      <c r="H81" s="55">
        <f>SUMIFS('Awards Summary'!$H:$H,'Awards Summary'!$B:$B,$C81,'Awards Summary'!$J:$J,"APA")</f>
        <v>0</v>
      </c>
      <c r="I81" s="55">
        <f>SUMIFS('Disbursements Summary'!$E:$E,'Disbursements Summary'!$C:$C,$C81,'Disbursements Summary'!$A:$A,"APA")</f>
        <v>0</v>
      </c>
      <c r="J81" s="55">
        <f>SUMIFS('Awards Summary'!$H:$H,'Awards Summary'!$B:$B,$C81,'Awards Summary'!$J:$J,"Ag&amp;Horse")</f>
        <v>0</v>
      </c>
      <c r="K81" s="55">
        <f>SUMIFS('Disbursements Summary'!$E:$E,'Disbursements Summary'!$C:$C,$C81,'Disbursements Summary'!$A:$A,"Ag&amp;Horse")</f>
        <v>0</v>
      </c>
      <c r="L81" s="55">
        <f>SUMIFS('Awards Summary'!$H:$H,'Awards Summary'!$B:$B,$C81,'Awards Summary'!$J:$J,"ACAA")</f>
        <v>0</v>
      </c>
      <c r="M81" s="55">
        <f>SUMIFS('Disbursements Summary'!$E:$E,'Disbursements Summary'!$C:$C,$C81,'Disbursements Summary'!$A:$A,"ACAA")</f>
        <v>0</v>
      </c>
      <c r="N81" s="55">
        <f>SUMIFS('Awards Summary'!$H:$H,'Awards Summary'!$B:$B,$C81,'Awards Summary'!$J:$J,"PortAlbany")</f>
        <v>0</v>
      </c>
      <c r="O81" s="55">
        <f>SUMIFS('Disbursements Summary'!$E:$E,'Disbursements Summary'!$C:$C,$C81,'Disbursements Summary'!$A:$A,"PortAlbany")</f>
        <v>0</v>
      </c>
      <c r="P81" s="55">
        <f>SUMIFS('Awards Summary'!$H:$H,'Awards Summary'!$B:$B,$C81,'Awards Summary'!$J:$J,"SLA")</f>
        <v>0</v>
      </c>
      <c r="Q81" s="55">
        <f>SUMIFS('Disbursements Summary'!$E:$E,'Disbursements Summary'!$C:$C,$C81,'Disbursements Summary'!$A:$A,"SLA")</f>
        <v>0</v>
      </c>
      <c r="R81" s="55">
        <f>SUMIFS('Awards Summary'!$H:$H,'Awards Summary'!$B:$B,$C81,'Awards Summary'!$J:$J,"BPCA")</f>
        <v>0</v>
      </c>
      <c r="S81" s="55">
        <f>SUMIFS('Disbursements Summary'!$E:$E,'Disbursements Summary'!$C:$C,$C81,'Disbursements Summary'!$A:$A,"BPCA")</f>
        <v>0</v>
      </c>
      <c r="T81" s="55">
        <f>SUMIFS('Awards Summary'!$H:$H,'Awards Summary'!$B:$B,$C81,'Awards Summary'!$J:$J,"ELECTIONS")</f>
        <v>0</v>
      </c>
      <c r="U81" s="55">
        <f>SUMIFS('Disbursements Summary'!$E:$E,'Disbursements Summary'!$C:$C,$C81,'Disbursements Summary'!$A:$A,"ELECTIONS")</f>
        <v>0</v>
      </c>
      <c r="V81" s="55">
        <f>SUMIFS('Awards Summary'!$H:$H,'Awards Summary'!$B:$B,$C81,'Awards Summary'!$J:$J,"BFSA")</f>
        <v>0</v>
      </c>
      <c r="W81" s="55">
        <f>SUMIFS('Disbursements Summary'!$E:$E,'Disbursements Summary'!$C:$C,$C81,'Disbursements Summary'!$A:$A,"BFSA")</f>
        <v>0</v>
      </c>
      <c r="X81" s="55">
        <f>SUMIFS('Awards Summary'!$H:$H,'Awards Summary'!$B:$B,$C81,'Awards Summary'!$J:$J,"CDTA")</f>
        <v>0</v>
      </c>
      <c r="Y81" s="55">
        <f>SUMIFS('Disbursements Summary'!$E:$E,'Disbursements Summary'!$C:$C,$C81,'Disbursements Summary'!$A:$A,"CDTA")</f>
        <v>0</v>
      </c>
      <c r="Z81" s="55">
        <f>SUMIFS('Awards Summary'!$H:$H,'Awards Summary'!$B:$B,$C81,'Awards Summary'!$J:$J,"CCWSA")</f>
        <v>0</v>
      </c>
      <c r="AA81" s="55">
        <f>SUMIFS('Disbursements Summary'!$E:$E,'Disbursements Summary'!$C:$C,$C81,'Disbursements Summary'!$A:$A,"CCWSA")</f>
        <v>0</v>
      </c>
      <c r="AB81" s="55">
        <f>SUMIFS('Awards Summary'!$H:$H,'Awards Summary'!$B:$B,$C81,'Awards Summary'!$J:$J,"CNYRTA")</f>
        <v>0</v>
      </c>
      <c r="AC81" s="55">
        <f>SUMIFS('Disbursements Summary'!$E:$E,'Disbursements Summary'!$C:$C,$C81,'Disbursements Summary'!$A:$A,"CNYRTA")</f>
        <v>0</v>
      </c>
      <c r="AD81" s="55">
        <f>SUMIFS('Awards Summary'!$H:$H,'Awards Summary'!$B:$B,$C81,'Awards Summary'!$J:$J,"CUCF")</f>
        <v>0</v>
      </c>
      <c r="AE81" s="55">
        <f>SUMIFS('Disbursements Summary'!$E:$E,'Disbursements Summary'!$C:$C,$C81,'Disbursements Summary'!$A:$A,"CUCF")</f>
        <v>0</v>
      </c>
      <c r="AF81" s="55">
        <f>SUMIFS('Awards Summary'!$H:$H,'Awards Summary'!$B:$B,$C81,'Awards Summary'!$J:$J,"CUNY")</f>
        <v>0</v>
      </c>
      <c r="AG81" s="55">
        <f>SUMIFS('Disbursements Summary'!$E:$E,'Disbursements Summary'!$C:$C,$C81,'Disbursements Summary'!$A:$A,"CUNY")</f>
        <v>0</v>
      </c>
      <c r="AH81" s="55">
        <f>SUMIFS('Awards Summary'!$H:$H,'Awards Summary'!$B:$B,$C81,'Awards Summary'!$J:$J,"ARTS")</f>
        <v>0</v>
      </c>
      <c r="AI81" s="55">
        <f>SUMIFS('Disbursements Summary'!$E:$E,'Disbursements Summary'!$C:$C,$C81,'Disbursements Summary'!$A:$A,"ARTS")</f>
        <v>0</v>
      </c>
      <c r="AJ81" s="55">
        <f>SUMIFS('Awards Summary'!$H:$H,'Awards Summary'!$B:$B,$C81,'Awards Summary'!$J:$J,"AG&amp;MKTS")</f>
        <v>0</v>
      </c>
      <c r="AK81" s="55">
        <f>SUMIFS('Disbursements Summary'!$E:$E,'Disbursements Summary'!$C:$C,$C81,'Disbursements Summary'!$A:$A,"AG&amp;MKTS")</f>
        <v>0</v>
      </c>
      <c r="AL81" s="55">
        <f>SUMIFS('Awards Summary'!$H:$H,'Awards Summary'!$B:$B,$C81,'Awards Summary'!$J:$J,"CS")</f>
        <v>0</v>
      </c>
      <c r="AM81" s="55">
        <f>SUMIFS('Disbursements Summary'!$E:$E,'Disbursements Summary'!$C:$C,$C81,'Disbursements Summary'!$A:$A,"CS")</f>
        <v>0</v>
      </c>
      <c r="AN81" s="55">
        <f>SUMIFS('Awards Summary'!$H:$H,'Awards Summary'!$B:$B,$C81,'Awards Summary'!$J:$J,"DOCCS")</f>
        <v>0</v>
      </c>
      <c r="AO81" s="55">
        <f>SUMIFS('Disbursements Summary'!$E:$E,'Disbursements Summary'!$C:$C,$C81,'Disbursements Summary'!$A:$A,"DOCCS")</f>
        <v>0</v>
      </c>
      <c r="AP81" s="55">
        <f>SUMIFS('Awards Summary'!$H:$H,'Awards Summary'!$B:$B,$C81,'Awards Summary'!$J:$J,"DED")</f>
        <v>0</v>
      </c>
      <c r="AQ81" s="55">
        <f>SUMIFS('Disbursements Summary'!$E:$E,'Disbursements Summary'!$C:$C,$C81,'Disbursements Summary'!$A:$A,"DED")</f>
        <v>0</v>
      </c>
      <c r="AR81" s="55">
        <f>SUMIFS('Awards Summary'!$H:$H,'Awards Summary'!$B:$B,$C81,'Awards Summary'!$J:$J,"DEC")</f>
        <v>0</v>
      </c>
      <c r="AS81" s="55">
        <f>SUMIFS('Disbursements Summary'!$E:$E,'Disbursements Summary'!$C:$C,$C81,'Disbursements Summary'!$A:$A,"DEC")</f>
        <v>0</v>
      </c>
      <c r="AT81" s="55">
        <f>SUMIFS('Awards Summary'!$H:$H,'Awards Summary'!$B:$B,$C81,'Awards Summary'!$J:$J,"DFS")</f>
        <v>0</v>
      </c>
      <c r="AU81" s="55">
        <f>SUMIFS('Disbursements Summary'!$E:$E,'Disbursements Summary'!$C:$C,$C81,'Disbursements Summary'!$A:$A,"DFS")</f>
        <v>0</v>
      </c>
      <c r="AV81" s="55">
        <f>SUMIFS('Awards Summary'!$H:$H,'Awards Summary'!$B:$B,$C81,'Awards Summary'!$J:$J,"DOH")</f>
        <v>0</v>
      </c>
      <c r="AW81" s="55">
        <f>SUMIFS('Disbursements Summary'!$E:$E,'Disbursements Summary'!$C:$C,$C81,'Disbursements Summary'!$A:$A,"DOH")</f>
        <v>0</v>
      </c>
      <c r="AX81" s="55">
        <f>SUMIFS('Awards Summary'!$H:$H,'Awards Summary'!$B:$B,$C81,'Awards Summary'!$J:$J,"DOL")</f>
        <v>0</v>
      </c>
      <c r="AY81" s="55">
        <f>SUMIFS('Disbursements Summary'!$E:$E,'Disbursements Summary'!$C:$C,$C81,'Disbursements Summary'!$A:$A,"DOL")</f>
        <v>0</v>
      </c>
      <c r="AZ81" s="55">
        <f>SUMIFS('Awards Summary'!$H:$H,'Awards Summary'!$B:$B,$C81,'Awards Summary'!$J:$J,"DMV")</f>
        <v>0</v>
      </c>
      <c r="BA81" s="55">
        <f>SUMIFS('Disbursements Summary'!$E:$E,'Disbursements Summary'!$C:$C,$C81,'Disbursements Summary'!$A:$A,"DMV")</f>
        <v>0</v>
      </c>
      <c r="BB81" s="55">
        <f>SUMIFS('Awards Summary'!$H:$H,'Awards Summary'!$B:$B,$C81,'Awards Summary'!$J:$J,"DPS")</f>
        <v>0</v>
      </c>
      <c r="BC81" s="55">
        <f>SUMIFS('Disbursements Summary'!$E:$E,'Disbursements Summary'!$C:$C,$C81,'Disbursements Summary'!$A:$A,"DPS")</f>
        <v>0</v>
      </c>
      <c r="BD81" s="55">
        <f>SUMIFS('Awards Summary'!$H:$H,'Awards Summary'!$B:$B,$C81,'Awards Summary'!$J:$J,"DOS")</f>
        <v>0</v>
      </c>
      <c r="BE81" s="55">
        <f>SUMIFS('Disbursements Summary'!$E:$E,'Disbursements Summary'!$C:$C,$C81,'Disbursements Summary'!$A:$A,"DOS")</f>
        <v>0</v>
      </c>
      <c r="BF81" s="55">
        <f>SUMIFS('Awards Summary'!$H:$H,'Awards Summary'!$B:$B,$C81,'Awards Summary'!$J:$J,"TAX")</f>
        <v>0</v>
      </c>
      <c r="BG81" s="55">
        <f>SUMIFS('Disbursements Summary'!$E:$E,'Disbursements Summary'!$C:$C,$C81,'Disbursements Summary'!$A:$A,"TAX")</f>
        <v>0</v>
      </c>
      <c r="BH81" s="55">
        <f>SUMIFS('Awards Summary'!$H:$H,'Awards Summary'!$B:$B,$C81,'Awards Summary'!$J:$J,"DOT")</f>
        <v>0</v>
      </c>
      <c r="BI81" s="55">
        <f>SUMIFS('Disbursements Summary'!$E:$E,'Disbursements Summary'!$C:$C,$C81,'Disbursements Summary'!$A:$A,"DOT")</f>
        <v>0</v>
      </c>
      <c r="BJ81" s="55">
        <f>SUMIFS('Awards Summary'!$H:$H,'Awards Summary'!$B:$B,$C81,'Awards Summary'!$J:$J,"DANC")</f>
        <v>0</v>
      </c>
      <c r="BK81" s="55">
        <f>SUMIFS('Disbursements Summary'!$E:$E,'Disbursements Summary'!$C:$C,$C81,'Disbursements Summary'!$A:$A,"DANC")</f>
        <v>0</v>
      </c>
      <c r="BL81" s="55">
        <f>SUMIFS('Awards Summary'!$H:$H,'Awards Summary'!$B:$B,$C81,'Awards Summary'!$J:$J,"DOB")</f>
        <v>0</v>
      </c>
      <c r="BM81" s="55">
        <f>SUMIFS('Disbursements Summary'!$E:$E,'Disbursements Summary'!$C:$C,$C81,'Disbursements Summary'!$A:$A,"DOB")</f>
        <v>0</v>
      </c>
      <c r="BN81" s="55">
        <f>SUMIFS('Awards Summary'!$H:$H,'Awards Summary'!$B:$B,$C81,'Awards Summary'!$J:$J,"DCJS")</f>
        <v>0</v>
      </c>
      <c r="BO81" s="55">
        <f>SUMIFS('Disbursements Summary'!$E:$E,'Disbursements Summary'!$C:$C,$C81,'Disbursements Summary'!$A:$A,"DCJS")</f>
        <v>0</v>
      </c>
      <c r="BP81" s="55">
        <f>SUMIFS('Awards Summary'!$H:$H,'Awards Summary'!$B:$B,$C81,'Awards Summary'!$J:$J,"DHSES")</f>
        <v>0</v>
      </c>
      <c r="BQ81" s="55">
        <f>SUMIFS('Disbursements Summary'!$E:$E,'Disbursements Summary'!$C:$C,$C81,'Disbursements Summary'!$A:$A,"DHSES")</f>
        <v>0</v>
      </c>
      <c r="BR81" s="55">
        <f>SUMIFS('Awards Summary'!$H:$H,'Awards Summary'!$B:$B,$C81,'Awards Summary'!$J:$J,"DHR")</f>
        <v>0</v>
      </c>
      <c r="BS81" s="55">
        <f>SUMIFS('Disbursements Summary'!$E:$E,'Disbursements Summary'!$C:$C,$C81,'Disbursements Summary'!$A:$A,"DHR")</f>
        <v>0</v>
      </c>
      <c r="BT81" s="55">
        <f>SUMIFS('Awards Summary'!$H:$H,'Awards Summary'!$B:$B,$C81,'Awards Summary'!$J:$J,"DMNA")</f>
        <v>0</v>
      </c>
      <c r="BU81" s="55">
        <f>SUMIFS('Disbursements Summary'!$E:$E,'Disbursements Summary'!$C:$C,$C81,'Disbursements Summary'!$A:$A,"DMNA")</f>
        <v>0</v>
      </c>
      <c r="BV81" s="55">
        <f>SUMIFS('Awards Summary'!$H:$H,'Awards Summary'!$B:$B,$C81,'Awards Summary'!$J:$J,"TROOPERS")</f>
        <v>0</v>
      </c>
      <c r="BW81" s="55">
        <f>SUMIFS('Disbursements Summary'!$E:$E,'Disbursements Summary'!$C:$C,$C81,'Disbursements Summary'!$A:$A,"TROOPERS")</f>
        <v>0</v>
      </c>
      <c r="BX81" s="55">
        <f>SUMIFS('Awards Summary'!$H:$H,'Awards Summary'!$B:$B,$C81,'Awards Summary'!$J:$J,"DVA")</f>
        <v>0</v>
      </c>
      <c r="BY81" s="55">
        <f>SUMIFS('Disbursements Summary'!$E:$E,'Disbursements Summary'!$C:$C,$C81,'Disbursements Summary'!$A:$A,"DVA")</f>
        <v>0</v>
      </c>
      <c r="BZ81" s="55">
        <f>SUMIFS('Awards Summary'!$H:$H,'Awards Summary'!$B:$B,$C81,'Awards Summary'!$J:$J,"DASNY")</f>
        <v>0</v>
      </c>
      <c r="CA81" s="55">
        <f>SUMIFS('Disbursements Summary'!$E:$E,'Disbursements Summary'!$C:$C,$C81,'Disbursements Summary'!$A:$A,"DASNY")</f>
        <v>0</v>
      </c>
      <c r="CB81" s="55">
        <f>SUMIFS('Awards Summary'!$H:$H,'Awards Summary'!$B:$B,$C81,'Awards Summary'!$J:$J,"EGG")</f>
        <v>0</v>
      </c>
      <c r="CC81" s="55">
        <f>SUMIFS('Disbursements Summary'!$E:$E,'Disbursements Summary'!$C:$C,$C81,'Disbursements Summary'!$A:$A,"EGG")</f>
        <v>0</v>
      </c>
      <c r="CD81" s="55">
        <f>SUMIFS('Awards Summary'!$H:$H,'Awards Summary'!$B:$B,$C81,'Awards Summary'!$J:$J,"ESD")</f>
        <v>0</v>
      </c>
      <c r="CE81" s="55">
        <f>SUMIFS('Disbursements Summary'!$E:$E,'Disbursements Summary'!$C:$C,$C81,'Disbursements Summary'!$A:$A,"ESD")</f>
        <v>0</v>
      </c>
      <c r="CF81" s="55">
        <f>SUMIFS('Awards Summary'!$H:$H,'Awards Summary'!$B:$B,$C81,'Awards Summary'!$J:$J,"EFC")</f>
        <v>0</v>
      </c>
      <c r="CG81" s="55">
        <f>SUMIFS('Disbursements Summary'!$E:$E,'Disbursements Summary'!$C:$C,$C81,'Disbursements Summary'!$A:$A,"EFC")</f>
        <v>0</v>
      </c>
      <c r="CH81" s="55">
        <f>SUMIFS('Awards Summary'!$H:$H,'Awards Summary'!$B:$B,$C81,'Awards Summary'!$J:$J,"ECFSA")</f>
        <v>0</v>
      </c>
      <c r="CI81" s="55">
        <f>SUMIFS('Disbursements Summary'!$E:$E,'Disbursements Summary'!$C:$C,$C81,'Disbursements Summary'!$A:$A,"ECFSA")</f>
        <v>0</v>
      </c>
      <c r="CJ81" s="55">
        <f>SUMIFS('Awards Summary'!$H:$H,'Awards Summary'!$B:$B,$C81,'Awards Summary'!$J:$J,"ECMC")</f>
        <v>0</v>
      </c>
      <c r="CK81" s="55">
        <f>SUMIFS('Disbursements Summary'!$E:$E,'Disbursements Summary'!$C:$C,$C81,'Disbursements Summary'!$A:$A,"ECMC")</f>
        <v>0</v>
      </c>
      <c r="CL81" s="55">
        <f>SUMIFS('Awards Summary'!$H:$H,'Awards Summary'!$B:$B,$C81,'Awards Summary'!$J:$J,"CHAMBER")</f>
        <v>0</v>
      </c>
      <c r="CM81" s="55">
        <f>SUMIFS('Disbursements Summary'!$E:$E,'Disbursements Summary'!$C:$C,$C81,'Disbursements Summary'!$A:$A,"CHAMBER")</f>
        <v>0</v>
      </c>
      <c r="CN81" s="55">
        <f>SUMIFS('Awards Summary'!$H:$H,'Awards Summary'!$B:$B,$C81,'Awards Summary'!$J:$J,"GAMING")</f>
        <v>0</v>
      </c>
      <c r="CO81" s="55">
        <f>SUMIFS('Disbursements Summary'!$E:$E,'Disbursements Summary'!$C:$C,$C81,'Disbursements Summary'!$A:$A,"GAMING")</f>
        <v>0</v>
      </c>
      <c r="CP81" s="55">
        <f>SUMIFS('Awards Summary'!$H:$H,'Awards Summary'!$B:$B,$C81,'Awards Summary'!$J:$J,"GOER")</f>
        <v>0</v>
      </c>
      <c r="CQ81" s="55">
        <f>SUMIFS('Disbursements Summary'!$E:$E,'Disbursements Summary'!$C:$C,$C81,'Disbursements Summary'!$A:$A,"GOER")</f>
        <v>0</v>
      </c>
      <c r="CR81" s="55">
        <f>SUMIFS('Awards Summary'!$H:$H,'Awards Summary'!$B:$B,$C81,'Awards Summary'!$J:$J,"HESC")</f>
        <v>0</v>
      </c>
      <c r="CS81" s="55">
        <f>SUMIFS('Disbursements Summary'!$E:$E,'Disbursements Summary'!$C:$C,$C81,'Disbursements Summary'!$A:$A,"HESC")</f>
        <v>0</v>
      </c>
      <c r="CT81" s="55">
        <f>SUMIFS('Awards Summary'!$H:$H,'Awards Summary'!$B:$B,$C81,'Awards Summary'!$J:$J,"GOSR")</f>
        <v>0</v>
      </c>
      <c r="CU81" s="55">
        <f>SUMIFS('Disbursements Summary'!$E:$E,'Disbursements Summary'!$C:$C,$C81,'Disbursements Summary'!$A:$A,"GOSR")</f>
        <v>0</v>
      </c>
      <c r="CV81" s="55">
        <f>SUMIFS('Awards Summary'!$H:$H,'Awards Summary'!$B:$B,$C81,'Awards Summary'!$J:$J,"HRPT")</f>
        <v>0</v>
      </c>
      <c r="CW81" s="55">
        <f>SUMIFS('Disbursements Summary'!$E:$E,'Disbursements Summary'!$C:$C,$C81,'Disbursements Summary'!$A:$A,"HRPT")</f>
        <v>0</v>
      </c>
      <c r="CX81" s="55">
        <f>SUMIFS('Awards Summary'!$H:$H,'Awards Summary'!$B:$B,$C81,'Awards Summary'!$J:$J,"HRBRRD")</f>
        <v>0</v>
      </c>
      <c r="CY81" s="55">
        <f>SUMIFS('Disbursements Summary'!$E:$E,'Disbursements Summary'!$C:$C,$C81,'Disbursements Summary'!$A:$A,"HRBRRD")</f>
        <v>0</v>
      </c>
      <c r="CZ81" s="55">
        <f>SUMIFS('Awards Summary'!$H:$H,'Awards Summary'!$B:$B,$C81,'Awards Summary'!$J:$J,"ITS")</f>
        <v>0</v>
      </c>
      <c r="DA81" s="55">
        <f>SUMIFS('Disbursements Summary'!$E:$E,'Disbursements Summary'!$C:$C,$C81,'Disbursements Summary'!$A:$A,"ITS")</f>
        <v>0</v>
      </c>
      <c r="DB81" s="55">
        <f>SUMIFS('Awards Summary'!$H:$H,'Awards Summary'!$B:$B,$C81,'Awards Summary'!$J:$J,"JAVITS")</f>
        <v>0</v>
      </c>
      <c r="DC81" s="55">
        <f>SUMIFS('Disbursements Summary'!$E:$E,'Disbursements Summary'!$C:$C,$C81,'Disbursements Summary'!$A:$A,"JAVITS")</f>
        <v>0</v>
      </c>
      <c r="DD81" s="55">
        <f>SUMIFS('Awards Summary'!$H:$H,'Awards Summary'!$B:$B,$C81,'Awards Summary'!$J:$J,"JCOPE")</f>
        <v>0</v>
      </c>
      <c r="DE81" s="55">
        <f>SUMIFS('Disbursements Summary'!$E:$E,'Disbursements Summary'!$C:$C,$C81,'Disbursements Summary'!$A:$A,"JCOPE")</f>
        <v>0</v>
      </c>
      <c r="DF81" s="55">
        <f>SUMIFS('Awards Summary'!$H:$H,'Awards Summary'!$B:$B,$C81,'Awards Summary'!$J:$J,"JUSTICE")</f>
        <v>0</v>
      </c>
      <c r="DG81" s="55">
        <f>SUMIFS('Disbursements Summary'!$E:$E,'Disbursements Summary'!$C:$C,$C81,'Disbursements Summary'!$A:$A,"JUSTICE")</f>
        <v>0</v>
      </c>
      <c r="DH81" s="55">
        <f>SUMIFS('Awards Summary'!$H:$H,'Awards Summary'!$B:$B,$C81,'Awards Summary'!$J:$J,"LCWSA")</f>
        <v>0</v>
      </c>
      <c r="DI81" s="55">
        <f>SUMIFS('Disbursements Summary'!$E:$E,'Disbursements Summary'!$C:$C,$C81,'Disbursements Summary'!$A:$A,"LCWSA")</f>
        <v>0</v>
      </c>
      <c r="DJ81" s="55">
        <f>SUMIFS('Awards Summary'!$H:$H,'Awards Summary'!$B:$B,$C81,'Awards Summary'!$J:$J,"LIPA")</f>
        <v>0</v>
      </c>
      <c r="DK81" s="55">
        <f>SUMIFS('Disbursements Summary'!$E:$E,'Disbursements Summary'!$C:$C,$C81,'Disbursements Summary'!$A:$A,"LIPA")</f>
        <v>0</v>
      </c>
      <c r="DL81" s="55">
        <f>SUMIFS('Awards Summary'!$H:$H,'Awards Summary'!$B:$B,$C81,'Awards Summary'!$J:$J,"MTA")</f>
        <v>0</v>
      </c>
      <c r="DM81" s="55">
        <f>SUMIFS('Disbursements Summary'!$E:$E,'Disbursements Summary'!$C:$C,$C81,'Disbursements Summary'!$A:$A,"MTA")</f>
        <v>0</v>
      </c>
      <c r="DN81" s="55">
        <f>SUMIFS('Awards Summary'!$H:$H,'Awards Summary'!$B:$B,$C81,'Awards Summary'!$J:$J,"NIFA")</f>
        <v>0</v>
      </c>
      <c r="DO81" s="55">
        <f>SUMIFS('Disbursements Summary'!$E:$E,'Disbursements Summary'!$C:$C,$C81,'Disbursements Summary'!$A:$A,"NIFA")</f>
        <v>0</v>
      </c>
      <c r="DP81" s="55">
        <f>SUMIFS('Awards Summary'!$H:$H,'Awards Summary'!$B:$B,$C81,'Awards Summary'!$J:$J,"NHCC")</f>
        <v>0</v>
      </c>
      <c r="DQ81" s="55">
        <f>SUMIFS('Disbursements Summary'!$E:$E,'Disbursements Summary'!$C:$C,$C81,'Disbursements Summary'!$A:$A,"NHCC")</f>
        <v>0</v>
      </c>
      <c r="DR81" s="55">
        <f>SUMIFS('Awards Summary'!$H:$H,'Awards Summary'!$B:$B,$C81,'Awards Summary'!$J:$J,"NHT")</f>
        <v>0</v>
      </c>
      <c r="DS81" s="55">
        <f>SUMIFS('Disbursements Summary'!$E:$E,'Disbursements Summary'!$C:$C,$C81,'Disbursements Summary'!$A:$A,"NHT")</f>
        <v>0</v>
      </c>
      <c r="DT81" s="55">
        <f>SUMIFS('Awards Summary'!$H:$H,'Awards Summary'!$B:$B,$C81,'Awards Summary'!$J:$J,"NYPA")</f>
        <v>0</v>
      </c>
      <c r="DU81" s="55">
        <f>SUMIFS('Disbursements Summary'!$E:$E,'Disbursements Summary'!$C:$C,$C81,'Disbursements Summary'!$A:$A,"NYPA")</f>
        <v>0</v>
      </c>
      <c r="DV81" s="55">
        <f>SUMIFS('Awards Summary'!$H:$H,'Awards Summary'!$B:$B,$C81,'Awards Summary'!$J:$J,"NYSBA")</f>
        <v>0</v>
      </c>
      <c r="DW81" s="55">
        <f>SUMIFS('Disbursements Summary'!$E:$E,'Disbursements Summary'!$C:$C,$C81,'Disbursements Summary'!$A:$A,"NYSBA")</f>
        <v>0</v>
      </c>
      <c r="DX81" s="55">
        <f>SUMIFS('Awards Summary'!$H:$H,'Awards Summary'!$B:$B,$C81,'Awards Summary'!$J:$J,"NYSERDA")</f>
        <v>0</v>
      </c>
      <c r="DY81" s="55">
        <f>SUMIFS('Disbursements Summary'!$E:$E,'Disbursements Summary'!$C:$C,$C81,'Disbursements Summary'!$A:$A,"NYSERDA")</f>
        <v>0</v>
      </c>
      <c r="DZ81" s="55">
        <f>SUMIFS('Awards Summary'!$H:$H,'Awards Summary'!$B:$B,$C81,'Awards Summary'!$J:$J,"DHCR")</f>
        <v>0</v>
      </c>
      <c r="EA81" s="55">
        <f>SUMIFS('Disbursements Summary'!$E:$E,'Disbursements Summary'!$C:$C,$C81,'Disbursements Summary'!$A:$A,"DHCR")</f>
        <v>0</v>
      </c>
      <c r="EB81" s="55">
        <f>SUMIFS('Awards Summary'!$H:$H,'Awards Summary'!$B:$B,$C81,'Awards Summary'!$J:$J,"HFA")</f>
        <v>0</v>
      </c>
      <c r="EC81" s="55">
        <f>SUMIFS('Disbursements Summary'!$E:$E,'Disbursements Summary'!$C:$C,$C81,'Disbursements Summary'!$A:$A,"HFA")</f>
        <v>0</v>
      </c>
      <c r="ED81" s="55">
        <f>SUMIFS('Awards Summary'!$H:$H,'Awards Summary'!$B:$B,$C81,'Awards Summary'!$J:$J,"NYSIF")</f>
        <v>0</v>
      </c>
      <c r="EE81" s="55">
        <f>SUMIFS('Disbursements Summary'!$E:$E,'Disbursements Summary'!$C:$C,$C81,'Disbursements Summary'!$A:$A,"NYSIF")</f>
        <v>0</v>
      </c>
      <c r="EF81" s="55">
        <f>SUMIFS('Awards Summary'!$H:$H,'Awards Summary'!$B:$B,$C81,'Awards Summary'!$J:$J,"NYBREDS")</f>
        <v>0</v>
      </c>
      <c r="EG81" s="55">
        <f>SUMIFS('Disbursements Summary'!$E:$E,'Disbursements Summary'!$C:$C,$C81,'Disbursements Summary'!$A:$A,"NYBREDS")</f>
        <v>0</v>
      </c>
      <c r="EH81" s="55">
        <f>SUMIFS('Awards Summary'!$H:$H,'Awards Summary'!$B:$B,$C81,'Awards Summary'!$J:$J,"NYSTA")</f>
        <v>0</v>
      </c>
      <c r="EI81" s="55">
        <f>SUMIFS('Disbursements Summary'!$E:$E,'Disbursements Summary'!$C:$C,$C81,'Disbursements Summary'!$A:$A,"NYSTA")</f>
        <v>0</v>
      </c>
      <c r="EJ81" s="55">
        <f>SUMIFS('Awards Summary'!$H:$H,'Awards Summary'!$B:$B,$C81,'Awards Summary'!$J:$J,"NFWB")</f>
        <v>0</v>
      </c>
      <c r="EK81" s="55">
        <f>SUMIFS('Disbursements Summary'!$E:$E,'Disbursements Summary'!$C:$C,$C81,'Disbursements Summary'!$A:$A,"NFWB")</f>
        <v>0</v>
      </c>
      <c r="EL81" s="55">
        <f>SUMIFS('Awards Summary'!$H:$H,'Awards Summary'!$B:$B,$C81,'Awards Summary'!$J:$J,"NFTA")</f>
        <v>0</v>
      </c>
      <c r="EM81" s="55">
        <f>SUMIFS('Disbursements Summary'!$E:$E,'Disbursements Summary'!$C:$C,$C81,'Disbursements Summary'!$A:$A,"NFTA")</f>
        <v>0</v>
      </c>
      <c r="EN81" s="55">
        <f>SUMIFS('Awards Summary'!$H:$H,'Awards Summary'!$B:$B,$C81,'Awards Summary'!$J:$J,"OPWDD")</f>
        <v>0</v>
      </c>
      <c r="EO81" s="55">
        <f>SUMIFS('Disbursements Summary'!$E:$E,'Disbursements Summary'!$C:$C,$C81,'Disbursements Summary'!$A:$A,"OPWDD")</f>
        <v>0</v>
      </c>
      <c r="EP81" s="55">
        <f>SUMIFS('Awards Summary'!$H:$H,'Awards Summary'!$B:$B,$C81,'Awards Summary'!$J:$J,"AGING")</f>
        <v>0</v>
      </c>
      <c r="EQ81" s="55">
        <f>SUMIFS('Disbursements Summary'!$E:$E,'Disbursements Summary'!$C:$C,$C81,'Disbursements Summary'!$A:$A,"AGING")</f>
        <v>0</v>
      </c>
      <c r="ER81" s="55">
        <f>SUMIFS('Awards Summary'!$H:$H,'Awards Summary'!$B:$B,$C81,'Awards Summary'!$J:$J,"OPDV")</f>
        <v>0</v>
      </c>
      <c r="ES81" s="55">
        <f>SUMIFS('Disbursements Summary'!$E:$E,'Disbursements Summary'!$C:$C,$C81,'Disbursements Summary'!$A:$A,"OPDV")</f>
        <v>0</v>
      </c>
      <c r="ET81" s="55">
        <f>SUMIFS('Awards Summary'!$H:$H,'Awards Summary'!$B:$B,$C81,'Awards Summary'!$J:$J,"OVS")</f>
        <v>0</v>
      </c>
      <c r="EU81" s="55">
        <f>SUMIFS('Disbursements Summary'!$E:$E,'Disbursements Summary'!$C:$C,$C81,'Disbursements Summary'!$A:$A,"OVS")</f>
        <v>0</v>
      </c>
      <c r="EV81" s="55">
        <f>SUMIFS('Awards Summary'!$H:$H,'Awards Summary'!$B:$B,$C81,'Awards Summary'!$J:$J,"OASAS")</f>
        <v>0</v>
      </c>
      <c r="EW81" s="55">
        <f>SUMIFS('Disbursements Summary'!$E:$E,'Disbursements Summary'!$C:$C,$C81,'Disbursements Summary'!$A:$A,"OASAS")</f>
        <v>0</v>
      </c>
      <c r="EX81" s="55">
        <f>SUMIFS('Awards Summary'!$H:$H,'Awards Summary'!$B:$B,$C81,'Awards Summary'!$J:$J,"OCFS")</f>
        <v>0</v>
      </c>
      <c r="EY81" s="55">
        <f>SUMIFS('Disbursements Summary'!$E:$E,'Disbursements Summary'!$C:$C,$C81,'Disbursements Summary'!$A:$A,"OCFS")</f>
        <v>0</v>
      </c>
      <c r="EZ81" s="55">
        <f>SUMIFS('Awards Summary'!$H:$H,'Awards Summary'!$B:$B,$C81,'Awards Summary'!$J:$J,"OGS")</f>
        <v>0</v>
      </c>
      <c r="FA81" s="55">
        <f>SUMIFS('Disbursements Summary'!$E:$E,'Disbursements Summary'!$C:$C,$C81,'Disbursements Summary'!$A:$A,"OGS")</f>
        <v>0</v>
      </c>
      <c r="FB81" s="55">
        <f>SUMIFS('Awards Summary'!$H:$H,'Awards Summary'!$B:$B,$C81,'Awards Summary'!$J:$J,"OMH")</f>
        <v>0</v>
      </c>
      <c r="FC81" s="55">
        <f>SUMIFS('Disbursements Summary'!$E:$E,'Disbursements Summary'!$C:$C,$C81,'Disbursements Summary'!$A:$A,"OMH")</f>
        <v>0</v>
      </c>
      <c r="FD81" s="55">
        <f>SUMIFS('Awards Summary'!$H:$H,'Awards Summary'!$B:$B,$C81,'Awards Summary'!$J:$J,"PARKS")</f>
        <v>0</v>
      </c>
      <c r="FE81" s="55">
        <f>SUMIFS('Disbursements Summary'!$E:$E,'Disbursements Summary'!$C:$C,$C81,'Disbursements Summary'!$A:$A,"PARKS")</f>
        <v>0</v>
      </c>
      <c r="FF81" s="55">
        <f>SUMIFS('Awards Summary'!$H:$H,'Awards Summary'!$B:$B,$C81,'Awards Summary'!$J:$J,"OTDA")</f>
        <v>0</v>
      </c>
      <c r="FG81" s="55">
        <f>SUMIFS('Disbursements Summary'!$E:$E,'Disbursements Summary'!$C:$C,$C81,'Disbursements Summary'!$A:$A,"OTDA")</f>
        <v>0</v>
      </c>
      <c r="FH81" s="55">
        <f>SUMIFS('Awards Summary'!$H:$H,'Awards Summary'!$B:$B,$C81,'Awards Summary'!$J:$J,"OIG")</f>
        <v>0</v>
      </c>
      <c r="FI81" s="55">
        <f>SUMIFS('Disbursements Summary'!$E:$E,'Disbursements Summary'!$C:$C,$C81,'Disbursements Summary'!$A:$A,"OIG")</f>
        <v>0</v>
      </c>
      <c r="FJ81" s="55">
        <f>SUMIFS('Awards Summary'!$H:$H,'Awards Summary'!$B:$B,$C81,'Awards Summary'!$J:$J,"OMIG")</f>
        <v>0</v>
      </c>
      <c r="FK81" s="55">
        <f>SUMIFS('Disbursements Summary'!$E:$E,'Disbursements Summary'!$C:$C,$C81,'Disbursements Summary'!$A:$A,"OMIG")</f>
        <v>0</v>
      </c>
      <c r="FL81" s="55">
        <f>SUMIFS('Awards Summary'!$H:$H,'Awards Summary'!$B:$B,$C81,'Awards Summary'!$J:$J,"OSC")</f>
        <v>0</v>
      </c>
      <c r="FM81" s="55">
        <f>SUMIFS('Disbursements Summary'!$E:$E,'Disbursements Summary'!$C:$C,$C81,'Disbursements Summary'!$A:$A,"OSC")</f>
        <v>0</v>
      </c>
      <c r="FN81" s="55">
        <f>SUMIFS('Awards Summary'!$H:$H,'Awards Summary'!$B:$B,$C81,'Awards Summary'!$J:$J,"OWIG")</f>
        <v>0</v>
      </c>
      <c r="FO81" s="55">
        <f>SUMIFS('Disbursements Summary'!$E:$E,'Disbursements Summary'!$C:$C,$C81,'Disbursements Summary'!$A:$A,"OWIG")</f>
        <v>0</v>
      </c>
      <c r="FP81" s="55">
        <f>SUMIFS('Awards Summary'!$H:$H,'Awards Summary'!$B:$B,$C81,'Awards Summary'!$J:$J,"OGDEN")</f>
        <v>0</v>
      </c>
      <c r="FQ81" s="55">
        <f>SUMIFS('Disbursements Summary'!$E:$E,'Disbursements Summary'!$C:$C,$C81,'Disbursements Summary'!$A:$A,"OGDEN")</f>
        <v>0</v>
      </c>
      <c r="FR81" s="55">
        <f>SUMIFS('Awards Summary'!$H:$H,'Awards Summary'!$B:$B,$C81,'Awards Summary'!$J:$J,"ORDA")</f>
        <v>0</v>
      </c>
      <c r="FS81" s="55">
        <f>SUMIFS('Disbursements Summary'!$E:$E,'Disbursements Summary'!$C:$C,$C81,'Disbursements Summary'!$A:$A,"ORDA")</f>
        <v>0</v>
      </c>
      <c r="FT81" s="55">
        <f>SUMIFS('Awards Summary'!$H:$H,'Awards Summary'!$B:$B,$C81,'Awards Summary'!$J:$J,"OSWEGO")</f>
        <v>0</v>
      </c>
      <c r="FU81" s="55">
        <f>SUMIFS('Disbursements Summary'!$E:$E,'Disbursements Summary'!$C:$C,$C81,'Disbursements Summary'!$A:$A,"OSWEGO")</f>
        <v>0</v>
      </c>
      <c r="FV81" s="55">
        <f>SUMIFS('Awards Summary'!$H:$H,'Awards Summary'!$B:$B,$C81,'Awards Summary'!$J:$J,"PERB")</f>
        <v>0</v>
      </c>
      <c r="FW81" s="55">
        <f>SUMIFS('Disbursements Summary'!$E:$E,'Disbursements Summary'!$C:$C,$C81,'Disbursements Summary'!$A:$A,"PERB")</f>
        <v>0</v>
      </c>
      <c r="FX81" s="55">
        <f>SUMIFS('Awards Summary'!$H:$H,'Awards Summary'!$B:$B,$C81,'Awards Summary'!$J:$J,"RGRTA")</f>
        <v>0</v>
      </c>
      <c r="FY81" s="55">
        <f>SUMIFS('Disbursements Summary'!$E:$E,'Disbursements Summary'!$C:$C,$C81,'Disbursements Summary'!$A:$A,"RGRTA")</f>
        <v>0</v>
      </c>
      <c r="FZ81" s="55">
        <f>SUMIFS('Awards Summary'!$H:$H,'Awards Summary'!$B:$B,$C81,'Awards Summary'!$J:$J,"RIOC")</f>
        <v>0</v>
      </c>
      <c r="GA81" s="55">
        <f>SUMIFS('Disbursements Summary'!$E:$E,'Disbursements Summary'!$C:$C,$C81,'Disbursements Summary'!$A:$A,"RIOC")</f>
        <v>0</v>
      </c>
      <c r="GB81" s="55">
        <f>SUMIFS('Awards Summary'!$H:$H,'Awards Summary'!$B:$B,$C81,'Awards Summary'!$J:$J,"RPCI")</f>
        <v>0</v>
      </c>
      <c r="GC81" s="55">
        <f>SUMIFS('Disbursements Summary'!$E:$E,'Disbursements Summary'!$C:$C,$C81,'Disbursements Summary'!$A:$A,"RPCI")</f>
        <v>0</v>
      </c>
      <c r="GD81" s="55">
        <f>SUMIFS('Awards Summary'!$H:$H,'Awards Summary'!$B:$B,$C81,'Awards Summary'!$J:$J,"SMDA")</f>
        <v>0</v>
      </c>
      <c r="GE81" s="55">
        <f>SUMIFS('Disbursements Summary'!$E:$E,'Disbursements Summary'!$C:$C,$C81,'Disbursements Summary'!$A:$A,"SMDA")</f>
        <v>0</v>
      </c>
      <c r="GF81" s="55">
        <f>SUMIFS('Awards Summary'!$H:$H,'Awards Summary'!$B:$B,$C81,'Awards Summary'!$J:$J,"SCOC")</f>
        <v>0</v>
      </c>
      <c r="GG81" s="55">
        <f>SUMIFS('Disbursements Summary'!$E:$E,'Disbursements Summary'!$C:$C,$C81,'Disbursements Summary'!$A:$A,"SCOC")</f>
        <v>0</v>
      </c>
      <c r="GH81" s="55">
        <f>SUMIFS('Awards Summary'!$H:$H,'Awards Summary'!$B:$B,$C81,'Awards Summary'!$J:$J,"SUCF")</f>
        <v>0</v>
      </c>
      <c r="GI81" s="55">
        <f>SUMIFS('Disbursements Summary'!$E:$E,'Disbursements Summary'!$C:$C,$C81,'Disbursements Summary'!$A:$A,"SUCF")</f>
        <v>0</v>
      </c>
      <c r="GJ81" s="55">
        <f>SUMIFS('Awards Summary'!$H:$H,'Awards Summary'!$B:$B,$C81,'Awards Summary'!$J:$J,"SUNY")</f>
        <v>0</v>
      </c>
      <c r="GK81" s="55">
        <f>SUMIFS('Disbursements Summary'!$E:$E,'Disbursements Summary'!$C:$C,$C81,'Disbursements Summary'!$A:$A,"SUNY")</f>
        <v>0</v>
      </c>
      <c r="GL81" s="55">
        <f>SUMIFS('Awards Summary'!$H:$H,'Awards Summary'!$B:$B,$C81,'Awards Summary'!$J:$J,"SRAA")</f>
        <v>0</v>
      </c>
      <c r="GM81" s="55">
        <f>SUMIFS('Disbursements Summary'!$E:$E,'Disbursements Summary'!$C:$C,$C81,'Disbursements Summary'!$A:$A,"SRAA")</f>
        <v>0</v>
      </c>
      <c r="GN81" s="55">
        <f>SUMIFS('Awards Summary'!$H:$H,'Awards Summary'!$B:$B,$C81,'Awards Summary'!$J:$J,"UNDC")</f>
        <v>0</v>
      </c>
      <c r="GO81" s="55">
        <f>SUMIFS('Disbursements Summary'!$E:$E,'Disbursements Summary'!$C:$C,$C81,'Disbursements Summary'!$A:$A,"UNDC")</f>
        <v>0</v>
      </c>
      <c r="GP81" s="55">
        <f>SUMIFS('Awards Summary'!$H:$H,'Awards Summary'!$B:$B,$C81,'Awards Summary'!$J:$J,"MVWA")</f>
        <v>0</v>
      </c>
      <c r="GQ81" s="55">
        <f>SUMIFS('Disbursements Summary'!$E:$E,'Disbursements Summary'!$C:$C,$C81,'Disbursements Summary'!$A:$A,"MVWA")</f>
        <v>0</v>
      </c>
      <c r="GR81" s="55">
        <f>SUMIFS('Awards Summary'!$H:$H,'Awards Summary'!$B:$B,$C81,'Awards Summary'!$J:$J,"WMC")</f>
        <v>0</v>
      </c>
      <c r="GS81" s="55">
        <f>SUMIFS('Disbursements Summary'!$E:$E,'Disbursements Summary'!$C:$C,$C81,'Disbursements Summary'!$A:$A,"WMC")</f>
        <v>0</v>
      </c>
      <c r="GT81" s="55">
        <f>SUMIFS('Awards Summary'!$H:$H,'Awards Summary'!$B:$B,$C81,'Awards Summary'!$J:$J,"WCB")</f>
        <v>0</v>
      </c>
      <c r="GU81" s="55">
        <f>SUMIFS('Disbursements Summary'!$E:$E,'Disbursements Summary'!$C:$C,$C81,'Disbursements Summary'!$A:$A,"WCB")</f>
        <v>0</v>
      </c>
      <c r="GV81" s="32">
        <f t="shared" si="5"/>
        <v>0</v>
      </c>
      <c r="GW81" s="32">
        <f t="shared" si="6"/>
        <v>0</v>
      </c>
      <c r="GX81" s="30" t="b">
        <f t="shared" si="7"/>
        <v>1</v>
      </c>
      <c r="GY81" s="30" t="b">
        <f t="shared" si="8"/>
        <v>1</v>
      </c>
    </row>
    <row r="82" spans="1:207" s="30" customFormat="1">
      <c r="A82" s="22" t="str">
        <f t="shared" si="9"/>
        <v/>
      </c>
      <c r="B82" s="93" t="s">
        <v>483</v>
      </c>
      <c r="C82" s="65">
        <v>151162</v>
      </c>
      <c r="D82" s="26">
        <f>COUNTIF('Awards Summary'!B:B,"151162")</f>
        <v>0</v>
      </c>
      <c r="E82" s="45">
        <f>SUMIFS('Awards Summary'!H:H,'Awards Summary'!B:B,"151162")</f>
        <v>0</v>
      </c>
      <c r="F82" s="46">
        <f>SUMIFS('Disbursements Summary'!E:E,'Disbursements Summary'!C:C, "151162")</f>
        <v>0</v>
      </c>
      <c r="H82" s="55">
        <f>SUMIFS('Awards Summary'!$H:$H,'Awards Summary'!$B:$B,$C82,'Awards Summary'!$J:$J,"APA")</f>
        <v>0</v>
      </c>
      <c r="I82" s="55">
        <f>SUMIFS('Disbursements Summary'!$E:$E,'Disbursements Summary'!$C:$C,$C82,'Disbursements Summary'!$A:$A,"APA")</f>
        <v>0</v>
      </c>
      <c r="J82" s="55">
        <f>SUMIFS('Awards Summary'!$H:$H,'Awards Summary'!$B:$B,$C82,'Awards Summary'!$J:$J,"Ag&amp;Horse")</f>
        <v>0</v>
      </c>
      <c r="K82" s="55">
        <f>SUMIFS('Disbursements Summary'!$E:$E,'Disbursements Summary'!$C:$C,$C82,'Disbursements Summary'!$A:$A,"Ag&amp;Horse")</f>
        <v>0</v>
      </c>
      <c r="L82" s="55">
        <f>SUMIFS('Awards Summary'!$H:$H,'Awards Summary'!$B:$B,$C82,'Awards Summary'!$J:$J,"ACAA")</f>
        <v>0</v>
      </c>
      <c r="M82" s="55">
        <f>SUMIFS('Disbursements Summary'!$E:$E,'Disbursements Summary'!$C:$C,$C82,'Disbursements Summary'!$A:$A,"ACAA")</f>
        <v>0</v>
      </c>
      <c r="N82" s="55">
        <f>SUMIFS('Awards Summary'!$H:$H,'Awards Summary'!$B:$B,$C82,'Awards Summary'!$J:$J,"PortAlbany")</f>
        <v>0</v>
      </c>
      <c r="O82" s="55">
        <f>SUMIFS('Disbursements Summary'!$E:$E,'Disbursements Summary'!$C:$C,$C82,'Disbursements Summary'!$A:$A,"PortAlbany")</f>
        <v>0</v>
      </c>
      <c r="P82" s="55">
        <f>SUMIFS('Awards Summary'!$H:$H,'Awards Summary'!$B:$B,$C82,'Awards Summary'!$J:$J,"SLA")</f>
        <v>0</v>
      </c>
      <c r="Q82" s="55">
        <f>SUMIFS('Disbursements Summary'!$E:$E,'Disbursements Summary'!$C:$C,$C82,'Disbursements Summary'!$A:$A,"SLA")</f>
        <v>0</v>
      </c>
      <c r="R82" s="55">
        <f>SUMIFS('Awards Summary'!$H:$H,'Awards Summary'!$B:$B,$C82,'Awards Summary'!$J:$J,"BPCA")</f>
        <v>0</v>
      </c>
      <c r="S82" s="55">
        <f>SUMIFS('Disbursements Summary'!$E:$E,'Disbursements Summary'!$C:$C,$C82,'Disbursements Summary'!$A:$A,"BPCA")</f>
        <v>0</v>
      </c>
      <c r="T82" s="55">
        <f>SUMIFS('Awards Summary'!$H:$H,'Awards Summary'!$B:$B,$C82,'Awards Summary'!$J:$J,"ELECTIONS")</f>
        <v>0</v>
      </c>
      <c r="U82" s="55">
        <f>SUMIFS('Disbursements Summary'!$E:$E,'Disbursements Summary'!$C:$C,$C82,'Disbursements Summary'!$A:$A,"ELECTIONS")</f>
        <v>0</v>
      </c>
      <c r="V82" s="55">
        <f>SUMIFS('Awards Summary'!$H:$H,'Awards Summary'!$B:$B,$C82,'Awards Summary'!$J:$J,"BFSA")</f>
        <v>0</v>
      </c>
      <c r="W82" s="55">
        <f>SUMIFS('Disbursements Summary'!$E:$E,'Disbursements Summary'!$C:$C,$C82,'Disbursements Summary'!$A:$A,"BFSA")</f>
        <v>0</v>
      </c>
      <c r="X82" s="55">
        <f>SUMIFS('Awards Summary'!$H:$H,'Awards Summary'!$B:$B,$C82,'Awards Summary'!$J:$J,"CDTA")</f>
        <v>0</v>
      </c>
      <c r="Y82" s="55">
        <f>SUMIFS('Disbursements Summary'!$E:$E,'Disbursements Summary'!$C:$C,$C82,'Disbursements Summary'!$A:$A,"CDTA")</f>
        <v>0</v>
      </c>
      <c r="Z82" s="55">
        <f>SUMIFS('Awards Summary'!$H:$H,'Awards Summary'!$B:$B,$C82,'Awards Summary'!$J:$J,"CCWSA")</f>
        <v>0</v>
      </c>
      <c r="AA82" s="55">
        <f>SUMIFS('Disbursements Summary'!$E:$E,'Disbursements Summary'!$C:$C,$C82,'Disbursements Summary'!$A:$A,"CCWSA")</f>
        <v>0</v>
      </c>
      <c r="AB82" s="55">
        <f>SUMIFS('Awards Summary'!$H:$H,'Awards Summary'!$B:$B,$C82,'Awards Summary'!$J:$J,"CNYRTA")</f>
        <v>0</v>
      </c>
      <c r="AC82" s="55">
        <f>SUMIFS('Disbursements Summary'!$E:$E,'Disbursements Summary'!$C:$C,$C82,'Disbursements Summary'!$A:$A,"CNYRTA")</f>
        <v>0</v>
      </c>
      <c r="AD82" s="55">
        <f>SUMIFS('Awards Summary'!$H:$H,'Awards Summary'!$B:$B,$C82,'Awards Summary'!$J:$J,"CUCF")</f>
        <v>0</v>
      </c>
      <c r="AE82" s="55">
        <f>SUMIFS('Disbursements Summary'!$E:$E,'Disbursements Summary'!$C:$C,$C82,'Disbursements Summary'!$A:$A,"CUCF")</f>
        <v>0</v>
      </c>
      <c r="AF82" s="55">
        <f>SUMIFS('Awards Summary'!$H:$H,'Awards Summary'!$B:$B,$C82,'Awards Summary'!$J:$J,"CUNY")</f>
        <v>0</v>
      </c>
      <c r="AG82" s="55">
        <f>SUMIFS('Disbursements Summary'!$E:$E,'Disbursements Summary'!$C:$C,$C82,'Disbursements Summary'!$A:$A,"CUNY")</f>
        <v>0</v>
      </c>
      <c r="AH82" s="55">
        <f>SUMIFS('Awards Summary'!$H:$H,'Awards Summary'!$B:$B,$C82,'Awards Summary'!$J:$J,"ARTS")</f>
        <v>0</v>
      </c>
      <c r="AI82" s="55">
        <f>SUMIFS('Disbursements Summary'!$E:$E,'Disbursements Summary'!$C:$C,$C82,'Disbursements Summary'!$A:$A,"ARTS")</f>
        <v>0</v>
      </c>
      <c r="AJ82" s="55">
        <f>SUMIFS('Awards Summary'!$H:$H,'Awards Summary'!$B:$B,$C82,'Awards Summary'!$J:$J,"AG&amp;MKTS")</f>
        <v>0</v>
      </c>
      <c r="AK82" s="55">
        <f>SUMIFS('Disbursements Summary'!$E:$E,'Disbursements Summary'!$C:$C,$C82,'Disbursements Summary'!$A:$A,"AG&amp;MKTS")</f>
        <v>0</v>
      </c>
      <c r="AL82" s="55">
        <f>SUMIFS('Awards Summary'!$H:$H,'Awards Summary'!$B:$B,$C82,'Awards Summary'!$J:$J,"CS")</f>
        <v>0</v>
      </c>
      <c r="AM82" s="55">
        <f>SUMIFS('Disbursements Summary'!$E:$E,'Disbursements Summary'!$C:$C,$C82,'Disbursements Summary'!$A:$A,"CS")</f>
        <v>0</v>
      </c>
      <c r="AN82" s="55">
        <f>SUMIFS('Awards Summary'!$H:$H,'Awards Summary'!$B:$B,$C82,'Awards Summary'!$J:$J,"DOCCS")</f>
        <v>0</v>
      </c>
      <c r="AO82" s="55">
        <f>SUMIFS('Disbursements Summary'!$E:$E,'Disbursements Summary'!$C:$C,$C82,'Disbursements Summary'!$A:$A,"DOCCS")</f>
        <v>0</v>
      </c>
      <c r="AP82" s="55">
        <f>SUMIFS('Awards Summary'!$H:$H,'Awards Summary'!$B:$B,$C82,'Awards Summary'!$J:$J,"DED")</f>
        <v>0</v>
      </c>
      <c r="AQ82" s="55">
        <f>SUMIFS('Disbursements Summary'!$E:$E,'Disbursements Summary'!$C:$C,$C82,'Disbursements Summary'!$A:$A,"DED")</f>
        <v>0</v>
      </c>
      <c r="AR82" s="55">
        <f>SUMIFS('Awards Summary'!$H:$H,'Awards Summary'!$B:$B,$C82,'Awards Summary'!$J:$J,"DEC")</f>
        <v>0</v>
      </c>
      <c r="AS82" s="55">
        <f>SUMIFS('Disbursements Summary'!$E:$E,'Disbursements Summary'!$C:$C,$C82,'Disbursements Summary'!$A:$A,"DEC")</f>
        <v>0</v>
      </c>
      <c r="AT82" s="55">
        <f>SUMIFS('Awards Summary'!$H:$H,'Awards Summary'!$B:$B,$C82,'Awards Summary'!$J:$J,"DFS")</f>
        <v>0</v>
      </c>
      <c r="AU82" s="55">
        <f>SUMIFS('Disbursements Summary'!$E:$E,'Disbursements Summary'!$C:$C,$C82,'Disbursements Summary'!$A:$A,"DFS")</f>
        <v>0</v>
      </c>
      <c r="AV82" s="55">
        <f>SUMIFS('Awards Summary'!$H:$H,'Awards Summary'!$B:$B,$C82,'Awards Summary'!$J:$J,"DOH")</f>
        <v>0</v>
      </c>
      <c r="AW82" s="55">
        <f>SUMIFS('Disbursements Summary'!$E:$E,'Disbursements Summary'!$C:$C,$C82,'Disbursements Summary'!$A:$A,"DOH")</f>
        <v>0</v>
      </c>
      <c r="AX82" s="55">
        <f>SUMIFS('Awards Summary'!$H:$H,'Awards Summary'!$B:$B,$C82,'Awards Summary'!$J:$J,"DOL")</f>
        <v>0</v>
      </c>
      <c r="AY82" s="55">
        <f>SUMIFS('Disbursements Summary'!$E:$E,'Disbursements Summary'!$C:$C,$C82,'Disbursements Summary'!$A:$A,"DOL")</f>
        <v>0</v>
      </c>
      <c r="AZ82" s="55">
        <f>SUMIFS('Awards Summary'!$H:$H,'Awards Summary'!$B:$B,$C82,'Awards Summary'!$J:$J,"DMV")</f>
        <v>0</v>
      </c>
      <c r="BA82" s="55">
        <f>SUMIFS('Disbursements Summary'!$E:$E,'Disbursements Summary'!$C:$C,$C82,'Disbursements Summary'!$A:$A,"DMV")</f>
        <v>0</v>
      </c>
      <c r="BB82" s="55">
        <f>SUMIFS('Awards Summary'!$H:$H,'Awards Summary'!$B:$B,$C82,'Awards Summary'!$J:$J,"DPS")</f>
        <v>0</v>
      </c>
      <c r="BC82" s="55">
        <f>SUMIFS('Disbursements Summary'!$E:$E,'Disbursements Summary'!$C:$C,$C82,'Disbursements Summary'!$A:$A,"DPS")</f>
        <v>0</v>
      </c>
      <c r="BD82" s="55">
        <f>SUMIFS('Awards Summary'!$H:$H,'Awards Summary'!$B:$B,$C82,'Awards Summary'!$J:$J,"DOS")</f>
        <v>0</v>
      </c>
      <c r="BE82" s="55">
        <f>SUMIFS('Disbursements Summary'!$E:$E,'Disbursements Summary'!$C:$C,$C82,'Disbursements Summary'!$A:$A,"DOS")</f>
        <v>0</v>
      </c>
      <c r="BF82" s="55">
        <f>SUMIFS('Awards Summary'!$H:$H,'Awards Summary'!$B:$B,$C82,'Awards Summary'!$J:$J,"TAX")</f>
        <v>0</v>
      </c>
      <c r="BG82" s="55">
        <f>SUMIFS('Disbursements Summary'!$E:$E,'Disbursements Summary'!$C:$C,$C82,'Disbursements Summary'!$A:$A,"TAX")</f>
        <v>0</v>
      </c>
      <c r="BH82" s="55">
        <f>SUMIFS('Awards Summary'!$H:$H,'Awards Summary'!$B:$B,$C82,'Awards Summary'!$J:$J,"DOT")</f>
        <v>0</v>
      </c>
      <c r="BI82" s="55">
        <f>SUMIFS('Disbursements Summary'!$E:$E,'Disbursements Summary'!$C:$C,$C82,'Disbursements Summary'!$A:$A,"DOT")</f>
        <v>0</v>
      </c>
      <c r="BJ82" s="55">
        <f>SUMIFS('Awards Summary'!$H:$H,'Awards Summary'!$B:$B,$C82,'Awards Summary'!$J:$J,"DANC")</f>
        <v>0</v>
      </c>
      <c r="BK82" s="55">
        <f>SUMIFS('Disbursements Summary'!$E:$E,'Disbursements Summary'!$C:$C,$C82,'Disbursements Summary'!$A:$A,"DANC")</f>
        <v>0</v>
      </c>
      <c r="BL82" s="55">
        <f>SUMIFS('Awards Summary'!$H:$H,'Awards Summary'!$B:$B,$C82,'Awards Summary'!$J:$J,"DOB")</f>
        <v>0</v>
      </c>
      <c r="BM82" s="55">
        <f>SUMIFS('Disbursements Summary'!$E:$E,'Disbursements Summary'!$C:$C,$C82,'Disbursements Summary'!$A:$A,"DOB")</f>
        <v>0</v>
      </c>
      <c r="BN82" s="55">
        <f>SUMIFS('Awards Summary'!$H:$H,'Awards Summary'!$B:$B,$C82,'Awards Summary'!$J:$J,"DCJS")</f>
        <v>0</v>
      </c>
      <c r="BO82" s="55">
        <f>SUMIFS('Disbursements Summary'!$E:$E,'Disbursements Summary'!$C:$C,$C82,'Disbursements Summary'!$A:$A,"DCJS")</f>
        <v>0</v>
      </c>
      <c r="BP82" s="55">
        <f>SUMIFS('Awards Summary'!$H:$H,'Awards Summary'!$B:$B,$C82,'Awards Summary'!$J:$J,"DHSES")</f>
        <v>0</v>
      </c>
      <c r="BQ82" s="55">
        <f>SUMIFS('Disbursements Summary'!$E:$E,'Disbursements Summary'!$C:$C,$C82,'Disbursements Summary'!$A:$A,"DHSES")</f>
        <v>0</v>
      </c>
      <c r="BR82" s="55">
        <f>SUMIFS('Awards Summary'!$H:$H,'Awards Summary'!$B:$B,$C82,'Awards Summary'!$J:$J,"DHR")</f>
        <v>0</v>
      </c>
      <c r="BS82" s="55">
        <f>SUMIFS('Disbursements Summary'!$E:$E,'Disbursements Summary'!$C:$C,$C82,'Disbursements Summary'!$A:$A,"DHR")</f>
        <v>0</v>
      </c>
      <c r="BT82" s="55">
        <f>SUMIFS('Awards Summary'!$H:$H,'Awards Summary'!$B:$B,$C82,'Awards Summary'!$J:$J,"DMNA")</f>
        <v>0</v>
      </c>
      <c r="BU82" s="55">
        <f>SUMIFS('Disbursements Summary'!$E:$E,'Disbursements Summary'!$C:$C,$C82,'Disbursements Summary'!$A:$A,"DMNA")</f>
        <v>0</v>
      </c>
      <c r="BV82" s="55">
        <f>SUMIFS('Awards Summary'!$H:$H,'Awards Summary'!$B:$B,$C82,'Awards Summary'!$J:$J,"TROOPERS")</f>
        <v>0</v>
      </c>
      <c r="BW82" s="55">
        <f>SUMIFS('Disbursements Summary'!$E:$E,'Disbursements Summary'!$C:$C,$C82,'Disbursements Summary'!$A:$A,"TROOPERS")</f>
        <v>0</v>
      </c>
      <c r="BX82" s="55">
        <f>SUMIFS('Awards Summary'!$H:$H,'Awards Summary'!$B:$B,$C82,'Awards Summary'!$J:$J,"DVA")</f>
        <v>0</v>
      </c>
      <c r="BY82" s="55">
        <f>SUMIFS('Disbursements Summary'!$E:$E,'Disbursements Summary'!$C:$C,$C82,'Disbursements Summary'!$A:$A,"DVA")</f>
        <v>0</v>
      </c>
      <c r="BZ82" s="55">
        <f>SUMIFS('Awards Summary'!$H:$H,'Awards Summary'!$B:$B,$C82,'Awards Summary'!$J:$J,"DASNY")</f>
        <v>0</v>
      </c>
      <c r="CA82" s="55">
        <f>SUMIFS('Disbursements Summary'!$E:$E,'Disbursements Summary'!$C:$C,$C82,'Disbursements Summary'!$A:$A,"DASNY")</f>
        <v>0</v>
      </c>
      <c r="CB82" s="55">
        <f>SUMIFS('Awards Summary'!$H:$H,'Awards Summary'!$B:$B,$C82,'Awards Summary'!$J:$J,"EGG")</f>
        <v>0</v>
      </c>
      <c r="CC82" s="55">
        <f>SUMIFS('Disbursements Summary'!$E:$E,'Disbursements Summary'!$C:$C,$C82,'Disbursements Summary'!$A:$A,"EGG")</f>
        <v>0</v>
      </c>
      <c r="CD82" s="55">
        <f>SUMIFS('Awards Summary'!$H:$H,'Awards Summary'!$B:$B,$C82,'Awards Summary'!$J:$J,"ESD")</f>
        <v>0</v>
      </c>
      <c r="CE82" s="55">
        <f>SUMIFS('Disbursements Summary'!$E:$E,'Disbursements Summary'!$C:$C,$C82,'Disbursements Summary'!$A:$A,"ESD")</f>
        <v>0</v>
      </c>
      <c r="CF82" s="55">
        <f>SUMIFS('Awards Summary'!$H:$H,'Awards Summary'!$B:$B,$C82,'Awards Summary'!$J:$J,"EFC")</f>
        <v>0</v>
      </c>
      <c r="CG82" s="55">
        <f>SUMIFS('Disbursements Summary'!$E:$E,'Disbursements Summary'!$C:$C,$C82,'Disbursements Summary'!$A:$A,"EFC")</f>
        <v>0</v>
      </c>
      <c r="CH82" s="55">
        <f>SUMIFS('Awards Summary'!$H:$H,'Awards Summary'!$B:$B,$C82,'Awards Summary'!$J:$J,"ECFSA")</f>
        <v>0</v>
      </c>
      <c r="CI82" s="55">
        <f>SUMIFS('Disbursements Summary'!$E:$E,'Disbursements Summary'!$C:$C,$C82,'Disbursements Summary'!$A:$A,"ECFSA")</f>
        <v>0</v>
      </c>
      <c r="CJ82" s="55">
        <f>SUMIFS('Awards Summary'!$H:$H,'Awards Summary'!$B:$B,$C82,'Awards Summary'!$J:$J,"ECMC")</f>
        <v>0</v>
      </c>
      <c r="CK82" s="55">
        <f>SUMIFS('Disbursements Summary'!$E:$E,'Disbursements Summary'!$C:$C,$C82,'Disbursements Summary'!$A:$A,"ECMC")</f>
        <v>0</v>
      </c>
      <c r="CL82" s="55">
        <f>SUMIFS('Awards Summary'!$H:$H,'Awards Summary'!$B:$B,$C82,'Awards Summary'!$J:$J,"CHAMBER")</f>
        <v>0</v>
      </c>
      <c r="CM82" s="55">
        <f>SUMIFS('Disbursements Summary'!$E:$E,'Disbursements Summary'!$C:$C,$C82,'Disbursements Summary'!$A:$A,"CHAMBER")</f>
        <v>0</v>
      </c>
      <c r="CN82" s="55">
        <f>SUMIFS('Awards Summary'!$H:$H,'Awards Summary'!$B:$B,$C82,'Awards Summary'!$J:$J,"GAMING")</f>
        <v>0</v>
      </c>
      <c r="CO82" s="55">
        <f>SUMIFS('Disbursements Summary'!$E:$E,'Disbursements Summary'!$C:$C,$C82,'Disbursements Summary'!$A:$A,"GAMING")</f>
        <v>0</v>
      </c>
      <c r="CP82" s="55">
        <f>SUMIFS('Awards Summary'!$H:$H,'Awards Summary'!$B:$B,$C82,'Awards Summary'!$J:$J,"GOER")</f>
        <v>0</v>
      </c>
      <c r="CQ82" s="55">
        <f>SUMIFS('Disbursements Summary'!$E:$E,'Disbursements Summary'!$C:$C,$C82,'Disbursements Summary'!$A:$A,"GOER")</f>
        <v>0</v>
      </c>
      <c r="CR82" s="55">
        <f>SUMIFS('Awards Summary'!$H:$H,'Awards Summary'!$B:$B,$C82,'Awards Summary'!$J:$J,"HESC")</f>
        <v>0</v>
      </c>
      <c r="CS82" s="55">
        <f>SUMIFS('Disbursements Summary'!$E:$E,'Disbursements Summary'!$C:$C,$C82,'Disbursements Summary'!$A:$A,"HESC")</f>
        <v>0</v>
      </c>
      <c r="CT82" s="55">
        <f>SUMIFS('Awards Summary'!$H:$H,'Awards Summary'!$B:$B,$C82,'Awards Summary'!$J:$J,"GOSR")</f>
        <v>0</v>
      </c>
      <c r="CU82" s="55">
        <f>SUMIFS('Disbursements Summary'!$E:$E,'Disbursements Summary'!$C:$C,$C82,'Disbursements Summary'!$A:$A,"GOSR")</f>
        <v>0</v>
      </c>
      <c r="CV82" s="55">
        <f>SUMIFS('Awards Summary'!$H:$H,'Awards Summary'!$B:$B,$C82,'Awards Summary'!$J:$J,"HRPT")</f>
        <v>0</v>
      </c>
      <c r="CW82" s="55">
        <f>SUMIFS('Disbursements Summary'!$E:$E,'Disbursements Summary'!$C:$C,$C82,'Disbursements Summary'!$A:$A,"HRPT")</f>
        <v>0</v>
      </c>
      <c r="CX82" s="55">
        <f>SUMIFS('Awards Summary'!$H:$H,'Awards Summary'!$B:$B,$C82,'Awards Summary'!$J:$J,"HRBRRD")</f>
        <v>0</v>
      </c>
      <c r="CY82" s="55">
        <f>SUMIFS('Disbursements Summary'!$E:$E,'Disbursements Summary'!$C:$C,$C82,'Disbursements Summary'!$A:$A,"HRBRRD")</f>
        <v>0</v>
      </c>
      <c r="CZ82" s="55">
        <f>SUMIFS('Awards Summary'!$H:$H,'Awards Summary'!$B:$B,$C82,'Awards Summary'!$J:$J,"ITS")</f>
        <v>0</v>
      </c>
      <c r="DA82" s="55">
        <f>SUMIFS('Disbursements Summary'!$E:$E,'Disbursements Summary'!$C:$C,$C82,'Disbursements Summary'!$A:$A,"ITS")</f>
        <v>0</v>
      </c>
      <c r="DB82" s="55">
        <f>SUMIFS('Awards Summary'!$H:$H,'Awards Summary'!$B:$B,$C82,'Awards Summary'!$J:$J,"JAVITS")</f>
        <v>0</v>
      </c>
      <c r="DC82" s="55">
        <f>SUMIFS('Disbursements Summary'!$E:$E,'Disbursements Summary'!$C:$C,$C82,'Disbursements Summary'!$A:$A,"JAVITS")</f>
        <v>0</v>
      </c>
      <c r="DD82" s="55">
        <f>SUMIFS('Awards Summary'!$H:$H,'Awards Summary'!$B:$B,$C82,'Awards Summary'!$J:$J,"JCOPE")</f>
        <v>0</v>
      </c>
      <c r="DE82" s="55">
        <f>SUMIFS('Disbursements Summary'!$E:$E,'Disbursements Summary'!$C:$C,$C82,'Disbursements Summary'!$A:$A,"JCOPE")</f>
        <v>0</v>
      </c>
      <c r="DF82" s="55">
        <f>SUMIFS('Awards Summary'!$H:$H,'Awards Summary'!$B:$B,$C82,'Awards Summary'!$J:$J,"JUSTICE")</f>
        <v>0</v>
      </c>
      <c r="DG82" s="55">
        <f>SUMIFS('Disbursements Summary'!$E:$E,'Disbursements Summary'!$C:$C,$C82,'Disbursements Summary'!$A:$A,"JUSTICE")</f>
        <v>0</v>
      </c>
      <c r="DH82" s="55">
        <f>SUMIFS('Awards Summary'!$H:$H,'Awards Summary'!$B:$B,$C82,'Awards Summary'!$J:$J,"LCWSA")</f>
        <v>0</v>
      </c>
      <c r="DI82" s="55">
        <f>SUMIFS('Disbursements Summary'!$E:$E,'Disbursements Summary'!$C:$C,$C82,'Disbursements Summary'!$A:$A,"LCWSA")</f>
        <v>0</v>
      </c>
      <c r="DJ82" s="55">
        <f>SUMIFS('Awards Summary'!$H:$H,'Awards Summary'!$B:$B,$C82,'Awards Summary'!$J:$J,"LIPA")</f>
        <v>0</v>
      </c>
      <c r="DK82" s="55">
        <f>SUMIFS('Disbursements Summary'!$E:$E,'Disbursements Summary'!$C:$C,$C82,'Disbursements Summary'!$A:$A,"LIPA")</f>
        <v>0</v>
      </c>
      <c r="DL82" s="55">
        <f>SUMIFS('Awards Summary'!$H:$H,'Awards Summary'!$B:$B,$C82,'Awards Summary'!$J:$J,"MTA")</f>
        <v>0</v>
      </c>
      <c r="DM82" s="55">
        <f>SUMIFS('Disbursements Summary'!$E:$E,'Disbursements Summary'!$C:$C,$C82,'Disbursements Summary'!$A:$A,"MTA")</f>
        <v>0</v>
      </c>
      <c r="DN82" s="55">
        <f>SUMIFS('Awards Summary'!$H:$H,'Awards Summary'!$B:$B,$C82,'Awards Summary'!$J:$J,"NIFA")</f>
        <v>0</v>
      </c>
      <c r="DO82" s="55">
        <f>SUMIFS('Disbursements Summary'!$E:$E,'Disbursements Summary'!$C:$C,$C82,'Disbursements Summary'!$A:$A,"NIFA")</f>
        <v>0</v>
      </c>
      <c r="DP82" s="55">
        <f>SUMIFS('Awards Summary'!$H:$H,'Awards Summary'!$B:$B,$C82,'Awards Summary'!$J:$J,"NHCC")</f>
        <v>0</v>
      </c>
      <c r="DQ82" s="55">
        <f>SUMIFS('Disbursements Summary'!$E:$E,'Disbursements Summary'!$C:$C,$C82,'Disbursements Summary'!$A:$A,"NHCC")</f>
        <v>0</v>
      </c>
      <c r="DR82" s="55">
        <f>SUMIFS('Awards Summary'!$H:$H,'Awards Summary'!$B:$B,$C82,'Awards Summary'!$J:$J,"NHT")</f>
        <v>0</v>
      </c>
      <c r="DS82" s="55">
        <f>SUMIFS('Disbursements Summary'!$E:$E,'Disbursements Summary'!$C:$C,$C82,'Disbursements Summary'!$A:$A,"NHT")</f>
        <v>0</v>
      </c>
      <c r="DT82" s="55">
        <f>SUMIFS('Awards Summary'!$H:$H,'Awards Summary'!$B:$B,$C82,'Awards Summary'!$J:$J,"NYPA")</f>
        <v>0</v>
      </c>
      <c r="DU82" s="55">
        <f>SUMIFS('Disbursements Summary'!$E:$E,'Disbursements Summary'!$C:$C,$C82,'Disbursements Summary'!$A:$A,"NYPA")</f>
        <v>0</v>
      </c>
      <c r="DV82" s="55">
        <f>SUMIFS('Awards Summary'!$H:$H,'Awards Summary'!$B:$B,$C82,'Awards Summary'!$J:$J,"NYSBA")</f>
        <v>0</v>
      </c>
      <c r="DW82" s="55">
        <f>SUMIFS('Disbursements Summary'!$E:$E,'Disbursements Summary'!$C:$C,$C82,'Disbursements Summary'!$A:$A,"NYSBA")</f>
        <v>0</v>
      </c>
      <c r="DX82" s="55">
        <f>SUMIFS('Awards Summary'!$H:$H,'Awards Summary'!$B:$B,$C82,'Awards Summary'!$J:$J,"NYSERDA")</f>
        <v>0</v>
      </c>
      <c r="DY82" s="55">
        <f>SUMIFS('Disbursements Summary'!$E:$E,'Disbursements Summary'!$C:$C,$C82,'Disbursements Summary'!$A:$A,"NYSERDA")</f>
        <v>0</v>
      </c>
      <c r="DZ82" s="55">
        <f>SUMIFS('Awards Summary'!$H:$H,'Awards Summary'!$B:$B,$C82,'Awards Summary'!$J:$J,"DHCR")</f>
        <v>0</v>
      </c>
      <c r="EA82" s="55">
        <f>SUMIFS('Disbursements Summary'!$E:$E,'Disbursements Summary'!$C:$C,$C82,'Disbursements Summary'!$A:$A,"DHCR")</f>
        <v>0</v>
      </c>
      <c r="EB82" s="55">
        <f>SUMIFS('Awards Summary'!$H:$H,'Awards Summary'!$B:$B,$C82,'Awards Summary'!$J:$J,"HFA")</f>
        <v>0</v>
      </c>
      <c r="EC82" s="55">
        <f>SUMIFS('Disbursements Summary'!$E:$E,'Disbursements Summary'!$C:$C,$C82,'Disbursements Summary'!$A:$A,"HFA")</f>
        <v>0</v>
      </c>
      <c r="ED82" s="55">
        <f>SUMIFS('Awards Summary'!$H:$H,'Awards Summary'!$B:$B,$C82,'Awards Summary'!$J:$J,"NYSIF")</f>
        <v>0</v>
      </c>
      <c r="EE82" s="55">
        <f>SUMIFS('Disbursements Summary'!$E:$E,'Disbursements Summary'!$C:$C,$C82,'Disbursements Summary'!$A:$A,"NYSIF")</f>
        <v>0</v>
      </c>
      <c r="EF82" s="55">
        <f>SUMIFS('Awards Summary'!$H:$H,'Awards Summary'!$B:$B,$C82,'Awards Summary'!$J:$J,"NYBREDS")</f>
        <v>0</v>
      </c>
      <c r="EG82" s="55">
        <f>SUMIFS('Disbursements Summary'!$E:$E,'Disbursements Summary'!$C:$C,$C82,'Disbursements Summary'!$A:$A,"NYBREDS")</f>
        <v>0</v>
      </c>
      <c r="EH82" s="55">
        <f>SUMIFS('Awards Summary'!$H:$H,'Awards Summary'!$B:$B,$C82,'Awards Summary'!$J:$J,"NYSTA")</f>
        <v>0</v>
      </c>
      <c r="EI82" s="55">
        <f>SUMIFS('Disbursements Summary'!$E:$E,'Disbursements Summary'!$C:$C,$C82,'Disbursements Summary'!$A:$A,"NYSTA")</f>
        <v>0</v>
      </c>
      <c r="EJ82" s="55">
        <f>SUMIFS('Awards Summary'!$H:$H,'Awards Summary'!$B:$B,$C82,'Awards Summary'!$J:$J,"NFWB")</f>
        <v>0</v>
      </c>
      <c r="EK82" s="55">
        <f>SUMIFS('Disbursements Summary'!$E:$E,'Disbursements Summary'!$C:$C,$C82,'Disbursements Summary'!$A:$A,"NFWB")</f>
        <v>0</v>
      </c>
      <c r="EL82" s="55">
        <f>SUMIFS('Awards Summary'!$H:$H,'Awards Summary'!$B:$B,$C82,'Awards Summary'!$J:$J,"NFTA")</f>
        <v>0</v>
      </c>
      <c r="EM82" s="55">
        <f>SUMIFS('Disbursements Summary'!$E:$E,'Disbursements Summary'!$C:$C,$C82,'Disbursements Summary'!$A:$A,"NFTA")</f>
        <v>0</v>
      </c>
      <c r="EN82" s="55">
        <f>SUMIFS('Awards Summary'!$H:$H,'Awards Summary'!$B:$B,$C82,'Awards Summary'!$J:$J,"OPWDD")</f>
        <v>0</v>
      </c>
      <c r="EO82" s="55">
        <f>SUMIFS('Disbursements Summary'!$E:$E,'Disbursements Summary'!$C:$C,$C82,'Disbursements Summary'!$A:$A,"OPWDD")</f>
        <v>0</v>
      </c>
      <c r="EP82" s="55">
        <f>SUMIFS('Awards Summary'!$H:$H,'Awards Summary'!$B:$B,$C82,'Awards Summary'!$J:$J,"AGING")</f>
        <v>0</v>
      </c>
      <c r="EQ82" s="55">
        <f>SUMIFS('Disbursements Summary'!$E:$E,'Disbursements Summary'!$C:$C,$C82,'Disbursements Summary'!$A:$A,"AGING")</f>
        <v>0</v>
      </c>
      <c r="ER82" s="55">
        <f>SUMIFS('Awards Summary'!$H:$H,'Awards Summary'!$B:$B,$C82,'Awards Summary'!$J:$J,"OPDV")</f>
        <v>0</v>
      </c>
      <c r="ES82" s="55">
        <f>SUMIFS('Disbursements Summary'!$E:$E,'Disbursements Summary'!$C:$C,$C82,'Disbursements Summary'!$A:$A,"OPDV")</f>
        <v>0</v>
      </c>
      <c r="ET82" s="55">
        <f>SUMIFS('Awards Summary'!$H:$H,'Awards Summary'!$B:$B,$C82,'Awards Summary'!$J:$J,"OVS")</f>
        <v>0</v>
      </c>
      <c r="EU82" s="55">
        <f>SUMIFS('Disbursements Summary'!$E:$E,'Disbursements Summary'!$C:$C,$C82,'Disbursements Summary'!$A:$A,"OVS")</f>
        <v>0</v>
      </c>
      <c r="EV82" s="55">
        <f>SUMIFS('Awards Summary'!$H:$H,'Awards Summary'!$B:$B,$C82,'Awards Summary'!$J:$J,"OASAS")</f>
        <v>0</v>
      </c>
      <c r="EW82" s="55">
        <f>SUMIFS('Disbursements Summary'!$E:$E,'Disbursements Summary'!$C:$C,$C82,'Disbursements Summary'!$A:$A,"OASAS")</f>
        <v>0</v>
      </c>
      <c r="EX82" s="55">
        <f>SUMIFS('Awards Summary'!$H:$H,'Awards Summary'!$B:$B,$C82,'Awards Summary'!$J:$J,"OCFS")</f>
        <v>0</v>
      </c>
      <c r="EY82" s="55">
        <f>SUMIFS('Disbursements Summary'!$E:$E,'Disbursements Summary'!$C:$C,$C82,'Disbursements Summary'!$A:$A,"OCFS")</f>
        <v>0</v>
      </c>
      <c r="EZ82" s="55">
        <f>SUMIFS('Awards Summary'!$H:$H,'Awards Summary'!$B:$B,$C82,'Awards Summary'!$J:$J,"OGS")</f>
        <v>0</v>
      </c>
      <c r="FA82" s="55">
        <f>SUMIFS('Disbursements Summary'!$E:$E,'Disbursements Summary'!$C:$C,$C82,'Disbursements Summary'!$A:$A,"OGS")</f>
        <v>0</v>
      </c>
      <c r="FB82" s="55">
        <f>SUMIFS('Awards Summary'!$H:$H,'Awards Summary'!$B:$B,$C82,'Awards Summary'!$J:$J,"OMH")</f>
        <v>0</v>
      </c>
      <c r="FC82" s="55">
        <f>SUMIFS('Disbursements Summary'!$E:$E,'Disbursements Summary'!$C:$C,$C82,'Disbursements Summary'!$A:$A,"OMH")</f>
        <v>0</v>
      </c>
      <c r="FD82" s="55">
        <f>SUMIFS('Awards Summary'!$H:$H,'Awards Summary'!$B:$B,$C82,'Awards Summary'!$J:$J,"PARKS")</f>
        <v>0</v>
      </c>
      <c r="FE82" s="55">
        <f>SUMIFS('Disbursements Summary'!$E:$E,'Disbursements Summary'!$C:$C,$C82,'Disbursements Summary'!$A:$A,"PARKS")</f>
        <v>0</v>
      </c>
      <c r="FF82" s="55">
        <f>SUMIFS('Awards Summary'!$H:$H,'Awards Summary'!$B:$B,$C82,'Awards Summary'!$J:$J,"OTDA")</f>
        <v>0</v>
      </c>
      <c r="FG82" s="55">
        <f>SUMIFS('Disbursements Summary'!$E:$E,'Disbursements Summary'!$C:$C,$C82,'Disbursements Summary'!$A:$A,"OTDA")</f>
        <v>0</v>
      </c>
      <c r="FH82" s="55">
        <f>SUMIFS('Awards Summary'!$H:$H,'Awards Summary'!$B:$B,$C82,'Awards Summary'!$J:$J,"OIG")</f>
        <v>0</v>
      </c>
      <c r="FI82" s="55">
        <f>SUMIFS('Disbursements Summary'!$E:$E,'Disbursements Summary'!$C:$C,$C82,'Disbursements Summary'!$A:$A,"OIG")</f>
        <v>0</v>
      </c>
      <c r="FJ82" s="55">
        <f>SUMIFS('Awards Summary'!$H:$H,'Awards Summary'!$B:$B,$C82,'Awards Summary'!$J:$J,"OMIG")</f>
        <v>0</v>
      </c>
      <c r="FK82" s="55">
        <f>SUMIFS('Disbursements Summary'!$E:$E,'Disbursements Summary'!$C:$C,$C82,'Disbursements Summary'!$A:$A,"OMIG")</f>
        <v>0</v>
      </c>
      <c r="FL82" s="55">
        <f>SUMIFS('Awards Summary'!$H:$H,'Awards Summary'!$B:$B,$C82,'Awards Summary'!$J:$J,"OSC")</f>
        <v>0</v>
      </c>
      <c r="FM82" s="55">
        <f>SUMIFS('Disbursements Summary'!$E:$E,'Disbursements Summary'!$C:$C,$C82,'Disbursements Summary'!$A:$A,"OSC")</f>
        <v>0</v>
      </c>
      <c r="FN82" s="55">
        <f>SUMIFS('Awards Summary'!$H:$H,'Awards Summary'!$B:$B,$C82,'Awards Summary'!$J:$J,"OWIG")</f>
        <v>0</v>
      </c>
      <c r="FO82" s="55">
        <f>SUMIFS('Disbursements Summary'!$E:$E,'Disbursements Summary'!$C:$C,$C82,'Disbursements Summary'!$A:$A,"OWIG")</f>
        <v>0</v>
      </c>
      <c r="FP82" s="55">
        <f>SUMIFS('Awards Summary'!$H:$H,'Awards Summary'!$B:$B,$C82,'Awards Summary'!$J:$J,"OGDEN")</f>
        <v>0</v>
      </c>
      <c r="FQ82" s="55">
        <f>SUMIFS('Disbursements Summary'!$E:$E,'Disbursements Summary'!$C:$C,$C82,'Disbursements Summary'!$A:$A,"OGDEN")</f>
        <v>0</v>
      </c>
      <c r="FR82" s="55">
        <f>SUMIFS('Awards Summary'!$H:$H,'Awards Summary'!$B:$B,$C82,'Awards Summary'!$J:$J,"ORDA")</f>
        <v>0</v>
      </c>
      <c r="FS82" s="55">
        <f>SUMIFS('Disbursements Summary'!$E:$E,'Disbursements Summary'!$C:$C,$C82,'Disbursements Summary'!$A:$A,"ORDA")</f>
        <v>0</v>
      </c>
      <c r="FT82" s="55">
        <f>SUMIFS('Awards Summary'!$H:$H,'Awards Summary'!$B:$B,$C82,'Awards Summary'!$J:$J,"OSWEGO")</f>
        <v>0</v>
      </c>
      <c r="FU82" s="55">
        <f>SUMIFS('Disbursements Summary'!$E:$E,'Disbursements Summary'!$C:$C,$C82,'Disbursements Summary'!$A:$A,"OSWEGO")</f>
        <v>0</v>
      </c>
      <c r="FV82" s="55">
        <f>SUMIFS('Awards Summary'!$H:$H,'Awards Summary'!$B:$B,$C82,'Awards Summary'!$J:$J,"PERB")</f>
        <v>0</v>
      </c>
      <c r="FW82" s="55">
        <f>SUMIFS('Disbursements Summary'!$E:$E,'Disbursements Summary'!$C:$C,$C82,'Disbursements Summary'!$A:$A,"PERB")</f>
        <v>0</v>
      </c>
      <c r="FX82" s="55">
        <f>SUMIFS('Awards Summary'!$H:$H,'Awards Summary'!$B:$B,$C82,'Awards Summary'!$J:$J,"RGRTA")</f>
        <v>0</v>
      </c>
      <c r="FY82" s="55">
        <f>SUMIFS('Disbursements Summary'!$E:$E,'Disbursements Summary'!$C:$C,$C82,'Disbursements Summary'!$A:$A,"RGRTA")</f>
        <v>0</v>
      </c>
      <c r="FZ82" s="55">
        <f>SUMIFS('Awards Summary'!$H:$H,'Awards Summary'!$B:$B,$C82,'Awards Summary'!$J:$J,"RIOC")</f>
        <v>0</v>
      </c>
      <c r="GA82" s="55">
        <f>SUMIFS('Disbursements Summary'!$E:$E,'Disbursements Summary'!$C:$C,$C82,'Disbursements Summary'!$A:$A,"RIOC")</f>
        <v>0</v>
      </c>
      <c r="GB82" s="55">
        <f>SUMIFS('Awards Summary'!$H:$H,'Awards Summary'!$B:$B,$C82,'Awards Summary'!$J:$J,"RPCI")</f>
        <v>0</v>
      </c>
      <c r="GC82" s="55">
        <f>SUMIFS('Disbursements Summary'!$E:$E,'Disbursements Summary'!$C:$C,$C82,'Disbursements Summary'!$A:$A,"RPCI")</f>
        <v>0</v>
      </c>
      <c r="GD82" s="55">
        <f>SUMIFS('Awards Summary'!$H:$H,'Awards Summary'!$B:$B,$C82,'Awards Summary'!$J:$J,"SMDA")</f>
        <v>0</v>
      </c>
      <c r="GE82" s="55">
        <f>SUMIFS('Disbursements Summary'!$E:$E,'Disbursements Summary'!$C:$C,$C82,'Disbursements Summary'!$A:$A,"SMDA")</f>
        <v>0</v>
      </c>
      <c r="GF82" s="55">
        <f>SUMIFS('Awards Summary'!$H:$H,'Awards Summary'!$B:$B,$C82,'Awards Summary'!$J:$J,"SCOC")</f>
        <v>0</v>
      </c>
      <c r="GG82" s="55">
        <f>SUMIFS('Disbursements Summary'!$E:$E,'Disbursements Summary'!$C:$C,$C82,'Disbursements Summary'!$A:$A,"SCOC")</f>
        <v>0</v>
      </c>
      <c r="GH82" s="55">
        <f>SUMIFS('Awards Summary'!$H:$H,'Awards Summary'!$B:$B,$C82,'Awards Summary'!$J:$J,"SUCF")</f>
        <v>0</v>
      </c>
      <c r="GI82" s="55">
        <f>SUMIFS('Disbursements Summary'!$E:$E,'Disbursements Summary'!$C:$C,$C82,'Disbursements Summary'!$A:$A,"SUCF")</f>
        <v>0</v>
      </c>
      <c r="GJ82" s="55">
        <f>SUMIFS('Awards Summary'!$H:$H,'Awards Summary'!$B:$B,$C82,'Awards Summary'!$J:$J,"SUNY")</f>
        <v>0</v>
      </c>
      <c r="GK82" s="55">
        <f>SUMIFS('Disbursements Summary'!$E:$E,'Disbursements Summary'!$C:$C,$C82,'Disbursements Summary'!$A:$A,"SUNY")</f>
        <v>0</v>
      </c>
      <c r="GL82" s="55">
        <f>SUMIFS('Awards Summary'!$H:$H,'Awards Summary'!$B:$B,$C82,'Awards Summary'!$J:$J,"SRAA")</f>
        <v>0</v>
      </c>
      <c r="GM82" s="55">
        <f>SUMIFS('Disbursements Summary'!$E:$E,'Disbursements Summary'!$C:$C,$C82,'Disbursements Summary'!$A:$A,"SRAA")</f>
        <v>0</v>
      </c>
      <c r="GN82" s="55">
        <f>SUMIFS('Awards Summary'!$H:$H,'Awards Summary'!$B:$B,$C82,'Awards Summary'!$J:$J,"UNDC")</f>
        <v>0</v>
      </c>
      <c r="GO82" s="55">
        <f>SUMIFS('Disbursements Summary'!$E:$E,'Disbursements Summary'!$C:$C,$C82,'Disbursements Summary'!$A:$A,"UNDC")</f>
        <v>0</v>
      </c>
      <c r="GP82" s="55">
        <f>SUMIFS('Awards Summary'!$H:$H,'Awards Summary'!$B:$B,$C82,'Awards Summary'!$J:$J,"MVWA")</f>
        <v>0</v>
      </c>
      <c r="GQ82" s="55">
        <f>SUMIFS('Disbursements Summary'!$E:$E,'Disbursements Summary'!$C:$C,$C82,'Disbursements Summary'!$A:$A,"MVWA")</f>
        <v>0</v>
      </c>
      <c r="GR82" s="55">
        <f>SUMIFS('Awards Summary'!$H:$H,'Awards Summary'!$B:$B,$C82,'Awards Summary'!$J:$J,"WMC")</f>
        <v>0</v>
      </c>
      <c r="GS82" s="55">
        <f>SUMIFS('Disbursements Summary'!$E:$E,'Disbursements Summary'!$C:$C,$C82,'Disbursements Summary'!$A:$A,"WMC")</f>
        <v>0</v>
      </c>
      <c r="GT82" s="55">
        <f>SUMIFS('Awards Summary'!$H:$H,'Awards Summary'!$B:$B,$C82,'Awards Summary'!$J:$J,"WCB")</f>
        <v>0</v>
      </c>
      <c r="GU82" s="55">
        <f>SUMIFS('Disbursements Summary'!$E:$E,'Disbursements Summary'!$C:$C,$C82,'Disbursements Summary'!$A:$A,"WCB")</f>
        <v>0</v>
      </c>
      <c r="GV82" s="32">
        <f t="shared" si="5"/>
        <v>0</v>
      </c>
      <c r="GW82" s="32">
        <f t="shared" si="6"/>
        <v>0</v>
      </c>
      <c r="GX82" s="30" t="b">
        <f t="shared" si="7"/>
        <v>1</v>
      </c>
      <c r="GY82" s="30" t="b">
        <f t="shared" si="8"/>
        <v>1</v>
      </c>
    </row>
    <row r="83" spans="1:207" s="30" customFormat="1">
      <c r="A83" s="22" t="str">
        <f t="shared" si="9"/>
        <v/>
      </c>
      <c r="B83" s="40" t="s">
        <v>224</v>
      </c>
      <c r="C83" s="16">
        <v>151163</v>
      </c>
      <c r="D83" s="26">
        <f>COUNTIF('Awards Summary'!B:B,"151163")</f>
        <v>0</v>
      </c>
      <c r="E83" s="45">
        <f>SUMIFS('Awards Summary'!H:H,'Awards Summary'!B:B,"151163")</f>
        <v>0</v>
      </c>
      <c r="F83" s="46">
        <f>SUMIFS('Disbursements Summary'!E:E,'Disbursements Summary'!C:C, "151163")</f>
        <v>0</v>
      </c>
      <c r="H83" s="55">
        <f>SUMIFS('Awards Summary'!$H:$H,'Awards Summary'!$B:$B,$C83,'Awards Summary'!$J:$J,"APA")</f>
        <v>0</v>
      </c>
      <c r="I83" s="55">
        <f>SUMIFS('Disbursements Summary'!$E:$E,'Disbursements Summary'!$C:$C,$C83,'Disbursements Summary'!$A:$A,"APA")</f>
        <v>0</v>
      </c>
      <c r="J83" s="55">
        <f>SUMIFS('Awards Summary'!$H:$H,'Awards Summary'!$B:$B,$C83,'Awards Summary'!$J:$J,"Ag&amp;Horse")</f>
        <v>0</v>
      </c>
      <c r="K83" s="55">
        <f>SUMIFS('Disbursements Summary'!$E:$E,'Disbursements Summary'!$C:$C,$C83,'Disbursements Summary'!$A:$A,"Ag&amp;Horse")</f>
        <v>0</v>
      </c>
      <c r="L83" s="55">
        <f>SUMIFS('Awards Summary'!$H:$H,'Awards Summary'!$B:$B,$C83,'Awards Summary'!$J:$J,"ACAA")</f>
        <v>0</v>
      </c>
      <c r="M83" s="55">
        <f>SUMIFS('Disbursements Summary'!$E:$E,'Disbursements Summary'!$C:$C,$C83,'Disbursements Summary'!$A:$A,"ACAA")</f>
        <v>0</v>
      </c>
      <c r="N83" s="55">
        <f>SUMIFS('Awards Summary'!$H:$H,'Awards Summary'!$B:$B,$C83,'Awards Summary'!$J:$J,"PortAlbany")</f>
        <v>0</v>
      </c>
      <c r="O83" s="55">
        <f>SUMIFS('Disbursements Summary'!$E:$E,'Disbursements Summary'!$C:$C,$C83,'Disbursements Summary'!$A:$A,"PortAlbany")</f>
        <v>0</v>
      </c>
      <c r="P83" s="55">
        <f>SUMIFS('Awards Summary'!$H:$H,'Awards Summary'!$B:$B,$C83,'Awards Summary'!$J:$J,"SLA")</f>
        <v>0</v>
      </c>
      <c r="Q83" s="55">
        <f>SUMIFS('Disbursements Summary'!$E:$E,'Disbursements Summary'!$C:$C,$C83,'Disbursements Summary'!$A:$A,"SLA")</f>
        <v>0</v>
      </c>
      <c r="R83" s="55">
        <f>SUMIFS('Awards Summary'!$H:$H,'Awards Summary'!$B:$B,$C83,'Awards Summary'!$J:$J,"BPCA")</f>
        <v>0</v>
      </c>
      <c r="S83" s="55">
        <f>SUMIFS('Disbursements Summary'!$E:$E,'Disbursements Summary'!$C:$C,$C83,'Disbursements Summary'!$A:$A,"BPCA")</f>
        <v>0</v>
      </c>
      <c r="T83" s="55">
        <f>SUMIFS('Awards Summary'!$H:$H,'Awards Summary'!$B:$B,$C83,'Awards Summary'!$J:$J,"ELECTIONS")</f>
        <v>0</v>
      </c>
      <c r="U83" s="55">
        <f>SUMIFS('Disbursements Summary'!$E:$E,'Disbursements Summary'!$C:$C,$C83,'Disbursements Summary'!$A:$A,"ELECTIONS")</f>
        <v>0</v>
      </c>
      <c r="V83" s="55">
        <f>SUMIFS('Awards Summary'!$H:$H,'Awards Summary'!$B:$B,$C83,'Awards Summary'!$J:$J,"BFSA")</f>
        <v>0</v>
      </c>
      <c r="W83" s="55">
        <f>SUMIFS('Disbursements Summary'!$E:$E,'Disbursements Summary'!$C:$C,$C83,'Disbursements Summary'!$A:$A,"BFSA")</f>
        <v>0</v>
      </c>
      <c r="X83" s="55">
        <f>SUMIFS('Awards Summary'!$H:$H,'Awards Summary'!$B:$B,$C83,'Awards Summary'!$J:$J,"CDTA")</f>
        <v>0</v>
      </c>
      <c r="Y83" s="55">
        <f>SUMIFS('Disbursements Summary'!$E:$E,'Disbursements Summary'!$C:$C,$C83,'Disbursements Summary'!$A:$A,"CDTA")</f>
        <v>0</v>
      </c>
      <c r="Z83" s="55">
        <f>SUMIFS('Awards Summary'!$H:$H,'Awards Summary'!$B:$B,$C83,'Awards Summary'!$J:$J,"CCWSA")</f>
        <v>0</v>
      </c>
      <c r="AA83" s="55">
        <f>SUMIFS('Disbursements Summary'!$E:$E,'Disbursements Summary'!$C:$C,$C83,'Disbursements Summary'!$A:$A,"CCWSA")</f>
        <v>0</v>
      </c>
      <c r="AB83" s="55">
        <f>SUMIFS('Awards Summary'!$H:$H,'Awards Summary'!$B:$B,$C83,'Awards Summary'!$J:$J,"CNYRTA")</f>
        <v>0</v>
      </c>
      <c r="AC83" s="55">
        <f>SUMIFS('Disbursements Summary'!$E:$E,'Disbursements Summary'!$C:$C,$C83,'Disbursements Summary'!$A:$A,"CNYRTA")</f>
        <v>0</v>
      </c>
      <c r="AD83" s="55">
        <f>SUMIFS('Awards Summary'!$H:$H,'Awards Summary'!$B:$B,$C83,'Awards Summary'!$J:$J,"CUCF")</f>
        <v>0</v>
      </c>
      <c r="AE83" s="55">
        <f>SUMIFS('Disbursements Summary'!$E:$E,'Disbursements Summary'!$C:$C,$C83,'Disbursements Summary'!$A:$A,"CUCF")</f>
        <v>0</v>
      </c>
      <c r="AF83" s="55">
        <f>SUMIFS('Awards Summary'!$H:$H,'Awards Summary'!$B:$B,$C83,'Awards Summary'!$J:$J,"CUNY")</f>
        <v>0</v>
      </c>
      <c r="AG83" s="55">
        <f>SUMIFS('Disbursements Summary'!$E:$E,'Disbursements Summary'!$C:$C,$C83,'Disbursements Summary'!$A:$A,"CUNY")</f>
        <v>0</v>
      </c>
      <c r="AH83" s="55">
        <f>SUMIFS('Awards Summary'!$H:$H,'Awards Summary'!$B:$B,$C83,'Awards Summary'!$J:$J,"ARTS")</f>
        <v>0</v>
      </c>
      <c r="AI83" s="55">
        <f>SUMIFS('Disbursements Summary'!$E:$E,'Disbursements Summary'!$C:$C,$C83,'Disbursements Summary'!$A:$A,"ARTS")</f>
        <v>0</v>
      </c>
      <c r="AJ83" s="55">
        <f>SUMIFS('Awards Summary'!$H:$H,'Awards Summary'!$B:$B,$C83,'Awards Summary'!$J:$J,"AG&amp;MKTS")</f>
        <v>0</v>
      </c>
      <c r="AK83" s="55">
        <f>SUMIFS('Disbursements Summary'!$E:$E,'Disbursements Summary'!$C:$C,$C83,'Disbursements Summary'!$A:$A,"AG&amp;MKTS")</f>
        <v>0</v>
      </c>
      <c r="AL83" s="55">
        <f>SUMIFS('Awards Summary'!$H:$H,'Awards Summary'!$B:$B,$C83,'Awards Summary'!$J:$J,"CS")</f>
        <v>0</v>
      </c>
      <c r="AM83" s="55">
        <f>SUMIFS('Disbursements Summary'!$E:$E,'Disbursements Summary'!$C:$C,$C83,'Disbursements Summary'!$A:$A,"CS")</f>
        <v>0</v>
      </c>
      <c r="AN83" s="55">
        <f>SUMIFS('Awards Summary'!$H:$H,'Awards Summary'!$B:$B,$C83,'Awards Summary'!$J:$J,"DOCCS")</f>
        <v>0</v>
      </c>
      <c r="AO83" s="55">
        <f>SUMIFS('Disbursements Summary'!$E:$E,'Disbursements Summary'!$C:$C,$C83,'Disbursements Summary'!$A:$A,"DOCCS")</f>
        <v>0</v>
      </c>
      <c r="AP83" s="55">
        <f>SUMIFS('Awards Summary'!$H:$H,'Awards Summary'!$B:$B,$C83,'Awards Summary'!$J:$J,"DED")</f>
        <v>0</v>
      </c>
      <c r="AQ83" s="55">
        <f>SUMIFS('Disbursements Summary'!$E:$E,'Disbursements Summary'!$C:$C,$C83,'Disbursements Summary'!$A:$A,"DED")</f>
        <v>0</v>
      </c>
      <c r="AR83" s="55">
        <f>SUMIFS('Awards Summary'!$H:$H,'Awards Summary'!$B:$B,$C83,'Awards Summary'!$J:$J,"DEC")</f>
        <v>0</v>
      </c>
      <c r="AS83" s="55">
        <f>SUMIFS('Disbursements Summary'!$E:$E,'Disbursements Summary'!$C:$C,$C83,'Disbursements Summary'!$A:$A,"DEC")</f>
        <v>0</v>
      </c>
      <c r="AT83" s="55">
        <f>SUMIFS('Awards Summary'!$H:$H,'Awards Summary'!$B:$B,$C83,'Awards Summary'!$J:$J,"DFS")</f>
        <v>0</v>
      </c>
      <c r="AU83" s="55">
        <f>SUMIFS('Disbursements Summary'!$E:$E,'Disbursements Summary'!$C:$C,$C83,'Disbursements Summary'!$A:$A,"DFS")</f>
        <v>0</v>
      </c>
      <c r="AV83" s="55">
        <f>SUMIFS('Awards Summary'!$H:$H,'Awards Summary'!$B:$B,$C83,'Awards Summary'!$J:$J,"DOH")</f>
        <v>0</v>
      </c>
      <c r="AW83" s="55">
        <f>SUMIFS('Disbursements Summary'!$E:$E,'Disbursements Summary'!$C:$C,$C83,'Disbursements Summary'!$A:$A,"DOH")</f>
        <v>0</v>
      </c>
      <c r="AX83" s="55">
        <f>SUMIFS('Awards Summary'!$H:$H,'Awards Summary'!$B:$B,$C83,'Awards Summary'!$J:$J,"DOL")</f>
        <v>0</v>
      </c>
      <c r="AY83" s="55">
        <f>SUMIFS('Disbursements Summary'!$E:$E,'Disbursements Summary'!$C:$C,$C83,'Disbursements Summary'!$A:$A,"DOL")</f>
        <v>0</v>
      </c>
      <c r="AZ83" s="55">
        <f>SUMIFS('Awards Summary'!$H:$H,'Awards Summary'!$B:$B,$C83,'Awards Summary'!$J:$J,"DMV")</f>
        <v>0</v>
      </c>
      <c r="BA83" s="55">
        <f>SUMIFS('Disbursements Summary'!$E:$E,'Disbursements Summary'!$C:$C,$C83,'Disbursements Summary'!$A:$A,"DMV")</f>
        <v>0</v>
      </c>
      <c r="BB83" s="55">
        <f>SUMIFS('Awards Summary'!$H:$H,'Awards Summary'!$B:$B,$C83,'Awards Summary'!$J:$J,"DPS")</f>
        <v>0</v>
      </c>
      <c r="BC83" s="55">
        <f>SUMIFS('Disbursements Summary'!$E:$E,'Disbursements Summary'!$C:$C,$C83,'Disbursements Summary'!$A:$A,"DPS")</f>
        <v>0</v>
      </c>
      <c r="BD83" s="55">
        <f>SUMIFS('Awards Summary'!$H:$H,'Awards Summary'!$B:$B,$C83,'Awards Summary'!$J:$J,"DOS")</f>
        <v>0</v>
      </c>
      <c r="BE83" s="55">
        <f>SUMIFS('Disbursements Summary'!$E:$E,'Disbursements Summary'!$C:$C,$C83,'Disbursements Summary'!$A:$A,"DOS")</f>
        <v>0</v>
      </c>
      <c r="BF83" s="55">
        <f>SUMIFS('Awards Summary'!$H:$H,'Awards Summary'!$B:$B,$C83,'Awards Summary'!$J:$J,"TAX")</f>
        <v>0</v>
      </c>
      <c r="BG83" s="55">
        <f>SUMIFS('Disbursements Summary'!$E:$E,'Disbursements Summary'!$C:$C,$C83,'Disbursements Summary'!$A:$A,"TAX")</f>
        <v>0</v>
      </c>
      <c r="BH83" s="55">
        <f>SUMIFS('Awards Summary'!$H:$H,'Awards Summary'!$B:$B,$C83,'Awards Summary'!$J:$J,"DOT")</f>
        <v>0</v>
      </c>
      <c r="BI83" s="55">
        <f>SUMIFS('Disbursements Summary'!$E:$E,'Disbursements Summary'!$C:$C,$C83,'Disbursements Summary'!$A:$A,"DOT")</f>
        <v>0</v>
      </c>
      <c r="BJ83" s="55">
        <f>SUMIFS('Awards Summary'!$H:$H,'Awards Summary'!$B:$B,$C83,'Awards Summary'!$J:$J,"DANC")</f>
        <v>0</v>
      </c>
      <c r="BK83" s="55">
        <f>SUMIFS('Disbursements Summary'!$E:$E,'Disbursements Summary'!$C:$C,$C83,'Disbursements Summary'!$A:$A,"DANC")</f>
        <v>0</v>
      </c>
      <c r="BL83" s="55">
        <f>SUMIFS('Awards Summary'!$H:$H,'Awards Summary'!$B:$B,$C83,'Awards Summary'!$J:$J,"DOB")</f>
        <v>0</v>
      </c>
      <c r="BM83" s="55">
        <f>SUMIFS('Disbursements Summary'!$E:$E,'Disbursements Summary'!$C:$C,$C83,'Disbursements Summary'!$A:$A,"DOB")</f>
        <v>0</v>
      </c>
      <c r="BN83" s="55">
        <f>SUMIFS('Awards Summary'!$H:$H,'Awards Summary'!$B:$B,$C83,'Awards Summary'!$J:$J,"DCJS")</f>
        <v>0</v>
      </c>
      <c r="BO83" s="55">
        <f>SUMIFS('Disbursements Summary'!$E:$E,'Disbursements Summary'!$C:$C,$C83,'Disbursements Summary'!$A:$A,"DCJS")</f>
        <v>0</v>
      </c>
      <c r="BP83" s="55">
        <f>SUMIFS('Awards Summary'!$H:$H,'Awards Summary'!$B:$B,$C83,'Awards Summary'!$J:$J,"DHSES")</f>
        <v>0</v>
      </c>
      <c r="BQ83" s="55">
        <f>SUMIFS('Disbursements Summary'!$E:$E,'Disbursements Summary'!$C:$C,$C83,'Disbursements Summary'!$A:$A,"DHSES")</f>
        <v>0</v>
      </c>
      <c r="BR83" s="55">
        <f>SUMIFS('Awards Summary'!$H:$H,'Awards Summary'!$B:$B,$C83,'Awards Summary'!$J:$J,"DHR")</f>
        <v>0</v>
      </c>
      <c r="BS83" s="55">
        <f>SUMIFS('Disbursements Summary'!$E:$E,'Disbursements Summary'!$C:$C,$C83,'Disbursements Summary'!$A:$A,"DHR")</f>
        <v>0</v>
      </c>
      <c r="BT83" s="55">
        <f>SUMIFS('Awards Summary'!$H:$H,'Awards Summary'!$B:$B,$C83,'Awards Summary'!$J:$J,"DMNA")</f>
        <v>0</v>
      </c>
      <c r="BU83" s="55">
        <f>SUMIFS('Disbursements Summary'!$E:$E,'Disbursements Summary'!$C:$C,$C83,'Disbursements Summary'!$A:$A,"DMNA")</f>
        <v>0</v>
      </c>
      <c r="BV83" s="55">
        <f>SUMIFS('Awards Summary'!$H:$H,'Awards Summary'!$B:$B,$C83,'Awards Summary'!$J:$J,"TROOPERS")</f>
        <v>0</v>
      </c>
      <c r="BW83" s="55">
        <f>SUMIFS('Disbursements Summary'!$E:$E,'Disbursements Summary'!$C:$C,$C83,'Disbursements Summary'!$A:$A,"TROOPERS")</f>
        <v>0</v>
      </c>
      <c r="BX83" s="55">
        <f>SUMIFS('Awards Summary'!$H:$H,'Awards Summary'!$B:$B,$C83,'Awards Summary'!$J:$J,"DVA")</f>
        <v>0</v>
      </c>
      <c r="BY83" s="55">
        <f>SUMIFS('Disbursements Summary'!$E:$E,'Disbursements Summary'!$C:$C,$C83,'Disbursements Summary'!$A:$A,"DVA")</f>
        <v>0</v>
      </c>
      <c r="BZ83" s="55">
        <f>SUMIFS('Awards Summary'!$H:$H,'Awards Summary'!$B:$B,$C83,'Awards Summary'!$J:$J,"DASNY")</f>
        <v>0</v>
      </c>
      <c r="CA83" s="55">
        <f>SUMIFS('Disbursements Summary'!$E:$E,'Disbursements Summary'!$C:$C,$C83,'Disbursements Summary'!$A:$A,"DASNY")</f>
        <v>0</v>
      </c>
      <c r="CB83" s="55">
        <f>SUMIFS('Awards Summary'!$H:$H,'Awards Summary'!$B:$B,$C83,'Awards Summary'!$J:$J,"EGG")</f>
        <v>0</v>
      </c>
      <c r="CC83" s="55">
        <f>SUMIFS('Disbursements Summary'!$E:$E,'Disbursements Summary'!$C:$C,$C83,'Disbursements Summary'!$A:$A,"EGG")</f>
        <v>0</v>
      </c>
      <c r="CD83" s="55">
        <f>SUMIFS('Awards Summary'!$H:$H,'Awards Summary'!$B:$B,$C83,'Awards Summary'!$J:$J,"ESD")</f>
        <v>0</v>
      </c>
      <c r="CE83" s="55">
        <f>SUMIFS('Disbursements Summary'!$E:$E,'Disbursements Summary'!$C:$C,$C83,'Disbursements Summary'!$A:$A,"ESD")</f>
        <v>0</v>
      </c>
      <c r="CF83" s="55">
        <f>SUMIFS('Awards Summary'!$H:$H,'Awards Summary'!$B:$B,$C83,'Awards Summary'!$J:$J,"EFC")</f>
        <v>0</v>
      </c>
      <c r="CG83" s="55">
        <f>SUMIFS('Disbursements Summary'!$E:$E,'Disbursements Summary'!$C:$C,$C83,'Disbursements Summary'!$A:$A,"EFC")</f>
        <v>0</v>
      </c>
      <c r="CH83" s="55">
        <f>SUMIFS('Awards Summary'!$H:$H,'Awards Summary'!$B:$B,$C83,'Awards Summary'!$J:$J,"ECFSA")</f>
        <v>0</v>
      </c>
      <c r="CI83" s="55">
        <f>SUMIFS('Disbursements Summary'!$E:$E,'Disbursements Summary'!$C:$C,$C83,'Disbursements Summary'!$A:$A,"ECFSA")</f>
        <v>0</v>
      </c>
      <c r="CJ83" s="55">
        <f>SUMIFS('Awards Summary'!$H:$H,'Awards Summary'!$B:$B,$C83,'Awards Summary'!$J:$J,"ECMC")</f>
        <v>0</v>
      </c>
      <c r="CK83" s="55">
        <f>SUMIFS('Disbursements Summary'!$E:$E,'Disbursements Summary'!$C:$C,$C83,'Disbursements Summary'!$A:$A,"ECMC")</f>
        <v>0</v>
      </c>
      <c r="CL83" s="55">
        <f>SUMIFS('Awards Summary'!$H:$H,'Awards Summary'!$B:$B,$C83,'Awards Summary'!$J:$J,"CHAMBER")</f>
        <v>0</v>
      </c>
      <c r="CM83" s="55">
        <f>SUMIFS('Disbursements Summary'!$E:$E,'Disbursements Summary'!$C:$C,$C83,'Disbursements Summary'!$A:$A,"CHAMBER")</f>
        <v>0</v>
      </c>
      <c r="CN83" s="55">
        <f>SUMIFS('Awards Summary'!$H:$H,'Awards Summary'!$B:$B,$C83,'Awards Summary'!$J:$J,"GAMING")</f>
        <v>0</v>
      </c>
      <c r="CO83" s="55">
        <f>SUMIFS('Disbursements Summary'!$E:$E,'Disbursements Summary'!$C:$C,$C83,'Disbursements Summary'!$A:$A,"GAMING")</f>
        <v>0</v>
      </c>
      <c r="CP83" s="55">
        <f>SUMIFS('Awards Summary'!$H:$H,'Awards Summary'!$B:$B,$C83,'Awards Summary'!$J:$J,"GOER")</f>
        <v>0</v>
      </c>
      <c r="CQ83" s="55">
        <f>SUMIFS('Disbursements Summary'!$E:$E,'Disbursements Summary'!$C:$C,$C83,'Disbursements Summary'!$A:$A,"GOER")</f>
        <v>0</v>
      </c>
      <c r="CR83" s="55">
        <f>SUMIFS('Awards Summary'!$H:$H,'Awards Summary'!$B:$B,$C83,'Awards Summary'!$J:$J,"HESC")</f>
        <v>0</v>
      </c>
      <c r="CS83" s="55">
        <f>SUMIFS('Disbursements Summary'!$E:$E,'Disbursements Summary'!$C:$C,$C83,'Disbursements Summary'!$A:$A,"HESC")</f>
        <v>0</v>
      </c>
      <c r="CT83" s="55">
        <f>SUMIFS('Awards Summary'!$H:$H,'Awards Summary'!$B:$B,$C83,'Awards Summary'!$J:$J,"GOSR")</f>
        <v>0</v>
      </c>
      <c r="CU83" s="55">
        <f>SUMIFS('Disbursements Summary'!$E:$E,'Disbursements Summary'!$C:$C,$C83,'Disbursements Summary'!$A:$A,"GOSR")</f>
        <v>0</v>
      </c>
      <c r="CV83" s="55">
        <f>SUMIFS('Awards Summary'!$H:$H,'Awards Summary'!$B:$B,$C83,'Awards Summary'!$J:$J,"HRPT")</f>
        <v>0</v>
      </c>
      <c r="CW83" s="55">
        <f>SUMIFS('Disbursements Summary'!$E:$E,'Disbursements Summary'!$C:$C,$C83,'Disbursements Summary'!$A:$A,"HRPT")</f>
        <v>0</v>
      </c>
      <c r="CX83" s="55">
        <f>SUMIFS('Awards Summary'!$H:$H,'Awards Summary'!$B:$B,$C83,'Awards Summary'!$J:$J,"HRBRRD")</f>
        <v>0</v>
      </c>
      <c r="CY83" s="55">
        <f>SUMIFS('Disbursements Summary'!$E:$E,'Disbursements Summary'!$C:$C,$C83,'Disbursements Summary'!$A:$A,"HRBRRD")</f>
        <v>0</v>
      </c>
      <c r="CZ83" s="55">
        <f>SUMIFS('Awards Summary'!$H:$H,'Awards Summary'!$B:$B,$C83,'Awards Summary'!$J:$J,"ITS")</f>
        <v>0</v>
      </c>
      <c r="DA83" s="55">
        <f>SUMIFS('Disbursements Summary'!$E:$E,'Disbursements Summary'!$C:$C,$C83,'Disbursements Summary'!$A:$A,"ITS")</f>
        <v>0</v>
      </c>
      <c r="DB83" s="55">
        <f>SUMIFS('Awards Summary'!$H:$H,'Awards Summary'!$B:$B,$C83,'Awards Summary'!$J:$J,"JAVITS")</f>
        <v>0</v>
      </c>
      <c r="DC83" s="55">
        <f>SUMIFS('Disbursements Summary'!$E:$E,'Disbursements Summary'!$C:$C,$C83,'Disbursements Summary'!$A:$A,"JAVITS")</f>
        <v>0</v>
      </c>
      <c r="DD83" s="55">
        <f>SUMIFS('Awards Summary'!$H:$H,'Awards Summary'!$B:$B,$C83,'Awards Summary'!$J:$J,"JCOPE")</f>
        <v>0</v>
      </c>
      <c r="DE83" s="55">
        <f>SUMIFS('Disbursements Summary'!$E:$E,'Disbursements Summary'!$C:$C,$C83,'Disbursements Summary'!$A:$A,"JCOPE")</f>
        <v>0</v>
      </c>
      <c r="DF83" s="55">
        <f>SUMIFS('Awards Summary'!$H:$H,'Awards Summary'!$B:$B,$C83,'Awards Summary'!$J:$J,"JUSTICE")</f>
        <v>0</v>
      </c>
      <c r="DG83" s="55">
        <f>SUMIFS('Disbursements Summary'!$E:$E,'Disbursements Summary'!$C:$C,$C83,'Disbursements Summary'!$A:$A,"JUSTICE")</f>
        <v>0</v>
      </c>
      <c r="DH83" s="55">
        <f>SUMIFS('Awards Summary'!$H:$H,'Awards Summary'!$B:$B,$C83,'Awards Summary'!$J:$J,"LCWSA")</f>
        <v>0</v>
      </c>
      <c r="DI83" s="55">
        <f>SUMIFS('Disbursements Summary'!$E:$E,'Disbursements Summary'!$C:$C,$C83,'Disbursements Summary'!$A:$A,"LCWSA")</f>
        <v>0</v>
      </c>
      <c r="DJ83" s="55">
        <f>SUMIFS('Awards Summary'!$H:$H,'Awards Summary'!$B:$B,$C83,'Awards Summary'!$J:$J,"LIPA")</f>
        <v>0</v>
      </c>
      <c r="DK83" s="55">
        <f>SUMIFS('Disbursements Summary'!$E:$E,'Disbursements Summary'!$C:$C,$C83,'Disbursements Summary'!$A:$A,"LIPA")</f>
        <v>0</v>
      </c>
      <c r="DL83" s="55">
        <f>SUMIFS('Awards Summary'!$H:$H,'Awards Summary'!$B:$B,$C83,'Awards Summary'!$J:$J,"MTA")</f>
        <v>0</v>
      </c>
      <c r="DM83" s="55">
        <f>SUMIFS('Disbursements Summary'!$E:$E,'Disbursements Summary'!$C:$C,$C83,'Disbursements Summary'!$A:$A,"MTA")</f>
        <v>0</v>
      </c>
      <c r="DN83" s="55">
        <f>SUMIFS('Awards Summary'!$H:$H,'Awards Summary'!$B:$B,$C83,'Awards Summary'!$J:$J,"NIFA")</f>
        <v>0</v>
      </c>
      <c r="DO83" s="55">
        <f>SUMIFS('Disbursements Summary'!$E:$E,'Disbursements Summary'!$C:$C,$C83,'Disbursements Summary'!$A:$A,"NIFA")</f>
        <v>0</v>
      </c>
      <c r="DP83" s="55">
        <f>SUMIFS('Awards Summary'!$H:$H,'Awards Summary'!$B:$B,$C83,'Awards Summary'!$J:$J,"NHCC")</f>
        <v>0</v>
      </c>
      <c r="DQ83" s="55">
        <f>SUMIFS('Disbursements Summary'!$E:$E,'Disbursements Summary'!$C:$C,$C83,'Disbursements Summary'!$A:$A,"NHCC")</f>
        <v>0</v>
      </c>
      <c r="DR83" s="55">
        <f>SUMIFS('Awards Summary'!$H:$H,'Awards Summary'!$B:$B,$C83,'Awards Summary'!$J:$J,"NHT")</f>
        <v>0</v>
      </c>
      <c r="DS83" s="55">
        <f>SUMIFS('Disbursements Summary'!$E:$E,'Disbursements Summary'!$C:$C,$C83,'Disbursements Summary'!$A:$A,"NHT")</f>
        <v>0</v>
      </c>
      <c r="DT83" s="55">
        <f>SUMIFS('Awards Summary'!$H:$H,'Awards Summary'!$B:$B,$C83,'Awards Summary'!$J:$J,"NYPA")</f>
        <v>0</v>
      </c>
      <c r="DU83" s="55">
        <f>SUMIFS('Disbursements Summary'!$E:$E,'Disbursements Summary'!$C:$C,$C83,'Disbursements Summary'!$A:$A,"NYPA")</f>
        <v>0</v>
      </c>
      <c r="DV83" s="55">
        <f>SUMIFS('Awards Summary'!$H:$H,'Awards Summary'!$B:$B,$C83,'Awards Summary'!$J:$J,"NYSBA")</f>
        <v>0</v>
      </c>
      <c r="DW83" s="55">
        <f>SUMIFS('Disbursements Summary'!$E:$E,'Disbursements Summary'!$C:$C,$C83,'Disbursements Summary'!$A:$A,"NYSBA")</f>
        <v>0</v>
      </c>
      <c r="DX83" s="55">
        <f>SUMIFS('Awards Summary'!$H:$H,'Awards Summary'!$B:$B,$C83,'Awards Summary'!$J:$J,"NYSERDA")</f>
        <v>0</v>
      </c>
      <c r="DY83" s="55">
        <f>SUMIFS('Disbursements Summary'!$E:$E,'Disbursements Summary'!$C:$C,$C83,'Disbursements Summary'!$A:$A,"NYSERDA")</f>
        <v>0</v>
      </c>
      <c r="DZ83" s="55">
        <f>SUMIFS('Awards Summary'!$H:$H,'Awards Summary'!$B:$B,$C83,'Awards Summary'!$J:$J,"DHCR")</f>
        <v>0</v>
      </c>
      <c r="EA83" s="55">
        <f>SUMIFS('Disbursements Summary'!$E:$E,'Disbursements Summary'!$C:$C,$C83,'Disbursements Summary'!$A:$A,"DHCR")</f>
        <v>0</v>
      </c>
      <c r="EB83" s="55">
        <f>SUMIFS('Awards Summary'!$H:$H,'Awards Summary'!$B:$B,$C83,'Awards Summary'!$J:$J,"HFA")</f>
        <v>0</v>
      </c>
      <c r="EC83" s="55">
        <f>SUMIFS('Disbursements Summary'!$E:$E,'Disbursements Summary'!$C:$C,$C83,'Disbursements Summary'!$A:$A,"HFA")</f>
        <v>0</v>
      </c>
      <c r="ED83" s="55">
        <f>SUMIFS('Awards Summary'!$H:$H,'Awards Summary'!$B:$B,$C83,'Awards Summary'!$J:$J,"NYSIF")</f>
        <v>0</v>
      </c>
      <c r="EE83" s="55">
        <f>SUMIFS('Disbursements Summary'!$E:$E,'Disbursements Summary'!$C:$C,$C83,'Disbursements Summary'!$A:$A,"NYSIF")</f>
        <v>0</v>
      </c>
      <c r="EF83" s="55">
        <f>SUMIFS('Awards Summary'!$H:$H,'Awards Summary'!$B:$B,$C83,'Awards Summary'!$J:$J,"NYBREDS")</f>
        <v>0</v>
      </c>
      <c r="EG83" s="55">
        <f>SUMIFS('Disbursements Summary'!$E:$E,'Disbursements Summary'!$C:$C,$C83,'Disbursements Summary'!$A:$A,"NYBREDS")</f>
        <v>0</v>
      </c>
      <c r="EH83" s="55">
        <f>SUMIFS('Awards Summary'!$H:$H,'Awards Summary'!$B:$B,$C83,'Awards Summary'!$J:$J,"NYSTA")</f>
        <v>0</v>
      </c>
      <c r="EI83" s="55">
        <f>SUMIFS('Disbursements Summary'!$E:$E,'Disbursements Summary'!$C:$C,$C83,'Disbursements Summary'!$A:$A,"NYSTA")</f>
        <v>0</v>
      </c>
      <c r="EJ83" s="55">
        <f>SUMIFS('Awards Summary'!$H:$H,'Awards Summary'!$B:$B,$C83,'Awards Summary'!$J:$J,"NFWB")</f>
        <v>0</v>
      </c>
      <c r="EK83" s="55">
        <f>SUMIFS('Disbursements Summary'!$E:$E,'Disbursements Summary'!$C:$C,$C83,'Disbursements Summary'!$A:$A,"NFWB")</f>
        <v>0</v>
      </c>
      <c r="EL83" s="55">
        <f>SUMIFS('Awards Summary'!$H:$H,'Awards Summary'!$B:$B,$C83,'Awards Summary'!$J:$J,"NFTA")</f>
        <v>0</v>
      </c>
      <c r="EM83" s="55">
        <f>SUMIFS('Disbursements Summary'!$E:$E,'Disbursements Summary'!$C:$C,$C83,'Disbursements Summary'!$A:$A,"NFTA")</f>
        <v>0</v>
      </c>
      <c r="EN83" s="55">
        <f>SUMIFS('Awards Summary'!$H:$H,'Awards Summary'!$B:$B,$C83,'Awards Summary'!$J:$J,"OPWDD")</f>
        <v>0</v>
      </c>
      <c r="EO83" s="55">
        <f>SUMIFS('Disbursements Summary'!$E:$E,'Disbursements Summary'!$C:$C,$C83,'Disbursements Summary'!$A:$A,"OPWDD")</f>
        <v>0</v>
      </c>
      <c r="EP83" s="55">
        <f>SUMIFS('Awards Summary'!$H:$H,'Awards Summary'!$B:$B,$C83,'Awards Summary'!$J:$J,"AGING")</f>
        <v>0</v>
      </c>
      <c r="EQ83" s="55">
        <f>SUMIFS('Disbursements Summary'!$E:$E,'Disbursements Summary'!$C:$C,$C83,'Disbursements Summary'!$A:$A,"AGING")</f>
        <v>0</v>
      </c>
      <c r="ER83" s="55">
        <f>SUMIFS('Awards Summary'!$H:$H,'Awards Summary'!$B:$B,$C83,'Awards Summary'!$J:$J,"OPDV")</f>
        <v>0</v>
      </c>
      <c r="ES83" s="55">
        <f>SUMIFS('Disbursements Summary'!$E:$E,'Disbursements Summary'!$C:$C,$C83,'Disbursements Summary'!$A:$A,"OPDV")</f>
        <v>0</v>
      </c>
      <c r="ET83" s="55">
        <f>SUMIFS('Awards Summary'!$H:$H,'Awards Summary'!$B:$B,$C83,'Awards Summary'!$J:$J,"OVS")</f>
        <v>0</v>
      </c>
      <c r="EU83" s="55">
        <f>SUMIFS('Disbursements Summary'!$E:$E,'Disbursements Summary'!$C:$C,$C83,'Disbursements Summary'!$A:$A,"OVS")</f>
        <v>0</v>
      </c>
      <c r="EV83" s="55">
        <f>SUMIFS('Awards Summary'!$H:$H,'Awards Summary'!$B:$B,$C83,'Awards Summary'!$J:$J,"OASAS")</f>
        <v>0</v>
      </c>
      <c r="EW83" s="55">
        <f>SUMIFS('Disbursements Summary'!$E:$E,'Disbursements Summary'!$C:$C,$C83,'Disbursements Summary'!$A:$A,"OASAS")</f>
        <v>0</v>
      </c>
      <c r="EX83" s="55">
        <f>SUMIFS('Awards Summary'!$H:$H,'Awards Summary'!$B:$B,$C83,'Awards Summary'!$J:$J,"OCFS")</f>
        <v>0</v>
      </c>
      <c r="EY83" s="55">
        <f>SUMIFS('Disbursements Summary'!$E:$E,'Disbursements Summary'!$C:$C,$C83,'Disbursements Summary'!$A:$A,"OCFS")</f>
        <v>0</v>
      </c>
      <c r="EZ83" s="55">
        <f>SUMIFS('Awards Summary'!$H:$H,'Awards Summary'!$B:$B,$C83,'Awards Summary'!$J:$J,"OGS")</f>
        <v>0</v>
      </c>
      <c r="FA83" s="55">
        <f>SUMIFS('Disbursements Summary'!$E:$E,'Disbursements Summary'!$C:$C,$C83,'Disbursements Summary'!$A:$A,"OGS")</f>
        <v>0</v>
      </c>
      <c r="FB83" s="55">
        <f>SUMIFS('Awards Summary'!$H:$H,'Awards Summary'!$B:$B,$C83,'Awards Summary'!$J:$J,"OMH")</f>
        <v>0</v>
      </c>
      <c r="FC83" s="55">
        <f>SUMIFS('Disbursements Summary'!$E:$E,'Disbursements Summary'!$C:$C,$C83,'Disbursements Summary'!$A:$A,"OMH")</f>
        <v>0</v>
      </c>
      <c r="FD83" s="55">
        <f>SUMIFS('Awards Summary'!$H:$H,'Awards Summary'!$B:$B,$C83,'Awards Summary'!$J:$J,"PARKS")</f>
        <v>0</v>
      </c>
      <c r="FE83" s="55">
        <f>SUMIFS('Disbursements Summary'!$E:$E,'Disbursements Summary'!$C:$C,$C83,'Disbursements Summary'!$A:$A,"PARKS")</f>
        <v>0</v>
      </c>
      <c r="FF83" s="55">
        <f>SUMIFS('Awards Summary'!$H:$H,'Awards Summary'!$B:$B,$C83,'Awards Summary'!$J:$J,"OTDA")</f>
        <v>0</v>
      </c>
      <c r="FG83" s="55">
        <f>SUMIFS('Disbursements Summary'!$E:$E,'Disbursements Summary'!$C:$C,$C83,'Disbursements Summary'!$A:$A,"OTDA")</f>
        <v>0</v>
      </c>
      <c r="FH83" s="55">
        <f>SUMIFS('Awards Summary'!$H:$H,'Awards Summary'!$B:$B,$C83,'Awards Summary'!$J:$J,"OIG")</f>
        <v>0</v>
      </c>
      <c r="FI83" s="55">
        <f>SUMIFS('Disbursements Summary'!$E:$E,'Disbursements Summary'!$C:$C,$C83,'Disbursements Summary'!$A:$A,"OIG")</f>
        <v>0</v>
      </c>
      <c r="FJ83" s="55">
        <f>SUMIFS('Awards Summary'!$H:$H,'Awards Summary'!$B:$B,$C83,'Awards Summary'!$J:$J,"OMIG")</f>
        <v>0</v>
      </c>
      <c r="FK83" s="55">
        <f>SUMIFS('Disbursements Summary'!$E:$E,'Disbursements Summary'!$C:$C,$C83,'Disbursements Summary'!$A:$A,"OMIG")</f>
        <v>0</v>
      </c>
      <c r="FL83" s="55">
        <f>SUMIFS('Awards Summary'!$H:$H,'Awards Summary'!$B:$B,$C83,'Awards Summary'!$J:$J,"OSC")</f>
        <v>0</v>
      </c>
      <c r="FM83" s="55">
        <f>SUMIFS('Disbursements Summary'!$E:$E,'Disbursements Summary'!$C:$C,$C83,'Disbursements Summary'!$A:$A,"OSC")</f>
        <v>0</v>
      </c>
      <c r="FN83" s="55">
        <f>SUMIFS('Awards Summary'!$H:$H,'Awards Summary'!$B:$B,$C83,'Awards Summary'!$J:$J,"OWIG")</f>
        <v>0</v>
      </c>
      <c r="FO83" s="55">
        <f>SUMIFS('Disbursements Summary'!$E:$E,'Disbursements Summary'!$C:$C,$C83,'Disbursements Summary'!$A:$A,"OWIG")</f>
        <v>0</v>
      </c>
      <c r="FP83" s="55">
        <f>SUMIFS('Awards Summary'!$H:$H,'Awards Summary'!$B:$B,$C83,'Awards Summary'!$J:$J,"OGDEN")</f>
        <v>0</v>
      </c>
      <c r="FQ83" s="55">
        <f>SUMIFS('Disbursements Summary'!$E:$E,'Disbursements Summary'!$C:$C,$C83,'Disbursements Summary'!$A:$A,"OGDEN")</f>
        <v>0</v>
      </c>
      <c r="FR83" s="55">
        <f>SUMIFS('Awards Summary'!$H:$H,'Awards Summary'!$B:$B,$C83,'Awards Summary'!$J:$J,"ORDA")</f>
        <v>0</v>
      </c>
      <c r="FS83" s="55">
        <f>SUMIFS('Disbursements Summary'!$E:$E,'Disbursements Summary'!$C:$C,$C83,'Disbursements Summary'!$A:$A,"ORDA")</f>
        <v>0</v>
      </c>
      <c r="FT83" s="55">
        <f>SUMIFS('Awards Summary'!$H:$H,'Awards Summary'!$B:$B,$C83,'Awards Summary'!$J:$J,"OSWEGO")</f>
        <v>0</v>
      </c>
      <c r="FU83" s="55">
        <f>SUMIFS('Disbursements Summary'!$E:$E,'Disbursements Summary'!$C:$C,$C83,'Disbursements Summary'!$A:$A,"OSWEGO")</f>
        <v>0</v>
      </c>
      <c r="FV83" s="55">
        <f>SUMIFS('Awards Summary'!$H:$H,'Awards Summary'!$B:$B,$C83,'Awards Summary'!$J:$J,"PERB")</f>
        <v>0</v>
      </c>
      <c r="FW83" s="55">
        <f>SUMIFS('Disbursements Summary'!$E:$E,'Disbursements Summary'!$C:$C,$C83,'Disbursements Summary'!$A:$A,"PERB")</f>
        <v>0</v>
      </c>
      <c r="FX83" s="55">
        <f>SUMIFS('Awards Summary'!$H:$H,'Awards Summary'!$B:$B,$C83,'Awards Summary'!$J:$J,"RGRTA")</f>
        <v>0</v>
      </c>
      <c r="FY83" s="55">
        <f>SUMIFS('Disbursements Summary'!$E:$E,'Disbursements Summary'!$C:$C,$C83,'Disbursements Summary'!$A:$A,"RGRTA")</f>
        <v>0</v>
      </c>
      <c r="FZ83" s="55">
        <f>SUMIFS('Awards Summary'!$H:$H,'Awards Summary'!$B:$B,$C83,'Awards Summary'!$J:$J,"RIOC")</f>
        <v>0</v>
      </c>
      <c r="GA83" s="55">
        <f>SUMIFS('Disbursements Summary'!$E:$E,'Disbursements Summary'!$C:$C,$C83,'Disbursements Summary'!$A:$A,"RIOC")</f>
        <v>0</v>
      </c>
      <c r="GB83" s="55">
        <f>SUMIFS('Awards Summary'!$H:$H,'Awards Summary'!$B:$B,$C83,'Awards Summary'!$J:$J,"RPCI")</f>
        <v>0</v>
      </c>
      <c r="GC83" s="55">
        <f>SUMIFS('Disbursements Summary'!$E:$E,'Disbursements Summary'!$C:$C,$C83,'Disbursements Summary'!$A:$A,"RPCI")</f>
        <v>0</v>
      </c>
      <c r="GD83" s="55">
        <f>SUMIFS('Awards Summary'!$H:$H,'Awards Summary'!$B:$B,$C83,'Awards Summary'!$J:$J,"SMDA")</f>
        <v>0</v>
      </c>
      <c r="GE83" s="55">
        <f>SUMIFS('Disbursements Summary'!$E:$E,'Disbursements Summary'!$C:$C,$C83,'Disbursements Summary'!$A:$A,"SMDA")</f>
        <v>0</v>
      </c>
      <c r="GF83" s="55">
        <f>SUMIFS('Awards Summary'!$H:$H,'Awards Summary'!$B:$B,$C83,'Awards Summary'!$J:$J,"SCOC")</f>
        <v>0</v>
      </c>
      <c r="GG83" s="55">
        <f>SUMIFS('Disbursements Summary'!$E:$E,'Disbursements Summary'!$C:$C,$C83,'Disbursements Summary'!$A:$A,"SCOC")</f>
        <v>0</v>
      </c>
      <c r="GH83" s="55">
        <f>SUMIFS('Awards Summary'!$H:$H,'Awards Summary'!$B:$B,$C83,'Awards Summary'!$J:$J,"SUCF")</f>
        <v>0</v>
      </c>
      <c r="GI83" s="55">
        <f>SUMIFS('Disbursements Summary'!$E:$E,'Disbursements Summary'!$C:$C,$C83,'Disbursements Summary'!$A:$A,"SUCF")</f>
        <v>0</v>
      </c>
      <c r="GJ83" s="55">
        <f>SUMIFS('Awards Summary'!$H:$H,'Awards Summary'!$B:$B,$C83,'Awards Summary'!$J:$J,"SUNY")</f>
        <v>0</v>
      </c>
      <c r="GK83" s="55">
        <f>SUMIFS('Disbursements Summary'!$E:$E,'Disbursements Summary'!$C:$C,$C83,'Disbursements Summary'!$A:$A,"SUNY")</f>
        <v>0</v>
      </c>
      <c r="GL83" s="55">
        <f>SUMIFS('Awards Summary'!$H:$H,'Awards Summary'!$B:$B,$C83,'Awards Summary'!$J:$J,"SRAA")</f>
        <v>0</v>
      </c>
      <c r="GM83" s="55">
        <f>SUMIFS('Disbursements Summary'!$E:$E,'Disbursements Summary'!$C:$C,$C83,'Disbursements Summary'!$A:$A,"SRAA")</f>
        <v>0</v>
      </c>
      <c r="GN83" s="55">
        <f>SUMIFS('Awards Summary'!$H:$H,'Awards Summary'!$B:$B,$C83,'Awards Summary'!$J:$J,"UNDC")</f>
        <v>0</v>
      </c>
      <c r="GO83" s="55">
        <f>SUMIFS('Disbursements Summary'!$E:$E,'Disbursements Summary'!$C:$C,$C83,'Disbursements Summary'!$A:$A,"UNDC")</f>
        <v>0</v>
      </c>
      <c r="GP83" s="55">
        <f>SUMIFS('Awards Summary'!$H:$H,'Awards Summary'!$B:$B,$C83,'Awards Summary'!$J:$J,"MVWA")</f>
        <v>0</v>
      </c>
      <c r="GQ83" s="55">
        <f>SUMIFS('Disbursements Summary'!$E:$E,'Disbursements Summary'!$C:$C,$C83,'Disbursements Summary'!$A:$A,"MVWA")</f>
        <v>0</v>
      </c>
      <c r="GR83" s="55">
        <f>SUMIFS('Awards Summary'!$H:$H,'Awards Summary'!$B:$B,$C83,'Awards Summary'!$J:$J,"WMC")</f>
        <v>0</v>
      </c>
      <c r="GS83" s="55">
        <f>SUMIFS('Disbursements Summary'!$E:$E,'Disbursements Summary'!$C:$C,$C83,'Disbursements Summary'!$A:$A,"WMC")</f>
        <v>0</v>
      </c>
      <c r="GT83" s="55">
        <f>SUMIFS('Awards Summary'!$H:$H,'Awards Summary'!$B:$B,$C83,'Awards Summary'!$J:$J,"WCB")</f>
        <v>0</v>
      </c>
      <c r="GU83" s="55">
        <f>SUMIFS('Disbursements Summary'!$E:$E,'Disbursements Summary'!$C:$C,$C83,'Disbursements Summary'!$A:$A,"WCB")</f>
        <v>0</v>
      </c>
      <c r="GV83" s="32">
        <f t="shared" si="5"/>
        <v>0</v>
      </c>
      <c r="GW83" s="32">
        <f t="shared" si="6"/>
        <v>0</v>
      </c>
      <c r="GX83" s="30" t="b">
        <f t="shared" si="7"/>
        <v>1</v>
      </c>
      <c r="GY83" s="30" t="b">
        <f t="shared" si="8"/>
        <v>1</v>
      </c>
    </row>
    <row r="84" spans="1:207" s="30" customFormat="1">
      <c r="A84" s="22" t="str">
        <f t="shared" si="9"/>
        <v/>
      </c>
      <c r="B84" s="40" t="s">
        <v>92</v>
      </c>
      <c r="C84" s="16">
        <v>151164</v>
      </c>
      <c r="D84" s="26">
        <f>COUNTIF('Awards Summary'!B:B,"151164")</f>
        <v>0</v>
      </c>
      <c r="E84" s="45">
        <f>SUMIFS('Awards Summary'!H:H,'Awards Summary'!B:B,"151164")</f>
        <v>0</v>
      </c>
      <c r="F84" s="46">
        <f>SUMIFS('Disbursements Summary'!E:E,'Disbursements Summary'!C:C, "151164")</f>
        <v>0</v>
      </c>
      <c r="H84" s="55">
        <f>SUMIFS('Awards Summary'!$H:$H,'Awards Summary'!$B:$B,$C84,'Awards Summary'!$J:$J,"APA")</f>
        <v>0</v>
      </c>
      <c r="I84" s="55">
        <f>SUMIFS('Disbursements Summary'!$E:$E,'Disbursements Summary'!$C:$C,$C84,'Disbursements Summary'!$A:$A,"APA")</f>
        <v>0</v>
      </c>
      <c r="J84" s="55">
        <f>SUMIFS('Awards Summary'!$H:$H,'Awards Summary'!$B:$B,$C84,'Awards Summary'!$J:$J,"Ag&amp;Horse")</f>
        <v>0</v>
      </c>
      <c r="K84" s="55">
        <f>SUMIFS('Disbursements Summary'!$E:$E,'Disbursements Summary'!$C:$C,$C84,'Disbursements Summary'!$A:$A,"Ag&amp;Horse")</f>
        <v>0</v>
      </c>
      <c r="L84" s="55">
        <f>SUMIFS('Awards Summary'!$H:$H,'Awards Summary'!$B:$B,$C84,'Awards Summary'!$J:$J,"ACAA")</f>
        <v>0</v>
      </c>
      <c r="M84" s="55">
        <f>SUMIFS('Disbursements Summary'!$E:$E,'Disbursements Summary'!$C:$C,$C84,'Disbursements Summary'!$A:$A,"ACAA")</f>
        <v>0</v>
      </c>
      <c r="N84" s="55">
        <f>SUMIFS('Awards Summary'!$H:$H,'Awards Summary'!$B:$B,$C84,'Awards Summary'!$J:$J,"PortAlbany")</f>
        <v>0</v>
      </c>
      <c r="O84" s="55">
        <f>SUMIFS('Disbursements Summary'!$E:$E,'Disbursements Summary'!$C:$C,$C84,'Disbursements Summary'!$A:$A,"PortAlbany")</f>
        <v>0</v>
      </c>
      <c r="P84" s="55">
        <f>SUMIFS('Awards Summary'!$H:$H,'Awards Summary'!$B:$B,$C84,'Awards Summary'!$J:$J,"SLA")</f>
        <v>0</v>
      </c>
      <c r="Q84" s="55">
        <f>SUMIFS('Disbursements Summary'!$E:$E,'Disbursements Summary'!$C:$C,$C84,'Disbursements Summary'!$A:$A,"SLA")</f>
        <v>0</v>
      </c>
      <c r="R84" s="55">
        <f>SUMIFS('Awards Summary'!$H:$H,'Awards Summary'!$B:$B,$C84,'Awards Summary'!$J:$J,"BPCA")</f>
        <v>0</v>
      </c>
      <c r="S84" s="55">
        <f>SUMIFS('Disbursements Summary'!$E:$E,'Disbursements Summary'!$C:$C,$C84,'Disbursements Summary'!$A:$A,"BPCA")</f>
        <v>0</v>
      </c>
      <c r="T84" s="55">
        <f>SUMIFS('Awards Summary'!$H:$H,'Awards Summary'!$B:$B,$C84,'Awards Summary'!$J:$J,"ELECTIONS")</f>
        <v>0</v>
      </c>
      <c r="U84" s="55">
        <f>SUMIFS('Disbursements Summary'!$E:$E,'Disbursements Summary'!$C:$C,$C84,'Disbursements Summary'!$A:$A,"ELECTIONS")</f>
        <v>0</v>
      </c>
      <c r="V84" s="55">
        <f>SUMIFS('Awards Summary'!$H:$H,'Awards Summary'!$B:$B,$C84,'Awards Summary'!$J:$J,"BFSA")</f>
        <v>0</v>
      </c>
      <c r="W84" s="55">
        <f>SUMIFS('Disbursements Summary'!$E:$E,'Disbursements Summary'!$C:$C,$C84,'Disbursements Summary'!$A:$A,"BFSA")</f>
        <v>0</v>
      </c>
      <c r="X84" s="55">
        <f>SUMIFS('Awards Summary'!$H:$H,'Awards Summary'!$B:$B,$C84,'Awards Summary'!$J:$J,"CDTA")</f>
        <v>0</v>
      </c>
      <c r="Y84" s="55">
        <f>SUMIFS('Disbursements Summary'!$E:$E,'Disbursements Summary'!$C:$C,$C84,'Disbursements Summary'!$A:$A,"CDTA")</f>
        <v>0</v>
      </c>
      <c r="Z84" s="55">
        <f>SUMIFS('Awards Summary'!$H:$H,'Awards Summary'!$B:$B,$C84,'Awards Summary'!$J:$J,"CCWSA")</f>
        <v>0</v>
      </c>
      <c r="AA84" s="55">
        <f>SUMIFS('Disbursements Summary'!$E:$E,'Disbursements Summary'!$C:$C,$C84,'Disbursements Summary'!$A:$A,"CCWSA")</f>
        <v>0</v>
      </c>
      <c r="AB84" s="55">
        <f>SUMIFS('Awards Summary'!$H:$H,'Awards Summary'!$B:$B,$C84,'Awards Summary'!$J:$J,"CNYRTA")</f>
        <v>0</v>
      </c>
      <c r="AC84" s="55">
        <f>SUMIFS('Disbursements Summary'!$E:$E,'Disbursements Summary'!$C:$C,$C84,'Disbursements Summary'!$A:$A,"CNYRTA")</f>
        <v>0</v>
      </c>
      <c r="AD84" s="55">
        <f>SUMIFS('Awards Summary'!$H:$H,'Awards Summary'!$B:$B,$C84,'Awards Summary'!$J:$J,"CUCF")</f>
        <v>0</v>
      </c>
      <c r="AE84" s="55">
        <f>SUMIFS('Disbursements Summary'!$E:$E,'Disbursements Summary'!$C:$C,$C84,'Disbursements Summary'!$A:$A,"CUCF")</f>
        <v>0</v>
      </c>
      <c r="AF84" s="55">
        <f>SUMIFS('Awards Summary'!$H:$H,'Awards Summary'!$B:$B,$C84,'Awards Summary'!$J:$J,"CUNY")</f>
        <v>0</v>
      </c>
      <c r="AG84" s="55">
        <f>SUMIFS('Disbursements Summary'!$E:$E,'Disbursements Summary'!$C:$C,$C84,'Disbursements Summary'!$A:$A,"CUNY")</f>
        <v>0</v>
      </c>
      <c r="AH84" s="55">
        <f>SUMIFS('Awards Summary'!$H:$H,'Awards Summary'!$B:$B,$C84,'Awards Summary'!$J:$J,"ARTS")</f>
        <v>0</v>
      </c>
      <c r="AI84" s="55">
        <f>SUMIFS('Disbursements Summary'!$E:$E,'Disbursements Summary'!$C:$C,$C84,'Disbursements Summary'!$A:$A,"ARTS")</f>
        <v>0</v>
      </c>
      <c r="AJ84" s="55">
        <f>SUMIFS('Awards Summary'!$H:$H,'Awards Summary'!$B:$B,$C84,'Awards Summary'!$J:$J,"AG&amp;MKTS")</f>
        <v>0</v>
      </c>
      <c r="AK84" s="55">
        <f>SUMIFS('Disbursements Summary'!$E:$E,'Disbursements Summary'!$C:$C,$C84,'Disbursements Summary'!$A:$A,"AG&amp;MKTS")</f>
        <v>0</v>
      </c>
      <c r="AL84" s="55">
        <f>SUMIFS('Awards Summary'!$H:$H,'Awards Summary'!$B:$B,$C84,'Awards Summary'!$J:$J,"CS")</f>
        <v>0</v>
      </c>
      <c r="AM84" s="55">
        <f>SUMIFS('Disbursements Summary'!$E:$E,'Disbursements Summary'!$C:$C,$C84,'Disbursements Summary'!$A:$A,"CS")</f>
        <v>0</v>
      </c>
      <c r="AN84" s="55">
        <f>SUMIFS('Awards Summary'!$H:$H,'Awards Summary'!$B:$B,$C84,'Awards Summary'!$J:$J,"DOCCS")</f>
        <v>0</v>
      </c>
      <c r="AO84" s="55">
        <f>SUMIFS('Disbursements Summary'!$E:$E,'Disbursements Summary'!$C:$C,$C84,'Disbursements Summary'!$A:$A,"DOCCS")</f>
        <v>0</v>
      </c>
      <c r="AP84" s="55">
        <f>SUMIFS('Awards Summary'!$H:$H,'Awards Summary'!$B:$B,$C84,'Awards Summary'!$J:$J,"DED")</f>
        <v>0</v>
      </c>
      <c r="AQ84" s="55">
        <f>SUMIFS('Disbursements Summary'!$E:$E,'Disbursements Summary'!$C:$C,$C84,'Disbursements Summary'!$A:$A,"DED")</f>
        <v>0</v>
      </c>
      <c r="AR84" s="55">
        <f>SUMIFS('Awards Summary'!$H:$H,'Awards Summary'!$B:$B,$C84,'Awards Summary'!$J:$J,"DEC")</f>
        <v>0</v>
      </c>
      <c r="AS84" s="55">
        <f>SUMIFS('Disbursements Summary'!$E:$E,'Disbursements Summary'!$C:$C,$C84,'Disbursements Summary'!$A:$A,"DEC")</f>
        <v>0</v>
      </c>
      <c r="AT84" s="55">
        <f>SUMIFS('Awards Summary'!$H:$H,'Awards Summary'!$B:$B,$C84,'Awards Summary'!$J:$J,"DFS")</f>
        <v>0</v>
      </c>
      <c r="AU84" s="55">
        <f>SUMIFS('Disbursements Summary'!$E:$E,'Disbursements Summary'!$C:$C,$C84,'Disbursements Summary'!$A:$A,"DFS")</f>
        <v>0</v>
      </c>
      <c r="AV84" s="55">
        <f>SUMIFS('Awards Summary'!$H:$H,'Awards Summary'!$B:$B,$C84,'Awards Summary'!$J:$J,"DOH")</f>
        <v>0</v>
      </c>
      <c r="AW84" s="55">
        <f>SUMIFS('Disbursements Summary'!$E:$E,'Disbursements Summary'!$C:$C,$C84,'Disbursements Summary'!$A:$A,"DOH")</f>
        <v>0</v>
      </c>
      <c r="AX84" s="55">
        <f>SUMIFS('Awards Summary'!$H:$H,'Awards Summary'!$B:$B,$C84,'Awards Summary'!$J:$J,"DOL")</f>
        <v>0</v>
      </c>
      <c r="AY84" s="55">
        <f>SUMIFS('Disbursements Summary'!$E:$E,'Disbursements Summary'!$C:$C,$C84,'Disbursements Summary'!$A:$A,"DOL")</f>
        <v>0</v>
      </c>
      <c r="AZ84" s="55">
        <f>SUMIFS('Awards Summary'!$H:$H,'Awards Summary'!$B:$B,$C84,'Awards Summary'!$J:$J,"DMV")</f>
        <v>0</v>
      </c>
      <c r="BA84" s="55">
        <f>SUMIFS('Disbursements Summary'!$E:$E,'Disbursements Summary'!$C:$C,$C84,'Disbursements Summary'!$A:$A,"DMV")</f>
        <v>0</v>
      </c>
      <c r="BB84" s="55">
        <f>SUMIFS('Awards Summary'!$H:$H,'Awards Summary'!$B:$B,$C84,'Awards Summary'!$J:$J,"DPS")</f>
        <v>0</v>
      </c>
      <c r="BC84" s="55">
        <f>SUMIFS('Disbursements Summary'!$E:$E,'Disbursements Summary'!$C:$C,$C84,'Disbursements Summary'!$A:$A,"DPS")</f>
        <v>0</v>
      </c>
      <c r="BD84" s="55">
        <f>SUMIFS('Awards Summary'!$H:$H,'Awards Summary'!$B:$B,$C84,'Awards Summary'!$J:$J,"DOS")</f>
        <v>0</v>
      </c>
      <c r="BE84" s="55">
        <f>SUMIFS('Disbursements Summary'!$E:$E,'Disbursements Summary'!$C:$C,$C84,'Disbursements Summary'!$A:$A,"DOS")</f>
        <v>0</v>
      </c>
      <c r="BF84" s="55">
        <f>SUMIFS('Awards Summary'!$H:$H,'Awards Summary'!$B:$B,$C84,'Awards Summary'!$J:$J,"TAX")</f>
        <v>0</v>
      </c>
      <c r="BG84" s="55">
        <f>SUMIFS('Disbursements Summary'!$E:$E,'Disbursements Summary'!$C:$C,$C84,'Disbursements Summary'!$A:$A,"TAX")</f>
        <v>0</v>
      </c>
      <c r="BH84" s="55">
        <f>SUMIFS('Awards Summary'!$H:$H,'Awards Summary'!$B:$B,$C84,'Awards Summary'!$J:$J,"DOT")</f>
        <v>0</v>
      </c>
      <c r="BI84" s="55">
        <f>SUMIFS('Disbursements Summary'!$E:$E,'Disbursements Summary'!$C:$C,$C84,'Disbursements Summary'!$A:$A,"DOT")</f>
        <v>0</v>
      </c>
      <c r="BJ84" s="55">
        <f>SUMIFS('Awards Summary'!$H:$H,'Awards Summary'!$B:$B,$C84,'Awards Summary'!$J:$J,"DANC")</f>
        <v>0</v>
      </c>
      <c r="BK84" s="55">
        <f>SUMIFS('Disbursements Summary'!$E:$E,'Disbursements Summary'!$C:$C,$C84,'Disbursements Summary'!$A:$A,"DANC")</f>
        <v>0</v>
      </c>
      <c r="BL84" s="55">
        <f>SUMIFS('Awards Summary'!$H:$H,'Awards Summary'!$B:$B,$C84,'Awards Summary'!$J:$J,"DOB")</f>
        <v>0</v>
      </c>
      <c r="BM84" s="55">
        <f>SUMIFS('Disbursements Summary'!$E:$E,'Disbursements Summary'!$C:$C,$C84,'Disbursements Summary'!$A:$A,"DOB")</f>
        <v>0</v>
      </c>
      <c r="BN84" s="55">
        <f>SUMIFS('Awards Summary'!$H:$H,'Awards Summary'!$B:$B,$C84,'Awards Summary'!$J:$J,"DCJS")</f>
        <v>0</v>
      </c>
      <c r="BO84" s="55">
        <f>SUMIFS('Disbursements Summary'!$E:$E,'Disbursements Summary'!$C:$C,$C84,'Disbursements Summary'!$A:$A,"DCJS")</f>
        <v>0</v>
      </c>
      <c r="BP84" s="55">
        <f>SUMIFS('Awards Summary'!$H:$H,'Awards Summary'!$B:$B,$C84,'Awards Summary'!$J:$J,"DHSES")</f>
        <v>0</v>
      </c>
      <c r="BQ84" s="55">
        <f>SUMIFS('Disbursements Summary'!$E:$E,'Disbursements Summary'!$C:$C,$C84,'Disbursements Summary'!$A:$A,"DHSES")</f>
        <v>0</v>
      </c>
      <c r="BR84" s="55">
        <f>SUMIFS('Awards Summary'!$H:$H,'Awards Summary'!$B:$B,$C84,'Awards Summary'!$J:$J,"DHR")</f>
        <v>0</v>
      </c>
      <c r="BS84" s="55">
        <f>SUMIFS('Disbursements Summary'!$E:$E,'Disbursements Summary'!$C:$C,$C84,'Disbursements Summary'!$A:$A,"DHR")</f>
        <v>0</v>
      </c>
      <c r="BT84" s="55">
        <f>SUMIFS('Awards Summary'!$H:$H,'Awards Summary'!$B:$B,$C84,'Awards Summary'!$J:$J,"DMNA")</f>
        <v>0</v>
      </c>
      <c r="BU84" s="55">
        <f>SUMIFS('Disbursements Summary'!$E:$E,'Disbursements Summary'!$C:$C,$C84,'Disbursements Summary'!$A:$A,"DMNA")</f>
        <v>0</v>
      </c>
      <c r="BV84" s="55">
        <f>SUMIFS('Awards Summary'!$H:$H,'Awards Summary'!$B:$B,$C84,'Awards Summary'!$J:$J,"TROOPERS")</f>
        <v>0</v>
      </c>
      <c r="BW84" s="55">
        <f>SUMIFS('Disbursements Summary'!$E:$E,'Disbursements Summary'!$C:$C,$C84,'Disbursements Summary'!$A:$A,"TROOPERS")</f>
        <v>0</v>
      </c>
      <c r="BX84" s="55">
        <f>SUMIFS('Awards Summary'!$H:$H,'Awards Summary'!$B:$B,$C84,'Awards Summary'!$J:$J,"DVA")</f>
        <v>0</v>
      </c>
      <c r="BY84" s="55">
        <f>SUMIFS('Disbursements Summary'!$E:$E,'Disbursements Summary'!$C:$C,$C84,'Disbursements Summary'!$A:$A,"DVA")</f>
        <v>0</v>
      </c>
      <c r="BZ84" s="55">
        <f>SUMIFS('Awards Summary'!$H:$H,'Awards Summary'!$B:$B,$C84,'Awards Summary'!$J:$J,"DASNY")</f>
        <v>0</v>
      </c>
      <c r="CA84" s="55">
        <f>SUMIFS('Disbursements Summary'!$E:$E,'Disbursements Summary'!$C:$C,$C84,'Disbursements Summary'!$A:$A,"DASNY")</f>
        <v>0</v>
      </c>
      <c r="CB84" s="55">
        <f>SUMIFS('Awards Summary'!$H:$H,'Awards Summary'!$B:$B,$C84,'Awards Summary'!$J:$J,"EGG")</f>
        <v>0</v>
      </c>
      <c r="CC84" s="55">
        <f>SUMIFS('Disbursements Summary'!$E:$E,'Disbursements Summary'!$C:$C,$C84,'Disbursements Summary'!$A:$A,"EGG")</f>
        <v>0</v>
      </c>
      <c r="CD84" s="55">
        <f>SUMIFS('Awards Summary'!$H:$H,'Awards Summary'!$B:$B,$C84,'Awards Summary'!$J:$J,"ESD")</f>
        <v>0</v>
      </c>
      <c r="CE84" s="55">
        <f>SUMIFS('Disbursements Summary'!$E:$E,'Disbursements Summary'!$C:$C,$C84,'Disbursements Summary'!$A:$A,"ESD")</f>
        <v>0</v>
      </c>
      <c r="CF84" s="55">
        <f>SUMIFS('Awards Summary'!$H:$H,'Awards Summary'!$B:$B,$C84,'Awards Summary'!$J:$J,"EFC")</f>
        <v>0</v>
      </c>
      <c r="CG84" s="55">
        <f>SUMIFS('Disbursements Summary'!$E:$E,'Disbursements Summary'!$C:$C,$C84,'Disbursements Summary'!$A:$A,"EFC")</f>
        <v>0</v>
      </c>
      <c r="CH84" s="55">
        <f>SUMIFS('Awards Summary'!$H:$H,'Awards Summary'!$B:$B,$C84,'Awards Summary'!$J:$J,"ECFSA")</f>
        <v>0</v>
      </c>
      <c r="CI84" s="55">
        <f>SUMIFS('Disbursements Summary'!$E:$E,'Disbursements Summary'!$C:$C,$C84,'Disbursements Summary'!$A:$A,"ECFSA")</f>
        <v>0</v>
      </c>
      <c r="CJ84" s="55">
        <f>SUMIFS('Awards Summary'!$H:$H,'Awards Summary'!$B:$B,$C84,'Awards Summary'!$J:$J,"ECMC")</f>
        <v>0</v>
      </c>
      <c r="CK84" s="55">
        <f>SUMIFS('Disbursements Summary'!$E:$E,'Disbursements Summary'!$C:$C,$C84,'Disbursements Summary'!$A:$A,"ECMC")</f>
        <v>0</v>
      </c>
      <c r="CL84" s="55">
        <f>SUMIFS('Awards Summary'!$H:$H,'Awards Summary'!$B:$B,$C84,'Awards Summary'!$J:$J,"CHAMBER")</f>
        <v>0</v>
      </c>
      <c r="CM84" s="55">
        <f>SUMIFS('Disbursements Summary'!$E:$E,'Disbursements Summary'!$C:$C,$C84,'Disbursements Summary'!$A:$A,"CHAMBER")</f>
        <v>0</v>
      </c>
      <c r="CN84" s="55">
        <f>SUMIFS('Awards Summary'!$H:$H,'Awards Summary'!$B:$B,$C84,'Awards Summary'!$J:$J,"GAMING")</f>
        <v>0</v>
      </c>
      <c r="CO84" s="55">
        <f>SUMIFS('Disbursements Summary'!$E:$E,'Disbursements Summary'!$C:$C,$C84,'Disbursements Summary'!$A:$A,"GAMING")</f>
        <v>0</v>
      </c>
      <c r="CP84" s="55">
        <f>SUMIFS('Awards Summary'!$H:$H,'Awards Summary'!$B:$B,$C84,'Awards Summary'!$J:$J,"GOER")</f>
        <v>0</v>
      </c>
      <c r="CQ84" s="55">
        <f>SUMIFS('Disbursements Summary'!$E:$E,'Disbursements Summary'!$C:$C,$C84,'Disbursements Summary'!$A:$A,"GOER")</f>
        <v>0</v>
      </c>
      <c r="CR84" s="55">
        <f>SUMIFS('Awards Summary'!$H:$H,'Awards Summary'!$B:$B,$C84,'Awards Summary'!$J:$J,"HESC")</f>
        <v>0</v>
      </c>
      <c r="CS84" s="55">
        <f>SUMIFS('Disbursements Summary'!$E:$E,'Disbursements Summary'!$C:$C,$C84,'Disbursements Summary'!$A:$A,"HESC")</f>
        <v>0</v>
      </c>
      <c r="CT84" s="55">
        <f>SUMIFS('Awards Summary'!$H:$H,'Awards Summary'!$B:$B,$C84,'Awards Summary'!$J:$J,"GOSR")</f>
        <v>0</v>
      </c>
      <c r="CU84" s="55">
        <f>SUMIFS('Disbursements Summary'!$E:$E,'Disbursements Summary'!$C:$C,$C84,'Disbursements Summary'!$A:$A,"GOSR")</f>
        <v>0</v>
      </c>
      <c r="CV84" s="55">
        <f>SUMIFS('Awards Summary'!$H:$H,'Awards Summary'!$B:$B,$C84,'Awards Summary'!$J:$J,"HRPT")</f>
        <v>0</v>
      </c>
      <c r="CW84" s="55">
        <f>SUMIFS('Disbursements Summary'!$E:$E,'Disbursements Summary'!$C:$C,$C84,'Disbursements Summary'!$A:$A,"HRPT")</f>
        <v>0</v>
      </c>
      <c r="CX84" s="55">
        <f>SUMIFS('Awards Summary'!$H:$H,'Awards Summary'!$B:$B,$C84,'Awards Summary'!$J:$J,"HRBRRD")</f>
        <v>0</v>
      </c>
      <c r="CY84" s="55">
        <f>SUMIFS('Disbursements Summary'!$E:$E,'Disbursements Summary'!$C:$C,$C84,'Disbursements Summary'!$A:$A,"HRBRRD")</f>
        <v>0</v>
      </c>
      <c r="CZ84" s="55">
        <f>SUMIFS('Awards Summary'!$H:$H,'Awards Summary'!$B:$B,$C84,'Awards Summary'!$J:$J,"ITS")</f>
        <v>0</v>
      </c>
      <c r="DA84" s="55">
        <f>SUMIFS('Disbursements Summary'!$E:$E,'Disbursements Summary'!$C:$C,$C84,'Disbursements Summary'!$A:$A,"ITS")</f>
        <v>0</v>
      </c>
      <c r="DB84" s="55">
        <f>SUMIFS('Awards Summary'!$H:$H,'Awards Summary'!$B:$B,$C84,'Awards Summary'!$J:$J,"JAVITS")</f>
        <v>0</v>
      </c>
      <c r="DC84" s="55">
        <f>SUMIFS('Disbursements Summary'!$E:$E,'Disbursements Summary'!$C:$C,$C84,'Disbursements Summary'!$A:$A,"JAVITS")</f>
        <v>0</v>
      </c>
      <c r="DD84" s="55">
        <f>SUMIFS('Awards Summary'!$H:$H,'Awards Summary'!$B:$B,$C84,'Awards Summary'!$J:$J,"JCOPE")</f>
        <v>0</v>
      </c>
      <c r="DE84" s="55">
        <f>SUMIFS('Disbursements Summary'!$E:$E,'Disbursements Summary'!$C:$C,$C84,'Disbursements Summary'!$A:$A,"JCOPE")</f>
        <v>0</v>
      </c>
      <c r="DF84" s="55">
        <f>SUMIFS('Awards Summary'!$H:$H,'Awards Summary'!$B:$B,$C84,'Awards Summary'!$J:$J,"JUSTICE")</f>
        <v>0</v>
      </c>
      <c r="DG84" s="55">
        <f>SUMIFS('Disbursements Summary'!$E:$E,'Disbursements Summary'!$C:$C,$C84,'Disbursements Summary'!$A:$A,"JUSTICE")</f>
        <v>0</v>
      </c>
      <c r="DH84" s="55">
        <f>SUMIFS('Awards Summary'!$H:$H,'Awards Summary'!$B:$B,$C84,'Awards Summary'!$J:$J,"LCWSA")</f>
        <v>0</v>
      </c>
      <c r="DI84" s="55">
        <f>SUMIFS('Disbursements Summary'!$E:$E,'Disbursements Summary'!$C:$C,$C84,'Disbursements Summary'!$A:$A,"LCWSA")</f>
        <v>0</v>
      </c>
      <c r="DJ84" s="55">
        <f>SUMIFS('Awards Summary'!$H:$H,'Awards Summary'!$B:$B,$C84,'Awards Summary'!$J:$J,"LIPA")</f>
        <v>0</v>
      </c>
      <c r="DK84" s="55">
        <f>SUMIFS('Disbursements Summary'!$E:$E,'Disbursements Summary'!$C:$C,$C84,'Disbursements Summary'!$A:$A,"LIPA")</f>
        <v>0</v>
      </c>
      <c r="DL84" s="55">
        <f>SUMIFS('Awards Summary'!$H:$H,'Awards Summary'!$B:$B,$C84,'Awards Summary'!$J:$J,"MTA")</f>
        <v>0</v>
      </c>
      <c r="DM84" s="55">
        <f>SUMIFS('Disbursements Summary'!$E:$E,'Disbursements Summary'!$C:$C,$C84,'Disbursements Summary'!$A:$A,"MTA")</f>
        <v>0</v>
      </c>
      <c r="DN84" s="55">
        <f>SUMIFS('Awards Summary'!$H:$H,'Awards Summary'!$B:$B,$C84,'Awards Summary'!$J:$J,"NIFA")</f>
        <v>0</v>
      </c>
      <c r="DO84" s="55">
        <f>SUMIFS('Disbursements Summary'!$E:$E,'Disbursements Summary'!$C:$C,$C84,'Disbursements Summary'!$A:$A,"NIFA")</f>
        <v>0</v>
      </c>
      <c r="DP84" s="55">
        <f>SUMIFS('Awards Summary'!$H:$H,'Awards Summary'!$B:$B,$C84,'Awards Summary'!$J:$J,"NHCC")</f>
        <v>0</v>
      </c>
      <c r="DQ84" s="55">
        <f>SUMIFS('Disbursements Summary'!$E:$E,'Disbursements Summary'!$C:$C,$C84,'Disbursements Summary'!$A:$A,"NHCC")</f>
        <v>0</v>
      </c>
      <c r="DR84" s="55">
        <f>SUMIFS('Awards Summary'!$H:$H,'Awards Summary'!$B:$B,$C84,'Awards Summary'!$J:$J,"NHT")</f>
        <v>0</v>
      </c>
      <c r="DS84" s="55">
        <f>SUMIFS('Disbursements Summary'!$E:$E,'Disbursements Summary'!$C:$C,$C84,'Disbursements Summary'!$A:$A,"NHT")</f>
        <v>0</v>
      </c>
      <c r="DT84" s="55">
        <f>SUMIFS('Awards Summary'!$H:$H,'Awards Summary'!$B:$B,$C84,'Awards Summary'!$J:$J,"NYPA")</f>
        <v>0</v>
      </c>
      <c r="DU84" s="55">
        <f>SUMIFS('Disbursements Summary'!$E:$E,'Disbursements Summary'!$C:$C,$C84,'Disbursements Summary'!$A:$A,"NYPA")</f>
        <v>0</v>
      </c>
      <c r="DV84" s="55">
        <f>SUMIFS('Awards Summary'!$H:$H,'Awards Summary'!$B:$B,$C84,'Awards Summary'!$J:$J,"NYSBA")</f>
        <v>0</v>
      </c>
      <c r="DW84" s="55">
        <f>SUMIFS('Disbursements Summary'!$E:$E,'Disbursements Summary'!$C:$C,$C84,'Disbursements Summary'!$A:$A,"NYSBA")</f>
        <v>0</v>
      </c>
      <c r="DX84" s="55">
        <f>SUMIFS('Awards Summary'!$H:$H,'Awards Summary'!$B:$B,$C84,'Awards Summary'!$J:$J,"NYSERDA")</f>
        <v>0</v>
      </c>
      <c r="DY84" s="55">
        <f>SUMIFS('Disbursements Summary'!$E:$E,'Disbursements Summary'!$C:$C,$C84,'Disbursements Summary'!$A:$A,"NYSERDA")</f>
        <v>0</v>
      </c>
      <c r="DZ84" s="55">
        <f>SUMIFS('Awards Summary'!$H:$H,'Awards Summary'!$B:$B,$C84,'Awards Summary'!$J:$J,"DHCR")</f>
        <v>0</v>
      </c>
      <c r="EA84" s="55">
        <f>SUMIFS('Disbursements Summary'!$E:$E,'Disbursements Summary'!$C:$C,$C84,'Disbursements Summary'!$A:$A,"DHCR")</f>
        <v>0</v>
      </c>
      <c r="EB84" s="55">
        <f>SUMIFS('Awards Summary'!$H:$H,'Awards Summary'!$B:$B,$C84,'Awards Summary'!$J:$J,"HFA")</f>
        <v>0</v>
      </c>
      <c r="EC84" s="55">
        <f>SUMIFS('Disbursements Summary'!$E:$E,'Disbursements Summary'!$C:$C,$C84,'Disbursements Summary'!$A:$A,"HFA")</f>
        <v>0</v>
      </c>
      <c r="ED84" s="55">
        <f>SUMIFS('Awards Summary'!$H:$H,'Awards Summary'!$B:$B,$C84,'Awards Summary'!$J:$J,"NYSIF")</f>
        <v>0</v>
      </c>
      <c r="EE84" s="55">
        <f>SUMIFS('Disbursements Summary'!$E:$E,'Disbursements Summary'!$C:$C,$C84,'Disbursements Summary'!$A:$A,"NYSIF")</f>
        <v>0</v>
      </c>
      <c r="EF84" s="55">
        <f>SUMIFS('Awards Summary'!$H:$H,'Awards Summary'!$B:$B,$C84,'Awards Summary'!$J:$J,"NYBREDS")</f>
        <v>0</v>
      </c>
      <c r="EG84" s="55">
        <f>SUMIFS('Disbursements Summary'!$E:$E,'Disbursements Summary'!$C:$C,$C84,'Disbursements Summary'!$A:$A,"NYBREDS")</f>
        <v>0</v>
      </c>
      <c r="EH84" s="55">
        <f>SUMIFS('Awards Summary'!$H:$H,'Awards Summary'!$B:$B,$C84,'Awards Summary'!$J:$J,"NYSTA")</f>
        <v>0</v>
      </c>
      <c r="EI84" s="55">
        <f>SUMIFS('Disbursements Summary'!$E:$E,'Disbursements Summary'!$C:$C,$C84,'Disbursements Summary'!$A:$A,"NYSTA")</f>
        <v>0</v>
      </c>
      <c r="EJ84" s="55">
        <f>SUMIFS('Awards Summary'!$H:$H,'Awards Summary'!$B:$B,$C84,'Awards Summary'!$J:$J,"NFWB")</f>
        <v>0</v>
      </c>
      <c r="EK84" s="55">
        <f>SUMIFS('Disbursements Summary'!$E:$E,'Disbursements Summary'!$C:$C,$C84,'Disbursements Summary'!$A:$A,"NFWB")</f>
        <v>0</v>
      </c>
      <c r="EL84" s="55">
        <f>SUMIFS('Awards Summary'!$H:$H,'Awards Summary'!$B:$B,$C84,'Awards Summary'!$J:$J,"NFTA")</f>
        <v>0</v>
      </c>
      <c r="EM84" s="55">
        <f>SUMIFS('Disbursements Summary'!$E:$E,'Disbursements Summary'!$C:$C,$C84,'Disbursements Summary'!$A:$A,"NFTA")</f>
        <v>0</v>
      </c>
      <c r="EN84" s="55">
        <f>SUMIFS('Awards Summary'!$H:$H,'Awards Summary'!$B:$B,$C84,'Awards Summary'!$J:$J,"OPWDD")</f>
        <v>0</v>
      </c>
      <c r="EO84" s="55">
        <f>SUMIFS('Disbursements Summary'!$E:$E,'Disbursements Summary'!$C:$C,$C84,'Disbursements Summary'!$A:$A,"OPWDD")</f>
        <v>0</v>
      </c>
      <c r="EP84" s="55">
        <f>SUMIFS('Awards Summary'!$H:$H,'Awards Summary'!$B:$B,$C84,'Awards Summary'!$J:$J,"AGING")</f>
        <v>0</v>
      </c>
      <c r="EQ84" s="55">
        <f>SUMIFS('Disbursements Summary'!$E:$E,'Disbursements Summary'!$C:$C,$C84,'Disbursements Summary'!$A:$A,"AGING")</f>
        <v>0</v>
      </c>
      <c r="ER84" s="55">
        <f>SUMIFS('Awards Summary'!$H:$H,'Awards Summary'!$B:$B,$C84,'Awards Summary'!$J:$J,"OPDV")</f>
        <v>0</v>
      </c>
      <c r="ES84" s="55">
        <f>SUMIFS('Disbursements Summary'!$E:$E,'Disbursements Summary'!$C:$C,$C84,'Disbursements Summary'!$A:$A,"OPDV")</f>
        <v>0</v>
      </c>
      <c r="ET84" s="55">
        <f>SUMIFS('Awards Summary'!$H:$H,'Awards Summary'!$B:$B,$C84,'Awards Summary'!$J:$J,"OVS")</f>
        <v>0</v>
      </c>
      <c r="EU84" s="55">
        <f>SUMIFS('Disbursements Summary'!$E:$E,'Disbursements Summary'!$C:$C,$C84,'Disbursements Summary'!$A:$A,"OVS")</f>
        <v>0</v>
      </c>
      <c r="EV84" s="55">
        <f>SUMIFS('Awards Summary'!$H:$H,'Awards Summary'!$B:$B,$C84,'Awards Summary'!$J:$J,"OASAS")</f>
        <v>0</v>
      </c>
      <c r="EW84" s="55">
        <f>SUMIFS('Disbursements Summary'!$E:$E,'Disbursements Summary'!$C:$C,$C84,'Disbursements Summary'!$A:$A,"OASAS")</f>
        <v>0</v>
      </c>
      <c r="EX84" s="55">
        <f>SUMIFS('Awards Summary'!$H:$H,'Awards Summary'!$B:$B,$C84,'Awards Summary'!$J:$J,"OCFS")</f>
        <v>0</v>
      </c>
      <c r="EY84" s="55">
        <f>SUMIFS('Disbursements Summary'!$E:$E,'Disbursements Summary'!$C:$C,$C84,'Disbursements Summary'!$A:$A,"OCFS")</f>
        <v>0</v>
      </c>
      <c r="EZ84" s="55">
        <f>SUMIFS('Awards Summary'!$H:$H,'Awards Summary'!$B:$B,$C84,'Awards Summary'!$J:$J,"OGS")</f>
        <v>0</v>
      </c>
      <c r="FA84" s="55">
        <f>SUMIFS('Disbursements Summary'!$E:$E,'Disbursements Summary'!$C:$C,$C84,'Disbursements Summary'!$A:$A,"OGS")</f>
        <v>0</v>
      </c>
      <c r="FB84" s="55">
        <f>SUMIFS('Awards Summary'!$H:$H,'Awards Summary'!$B:$B,$C84,'Awards Summary'!$J:$J,"OMH")</f>
        <v>0</v>
      </c>
      <c r="FC84" s="55">
        <f>SUMIFS('Disbursements Summary'!$E:$E,'Disbursements Summary'!$C:$C,$C84,'Disbursements Summary'!$A:$A,"OMH")</f>
        <v>0</v>
      </c>
      <c r="FD84" s="55">
        <f>SUMIFS('Awards Summary'!$H:$H,'Awards Summary'!$B:$B,$C84,'Awards Summary'!$J:$J,"PARKS")</f>
        <v>0</v>
      </c>
      <c r="FE84" s="55">
        <f>SUMIFS('Disbursements Summary'!$E:$E,'Disbursements Summary'!$C:$C,$C84,'Disbursements Summary'!$A:$A,"PARKS")</f>
        <v>0</v>
      </c>
      <c r="FF84" s="55">
        <f>SUMIFS('Awards Summary'!$H:$H,'Awards Summary'!$B:$B,$C84,'Awards Summary'!$J:$J,"OTDA")</f>
        <v>0</v>
      </c>
      <c r="FG84" s="55">
        <f>SUMIFS('Disbursements Summary'!$E:$E,'Disbursements Summary'!$C:$C,$C84,'Disbursements Summary'!$A:$A,"OTDA")</f>
        <v>0</v>
      </c>
      <c r="FH84" s="55">
        <f>SUMIFS('Awards Summary'!$H:$H,'Awards Summary'!$B:$B,$C84,'Awards Summary'!$J:$J,"OIG")</f>
        <v>0</v>
      </c>
      <c r="FI84" s="55">
        <f>SUMIFS('Disbursements Summary'!$E:$E,'Disbursements Summary'!$C:$C,$C84,'Disbursements Summary'!$A:$A,"OIG")</f>
        <v>0</v>
      </c>
      <c r="FJ84" s="55">
        <f>SUMIFS('Awards Summary'!$H:$H,'Awards Summary'!$B:$B,$C84,'Awards Summary'!$J:$J,"OMIG")</f>
        <v>0</v>
      </c>
      <c r="FK84" s="55">
        <f>SUMIFS('Disbursements Summary'!$E:$E,'Disbursements Summary'!$C:$C,$C84,'Disbursements Summary'!$A:$A,"OMIG")</f>
        <v>0</v>
      </c>
      <c r="FL84" s="55">
        <f>SUMIFS('Awards Summary'!$H:$H,'Awards Summary'!$B:$B,$C84,'Awards Summary'!$J:$J,"OSC")</f>
        <v>0</v>
      </c>
      <c r="FM84" s="55">
        <f>SUMIFS('Disbursements Summary'!$E:$E,'Disbursements Summary'!$C:$C,$C84,'Disbursements Summary'!$A:$A,"OSC")</f>
        <v>0</v>
      </c>
      <c r="FN84" s="55">
        <f>SUMIFS('Awards Summary'!$H:$H,'Awards Summary'!$B:$B,$C84,'Awards Summary'!$J:$J,"OWIG")</f>
        <v>0</v>
      </c>
      <c r="FO84" s="55">
        <f>SUMIFS('Disbursements Summary'!$E:$E,'Disbursements Summary'!$C:$C,$C84,'Disbursements Summary'!$A:$A,"OWIG")</f>
        <v>0</v>
      </c>
      <c r="FP84" s="55">
        <f>SUMIFS('Awards Summary'!$H:$H,'Awards Summary'!$B:$B,$C84,'Awards Summary'!$J:$J,"OGDEN")</f>
        <v>0</v>
      </c>
      <c r="FQ84" s="55">
        <f>SUMIFS('Disbursements Summary'!$E:$E,'Disbursements Summary'!$C:$C,$C84,'Disbursements Summary'!$A:$A,"OGDEN")</f>
        <v>0</v>
      </c>
      <c r="FR84" s="55">
        <f>SUMIFS('Awards Summary'!$H:$H,'Awards Summary'!$B:$B,$C84,'Awards Summary'!$J:$J,"ORDA")</f>
        <v>0</v>
      </c>
      <c r="FS84" s="55">
        <f>SUMIFS('Disbursements Summary'!$E:$E,'Disbursements Summary'!$C:$C,$C84,'Disbursements Summary'!$A:$A,"ORDA")</f>
        <v>0</v>
      </c>
      <c r="FT84" s="55">
        <f>SUMIFS('Awards Summary'!$H:$H,'Awards Summary'!$B:$B,$C84,'Awards Summary'!$J:$J,"OSWEGO")</f>
        <v>0</v>
      </c>
      <c r="FU84" s="55">
        <f>SUMIFS('Disbursements Summary'!$E:$E,'Disbursements Summary'!$C:$C,$C84,'Disbursements Summary'!$A:$A,"OSWEGO")</f>
        <v>0</v>
      </c>
      <c r="FV84" s="55">
        <f>SUMIFS('Awards Summary'!$H:$H,'Awards Summary'!$B:$B,$C84,'Awards Summary'!$J:$J,"PERB")</f>
        <v>0</v>
      </c>
      <c r="FW84" s="55">
        <f>SUMIFS('Disbursements Summary'!$E:$E,'Disbursements Summary'!$C:$C,$C84,'Disbursements Summary'!$A:$A,"PERB")</f>
        <v>0</v>
      </c>
      <c r="FX84" s="55">
        <f>SUMIFS('Awards Summary'!$H:$H,'Awards Summary'!$B:$B,$C84,'Awards Summary'!$J:$J,"RGRTA")</f>
        <v>0</v>
      </c>
      <c r="FY84" s="55">
        <f>SUMIFS('Disbursements Summary'!$E:$E,'Disbursements Summary'!$C:$C,$C84,'Disbursements Summary'!$A:$A,"RGRTA")</f>
        <v>0</v>
      </c>
      <c r="FZ84" s="55">
        <f>SUMIFS('Awards Summary'!$H:$H,'Awards Summary'!$B:$B,$C84,'Awards Summary'!$J:$J,"RIOC")</f>
        <v>0</v>
      </c>
      <c r="GA84" s="55">
        <f>SUMIFS('Disbursements Summary'!$E:$E,'Disbursements Summary'!$C:$C,$C84,'Disbursements Summary'!$A:$A,"RIOC")</f>
        <v>0</v>
      </c>
      <c r="GB84" s="55">
        <f>SUMIFS('Awards Summary'!$H:$H,'Awards Summary'!$B:$B,$C84,'Awards Summary'!$J:$J,"RPCI")</f>
        <v>0</v>
      </c>
      <c r="GC84" s="55">
        <f>SUMIFS('Disbursements Summary'!$E:$E,'Disbursements Summary'!$C:$C,$C84,'Disbursements Summary'!$A:$A,"RPCI")</f>
        <v>0</v>
      </c>
      <c r="GD84" s="55">
        <f>SUMIFS('Awards Summary'!$H:$H,'Awards Summary'!$B:$B,$C84,'Awards Summary'!$J:$J,"SMDA")</f>
        <v>0</v>
      </c>
      <c r="GE84" s="55">
        <f>SUMIFS('Disbursements Summary'!$E:$E,'Disbursements Summary'!$C:$C,$C84,'Disbursements Summary'!$A:$A,"SMDA")</f>
        <v>0</v>
      </c>
      <c r="GF84" s="55">
        <f>SUMIFS('Awards Summary'!$H:$H,'Awards Summary'!$B:$B,$C84,'Awards Summary'!$J:$J,"SCOC")</f>
        <v>0</v>
      </c>
      <c r="GG84" s="55">
        <f>SUMIFS('Disbursements Summary'!$E:$E,'Disbursements Summary'!$C:$C,$C84,'Disbursements Summary'!$A:$A,"SCOC")</f>
        <v>0</v>
      </c>
      <c r="GH84" s="55">
        <f>SUMIFS('Awards Summary'!$H:$H,'Awards Summary'!$B:$B,$C84,'Awards Summary'!$J:$J,"SUCF")</f>
        <v>0</v>
      </c>
      <c r="GI84" s="55">
        <f>SUMIFS('Disbursements Summary'!$E:$E,'Disbursements Summary'!$C:$C,$C84,'Disbursements Summary'!$A:$A,"SUCF")</f>
        <v>0</v>
      </c>
      <c r="GJ84" s="55">
        <f>SUMIFS('Awards Summary'!$H:$H,'Awards Summary'!$B:$B,$C84,'Awards Summary'!$J:$J,"SUNY")</f>
        <v>0</v>
      </c>
      <c r="GK84" s="55">
        <f>SUMIFS('Disbursements Summary'!$E:$E,'Disbursements Summary'!$C:$C,$C84,'Disbursements Summary'!$A:$A,"SUNY")</f>
        <v>0</v>
      </c>
      <c r="GL84" s="55">
        <f>SUMIFS('Awards Summary'!$H:$H,'Awards Summary'!$B:$B,$C84,'Awards Summary'!$J:$J,"SRAA")</f>
        <v>0</v>
      </c>
      <c r="GM84" s="55">
        <f>SUMIFS('Disbursements Summary'!$E:$E,'Disbursements Summary'!$C:$C,$C84,'Disbursements Summary'!$A:$A,"SRAA")</f>
        <v>0</v>
      </c>
      <c r="GN84" s="55">
        <f>SUMIFS('Awards Summary'!$H:$H,'Awards Summary'!$B:$B,$C84,'Awards Summary'!$J:$J,"UNDC")</f>
        <v>0</v>
      </c>
      <c r="GO84" s="55">
        <f>SUMIFS('Disbursements Summary'!$E:$E,'Disbursements Summary'!$C:$C,$C84,'Disbursements Summary'!$A:$A,"UNDC")</f>
        <v>0</v>
      </c>
      <c r="GP84" s="55">
        <f>SUMIFS('Awards Summary'!$H:$H,'Awards Summary'!$B:$B,$C84,'Awards Summary'!$J:$J,"MVWA")</f>
        <v>0</v>
      </c>
      <c r="GQ84" s="55">
        <f>SUMIFS('Disbursements Summary'!$E:$E,'Disbursements Summary'!$C:$C,$C84,'Disbursements Summary'!$A:$A,"MVWA")</f>
        <v>0</v>
      </c>
      <c r="GR84" s="55">
        <f>SUMIFS('Awards Summary'!$H:$H,'Awards Summary'!$B:$B,$C84,'Awards Summary'!$J:$J,"WMC")</f>
        <v>0</v>
      </c>
      <c r="GS84" s="55">
        <f>SUMIFS('Disbursements Summary'!$E:$E,'Disbursements Summary'!$C:$C,$C84,'Disbursements Summary'!$A:$A,"WMC")</f>
        <v>0</v>
      </c>
      <c r="GT84" s="55">
        <f>SUMIFS('Awards Summary'!$H:$H,'Awards Summary'!$B:$B,$C84,'Awards Summary'!$J:$J,"WCB")</f>
        <v>0</v>
      </c>
      <c r="GU84" s="55">
        <f>SUMIFS('Disbursements Summary'!$E:$E,'Disbursements Summary'!$C:$C,$C84,'Disbursements Summary'!$A:$A,"WCB")</f>
        <v>0</v>
      </c>
      <c r="GV84" s="32">
        <f t="shared" si="5"/>
        <v>0</v>
      </c>
      <c r="GW84" s="32">
        <f t="shared" si="6"/>
        <v>0</v>
      </c>
      <c r="GX84" s="30" t="b">
        <f t="shared" si="7"/>
        <v>1</v>
      </c>
      <c r="GY84" s="30" t="b">
        <f t="shared" si="8"/>
        <v>1</v>
      </c>
    </row>
    <row r="85" spans="1:207" s="30" customFormat="1">
      <c r="A85" s="22" t="str">
        <f t="shared" si="9"/>
        <v/>
      </c>
      <c r="B85" s="40" t="s">
        <v>137</v>
      </c>
      <c r="C85" s="16">
        <v>151166</v>
      </c>
      <c r="D85" s="26">
        <f>COUNTIF('Awards Summary'!B:B,"151166")</f>
        <v>0</v>
      </c>
      <c r="E85" s="45">
        <f>SUMIFS('Awards Summary'!H:H,'Awards Summary'!B:B,"151166")</f>
        <v>0</v>
      </c>
      <c r="F85" s="46">
        <f>SUMIFS('Disbursements Summary'!E:E,'Disbursements Summary'!C:C, "151166")</f>
        <v>0</v>
      </c>
      <c r="H85" s="55">
        <f>SUMIFS('Awards Summary'!$H:$H,'Awards Summary'!$B:$B,$C85,'Awards Summary'!$J:$J,"APA")</f>
        <v>0</v>
      </c>
      <c r="I85" s="55">
        <f>SUMIFS('Disbursements Summary'!$E:$E,'Disbursements Summary'!$C:$C,$C85,'Disbursements Summary'!$A:$A,"APA")</f>
        <v>0</v>
      </c>
      <c r="J85" s="55">
        <f>SUMIFS('Awards Summary'!$H:$H,'Awards Summary'!$B:$B,$C85,'Awards Summary'!$J:$J,"Ag&amp;Horse")</f>
        <v>0</v>
      </c>
      <c r="K85" s="55">
        <f>SUMIFS('Disbursements Summary'!$E:$E,'Disbursements Summary'!$C:$C,$C85,'Disbursements Summary'!$A:$A,"Ag&amp;Horse")</f>
        <v>0</v>
      </c>
      <c r="L85" s="55">
        <f>SUMIFS('Awards Summary'!$H:$H,'Awards Summary'!$B:$B,$C85,'Awards Summary'!$J:$J,"ACAA")</f>
        <v>0</v>
      </c>
      <c r="M85" s="55">
        <f>SUMIFS('Disbursements Summary'!$E:$E,'Disbursements Summary'!$C:$C,$C85,'Disbursements Summary'!$A:$A,"ACAA")</f>
        <v>0</v>
      </c>
      <c r="N85" s="55">
        <f>SUMIFS('Awards Summary'!$H:$H,'Awards Summary'!$B:$B,$C85,'Awards Summary'!$J:$J,"PortAlbany")</f>
        <v>0</v>
      </c>
      <c r="O85" s="55">
        <f>SUMIFS('Disbursements Summary'!$E:$E,'Disbursements Summary'!$C:$C,$C85,'Disbursements Summary'!$A:$A,"PortAlbany")</f>
        <v>0</v>
      </c>
      <c r="P85" s="55">
        <f>SUMIFS('Awards Summary'!$H:$H,'Awards Summary'!$B:$B,$C85,'Awards Summary'!$J:$J,"SLA")</f>
        <v>0</v>
      </c>
      <c r="Q85" s="55">
        <f>SUMIFS('Disbursements Summary'!$E:$E,'Disbursements Summary'!$C:$C,$C85,'Disbursements Summary'!$A:$A,"SLA")</f>
        <v>0</v>
      </c>
      <c r="R85" s="55">
        <f>SUMIFS('Awards Summary'!$H:$H,'Awards Summary'!$B:$B,$C85,'Awards Summary'!$J:$J,"BPCA")</f>
        <v>0</v>
      </c>
      <c r="S85" s="55">
        <f>SUMIFS('Disbursements Summary'!$E:$E,'Disbursements Summary'!$C:$C,$C85,'Disbursements Summary'!$A:$A,"BPCA")</f>
        <v>0</v>
      </c>
      <c r="T85" s="55">
        <f>SUMIFS('Awards Summary'!$H:$H,'Awards Summary'!$B:$B,$C85,'Awards Summary'!$J:$J,"ELECTIONS")</f>
        <v>0</v>
      </c>
      <c r="U85" s="55">
        <f>SUMIFS('Disbursements Summary'!$E:$E,'Disbursements Summary'!$C:$C,$C85,'Disbursements Summary'!$A:$A,"ELECTIONS")</f>
        <v>0</v>
      </c>
      <c r="V85" s="55">
        <f>SUMIFS('Awards Summary'!$H:$H,'Awards Summary'!$B:$B,$C85,'Awards Summary'!$J:$J,"BFSA")</f>
        <v>0</v>
      </c>
      <c r="W85" s="55">
        <f>SUMIFS('Disbursements Summary'!$E:$E,'Disbursements Summary'!$C:$C,$C85,'Disbursements Summary'!$A:$A,"BFSA")</f>
        <v>0</v>
      </c>
      <c r="X85" s="55">
        <f>SUMIFS('Awards Summary'!$H:$H,'Awards Summary'!$B:$B,$C85,'Awards Summary'!$J:$J,"CDTA")</f>
        <v>0</v>
      </c>
      <c r="Y85" s="55">
        <f>SUMIFS('Disbursements Summary'!$E:$E,'Disbursements Summary'!$C:$C,$C85,'Disbursements Summary'!$A:$A,"CDTA")</f>
        <v>0</v>
      </c>
      <c r="Z85" s="55">
        <f>SUMIFS('Awards Summary'!$H:$H,'Awards Summary'!$B:$B,$C85,'Awards Summary'!$J:$J,"CCWSA")</f>
        <v>0</v>
      </c>
      <c r="AA85" s="55">
        <f>SUMIFS('Disbursements Summary'!$E:$E,'Disbursements Summary'!$C:$C,$C85,'Disbursements Summary'!$A:$A,"CCWSA")</f>
        <v>0</v>
      </c>
      <c r="AB85" s="55">
        <f>SUMIFS('Awards Summary'!$H:$H,'Awards Summary'!$B:$B,$C85,'Awards Summary'!$J:$J,"CNYRTA")</f>
        <v>0</v>
      </c>
      <c r="AC85" s="55">
        <f>SUMIFS('Disbursements Summary'!$E:$E,'Disbursements Summary'!$C:$C,$C85,'Disbursements Summary'!$A:$A,"CNYRTA")</f>
        <v>0</v>
      </c>
      <c r="AD85" s="55">
        <f>SUMIFS('Awards Summary'!$H:$H,'Awards Summary'!$B:$B,$C85,'Awards Summary'!$J:$J,"CUCF")</f>
        <v>0</v>
      </c>
      <c r="AE85" s="55">
        <f>SUMIFS('Disbursements Summary'!$E:$E,'Disbursements Summary'!$C:$C,$C85,'Disbursements Summary'!$A:$A,"CUCF")</f>
        <v>0</v>
      </c>
      <c r="AF85" s="55">
        <f>SUMIFS('Awards Summary'!$H:$H,'Awards Summary'!$B:$B,$C85,'Awards Summary'!$J:$J,"CUNY")</f>
        <v>0</v>
      </c>
      <c r="AG85" s="55">
        <f>SUMIFS('Disbursements Summary'!$E:$E,'Disbursements Summary'!$C:$C,$C85,'Disbursements Summary'!$A:$A,"CUNY")</f>
        <v>0</v>
      </c>
      <c r="AH85" s="55">
        <f>SUMIFS('Awards Summary'!$H:$H,'Awards Summary'!$B:$B,$C85,'Awards Summary'!$J:$J,"ARTS")</f>
        <v>0</v>
      </c>
      <c r="AI85" s="55">
        <f>SUMIFS('Disbursements Summary'!$E:$E,'Disbursements Summary'!$C:$C,$C85,'Disbursements Summary'!$A:$A,"ARTS")</f>
        <v>0</v>
      </c>
      <c r="AJ85" s="55">
        <f>SUMIFS('Awards Summary'!$H:$H,'Awards Summary'!$B:$B,$C85,'Awards Summary'!$J:$J,"AG&amp;MKTS")</f>
        <v>0</v>
      </c>
      <c r="AK85" s="55">
        <f>SUMIFS('Disbursements Summary'!$E:$E,'Disbursements Summary'!$C:$C,$C85,'Disbursements Summary'!$A:$A,"AG&amp;MKTS")</f>
        <v>0</v>
      </c>
      <c r="AL85" s="55">
        <f>SUMIFS('Awards Summary'!$H:$H,'Awards Summary'!$B:$B,$C85,'Awards Summary'!$J:$J,"CS")</f>
        <v>0</v>
      </c>
      <c r="AM85" s="55">
        <f>SUMIFS('Disbursements Summary'!$E:$E,'Disbursements Summary'!$C:$C,$C85,'Disbursements Summary'!$A:$A,"CS")</f>
        <v>0</v>
      </c>
      <c r="AN85" s="55">
        <f>SUMIFS('Awards Summary'!$H:$H,'Awards Summary'!$B:$B,$C85,'Awards Summary'!$J:$J,"DOCCS")</f>
        <v>0</v>
      </c>
      <c r="AO85" s="55">
        <f>SUMIFS('Disbursements Summary'!$E:$E,'Disbursements Summary'!$C:$C,$C85,'Disbursements Summary'!$A:$A,"DOCCS")</f>
        <v>0</v>
      </c>
      <c r="AP85" s="55">
        <f>SUMIFS('Awards Summary'!$H:$H,'Awards Summary'!$B:$B,$C85,'Awards Summary'!$J:$J,"DED")</f>
        <v>0</v>
      </c>
      <c r="AQ85" s="55">
        <f>SUMIFS('Disbursements Summary'!$E:$E,'Disbursements Summary'!$C:$C,$C85,'Disbursements Summary'!$A:$A,"DED")</f>
        <v>0</v>
      </c>
      <c r="AR85" s="55">
        <f>SUMIFS('Awards Summary'!$H:$H,'Awards Summary'!$B:$B,$C85,'Awards Summary'!$J:$J,"DEC")</f>
        <v>0</v>
      </c>
      <c r="AS85" s="55">
        <f>SUMIFS('Disbursements Summary'!$E:$E,'Disbursements Summary'!$C:$C,$C85,'Disbursements Summary'!$A:$A,"DEC")</f>
        <v>0</v>
      </c>
      <c r="AT85" s="55">
        <f>SUMIFS('Awards Summary'!$H:$H,'Awards Summary'!$B:$B,$C85,'Awards Summary'!$J:$J,"DFS")</f>
        <v>0</v>
      </c>
      <c r="AU85" s="55">
        <f>SUMIFS('Disbursements Summary'!$E:$E,'Disbursements Summary'!$C:$C,$C85,'Disbursements Summary'!$A:$A,"DFS")</f>
        <v>0</v>
      </c>
      <c r="AV85" s="55">
        <f>SUMIFS('Awards Summary'!$H:$H,'Awards Summary'!$B:$B,$C85,'Awards Summary'!$J:$J,"DOH")</f>
        <v>0</v>
      </c>
      <c r="AW85" s="55">
        <f>SUMIFS('Disbursements Summary'!$E:$E,'Disbursements Summary'!$C:$C,$C85,'Disbursements Summary'!$A:$A,"DOH")</f>
        <v>0</v>
      </c>
      <c r="AX85" s="55">
        <f>SUMIFS('Awards Summary'!$H:$H,'Awards Summary'!$B:$B,$C85,'Awards Summary'!$J:$J,"DOL")</f>
        <v>0</v>
      </c>
      <c r="AY85" s="55">
        <f>SUMIFS('Disbursements Summary'!$E:$E,'Disbursements Summary'!$C:$C,$C85,'Disbursements Summary'!$A:$A,"DOL")</f>
        <v>0</v>
      </c>
      <c r="AZ85" s="55">
        <f>SUMIFS('Awards Summary'!$H:$H,'Awards Summary'!$B:$B,$C85,'Awards Summary'!$J:$J,"DMV")</f>
        <v>0</v>
      </c>
      <c r="BA85" s="55">
        <f>SUMIFS('Disbursements Summary'!$E:$E,'Disbursements Summary'!$C:$C,$C85,'Disbursements Summary'!$A:$A,"DMV")</f>
        <v>0</v>
      </c>
      <c r="BB85" s="55">
        <f>SUMIFS('Awards Summary'!$H:$H,'Awards Summary'!$B:$B,$C85,'Awards Summary'!$J:$J,"DPS")</f>
        <v>0</v>
      </c>
      <c r="BC85" s="55">
        <f>SUMIFS('Disbursements Summary'!$E:$E,'Disbursements Summary'!$C:$C,$C85,'Disbursements Summary'!$A:$A,"DPS")</f>
        <v>0</v>
      </c>
      <c r="BD85" s="55">
        <f>SUMIFS('Awards Summary'!$H:$H,'Awards Summary'!$B:$B,$C85,'Awards Summary'!$J:$J,"DOS")</f>
        <v>0</v>
      </c>
      <c r="BE85" s="55">
        <f>SUMIFS('Disbursements Summary'!$E:$E,'Disbursements Summary'!$C:$C,$C85,'Disbursements Summary'!$A:$A,"DOS")</f>
        <v>0</v>
      </c>
      <c r="BF85" s="55">
        <f>SUMIFS('Awards Summary'!$H:$H,'Awards Summary'!$B:$B,$C85,'Awards Summary'!$J:$J,"TAX")</f>
        <v>0</v>
      </c>
      <c r="BG85" s="55">
        <f>SUMIFS('Disbursements Summary'!$E:$E,'Disbursements Summary'!$C:$C,$C85,'Disbursements Summary'!$A:$A,"TAX")</f>
        <v>0</v>
      </c>
      <c r="BH85" s="55">
        <f>SUMIFS('Awards Summary'!$H:$H,'Awards Summary'!$B:$B,$C85,'Awards Summary'!$J:$J,"DOT")</f>
        <v>0</v>
      </c>
      <c r="BI85" s="55">
        <f>SUMIFS('Disbursements Summary'!$E:$E,'Disbursements Summary'!$C:$C,$C85,'Disbursements Summary'!$A:$A,"DOT")</f>
        <v>0</v>
      </c>
      <c r="BJ85" s="55">
        <f>SUMIFS('Awards Summary'!$H:$H,'Awards Summary'!$B:$B,$C85,'Awards Summary'!$J:$J,"DANC")</f>
        <v>0</v>
      </c>
      <c r="BK85" s="55">
        <f>SUMIFS('Disbursements Summary'!$E:$E,'Disbursements Summary'!$C:$C,$C85,'Disbursements Summary'!$A:$A,"DANC")</f>
        <v>0</v>
      </c>
      <c r="BL85" s="55">
        <f>SUMIFS('Awards Summary'!$H:$H,'Awards Summary'!$B:$B,$C85,'Awards Summary'!$J:$J,"DOB")</f>
        <v>0</v>
      </c>
      <c r="BM85" s="55">
        <f>SUMIFS('Disbursements Summary'!$E:$E,'Disbursements Summary'!$C:$C,$C85,'Disbursements Summary'!$A:$A,"DOB")</f>
        <v>0</v>
      </c>
      <c r="BN85" s="55">
        <f>SUMIFS('Awards Summary'!$H:$H,'Awards Summary'!$B:$B,$C85,'Awards Summary'!$J:$J,"DCJS")</f>
        <v>0</v>
      </c>
      <c r="BO85" s="55">
        <f>SUMIFS('Disbursements Summary'!$E:$E,'Disbursements Summary'!$C:$C,$C85,'Disbursements Summary'!$A:$A,"DCJS")</f>
        <v>0</v>
      </c>
      <c r="BP85" s="55">
        <f>SUMIFS('Awards Summary'!$H:$H,'Awards Summary'!$B:$B,$C85,'Awards Summary'!$J:$J,"DHSES")</f>
        <v>0</v>
      </c>
      <c r="BQ85" s="55">
        <f>SUMIFS('Disbursements Summary'!$E:$E,'Disbursements Summary'!$C:$C,$C85,'Disbursements Summary'!$A:$A,"DHSES")</f>
        <v>0</v>
      </c>
      <c r="BR85" s="55">
        <f>SUMIFS('Awards Summary'!$H:$H,'Awards Summary'!$B:$B,$C85,'Awards Summary'!$J:$J,"DHR")</f>
        <v>0</v>
      </c>
      <c r="BS85" s="55">
        <f>SUMIFS('Disbursements Summary'!$E:$E,'Disbursements Summary'!$C:$C,$C85,'Disbursements Summary'!$A:$A,"DHR")</f>
        <v>0</v>
      </c>
      <c r="BT85" s="55">
        <f>SUMIFS('Awards Summary'!$H:$H,'Awards Summary'!$B:$B,$C85,'Awards Summary'!$J:$J,"DMNA")</f>
        <v>0</v>
      </c>
      <c r="BU85" s="55">
        <f>SUMIFS('Disbursements Summary'!$E:$E,'Disbursements Summary'!$C:$C,$C85,'Disbursements Summary'!$A:$A,"DMNA")</f>
        <v>0</v>
      </c>
      <c r="BV85" s="55">
        <f>SUMIFS('Awards Summary'!$H:$H,'Awards Summary'!$B:$B,$C85,'Awards Summary'!$J:$J,"TROOPERS")</f>
        <v>0</v>
      </c>
      <c r="BW85" s="55">
        <f>SUMIFS('Disbursements Summary'!$E:$E,'Disbursements Summary'!$C:$C,$C85,'Disbursements Summary'!$A:$A,"TROOPERS")</f>
        <v>0</v>
      </c>
      <c r="BX85" s="55">
        <f>SUMIFS('Awards Summary'!$H:$H,'Awards Summary'!$B:$B,$C85,'Awards Summary'!$J:$J,"DVA")</f>
        <v>0</v>
      </c>
      <c r="BY85" s="55">
        <f>SUMIFS('Disbursements Summary'!$E:$E,'Disbursements Summary'!$C:$C,$C85,'Disbursements Summary'!$A:$A,"DVA")</f>
        <v>0</v>
      </c>
      <c r="BZ85" s="55">
        <f>SUMIFS('Awards Summary'!$H:$H,'Awards Summary'!$B:$B,$C85,'Awards Summary'!$J:$J,"DASNY")</f>
        <v>0</v>
      </c>
      <c r="CA85" s="55">
        <f>SUMIFS('Disbursements Summary'!$E:$E,'Disbursements Summary'!$C:$C,$C85,'Disbursements Summary'!$A:$A,"DASNY")</f>
        <v>0</v>
      </c>
      <c r="CB85" s="55">
        <f>SUMIFS('Awards Summary'!$H:$H,'Awards Summary'!$B:$B,$C85,'Awards Summary'!$J:$J,"EGG")</f>
        <v>0</v>
      </c>
      <c r="CC85" s="55">
        <f>SUMIFS('Disbursements Summary'!$E:$E,'Disbursements Summary'!$C:$C,$C85,'Disbursements Summary'!$A:$A,"EGG")</f>
        <v>0</v>
      </c>
      <c r="CD85" s="55">
        <f>SUMIFS('Awards Summary'!$H:$H,'Awards Summary'!$B:$B,$C85,'Awards Summary'!$J:$J,"ESD")</f>
        <v>0</v>
      </c>
      <c r="CE85" s="55">
        <f>SUMIFS('Disbursements Summary'!$E:$E,'Disbursements Summary'!$C:$C,$C85,'Disbursements Summary'!$A:$A,"ESD")</f>
        <v>0</v>
      </c>
      <c r="CF85" s="55">
        <f>SUMIFS('Awards Summary'!$H:$H,'Awards Summary'!$B:$B,$C85,'Awards Summary'!$J:$J,"EFC")</f>
        <v>0</v>
      </c>
      <c r="CG85" s="55">
        <f>SUMIFS('Disbursements Summary'!$E:$E,'Disbursements Summary'!$C:$C,$C85,'Disbursements Summary'!$A:$A,"EFC")</f>
        <v>0</v>
      </c>
      <c r="CH85" s="55">
        <f>SUMIFS('Awards Summary'!$H:$H,'Awards Summary'!$B:$B,$C85,'Awards Summary'!$J:$J,"ECFSA")</f>
        <v>0</v>
      </c>
      <c r="CI85" s="55">
        <f>SUMIFS('Disbursements Summary'!$E:$E,'Disbursements Summary'!$C:$C,$C85,'Disbursements Summary'!$A:$A,"ECFSA")</f>
        <v>0</v>
      </c>
      <c r="CJ85" s="55">
        <f>SUMIFS('Awards Summary'!$H:$H,'Awards Summary'!$B:$B,$C85,'Awards Summary'!$J:$J,"ECMC")</f>
        <v>0</v>
      </c>
      <c r="CK85" s="55">
        <f>SUMIFS('Disbursements Summary'!$E:$E,'Disbursements Summary'!$C:$C,$C85,'Disbursements Summary'!$A:$A,"ECMC")</f>
        <v>0</v>
      </c>
      <c r="CL85" s="55">
        <f>SUMIFS('Awards Summary'!$H:$H,'Awards Summary'!$B:$B,$C85,'Awards Summary'!$J:$J,"CHAMBER")</f>
        <v>0</v>
      </c>
      <c r="CM85" s="55">
        <f>SUMIFS('Disbursements Summary'!$E:$E,'Disbursements Summary'!$C:$C,$C85,'Disbursements Summary'!$A:$A,"CHAMBER")</f>
        <v>0</v>
      </c>
      <c r="CN85" s="55">
        <f>SUMIFS('Awards Summary'!$H:$H,'Awards Summary'!$B:$B,$C85,'Awards Summary'!$J:$J,"GAMING")</f>
        <v>0</v>
      </c>
      <c r="CO85" s="55">
        <f>SUMIFS('Disbursements Summary'!$E:$E,'Disbursements Summary'!$C:$C,$C85,'Disbursements Summary'!$A:$A,"GAMING")</f>
        <v>0</v>
      </c>
      <c r="CP85" s="55">
        <f>SUMIFS('Awards Summary'!$H:$H,'Awards Summary'!$B:$B,$C85,'Awards Summary'!$J:$J,"GOER")</f>
        <v>0</v>
      </c>
      <c r="CQ85" s="55">
        <f>SUMIFS('Disbursements Summary'!$E:$E,'Disbursements Summary'!$C:$C,$C85,'Disbursements Summary'!$A:$A,"GOER")</f>
        <v>0</v>
      </c>
      <c r="CR85" s="55">
        <f>SUMIFS('Awards Summary'!$H:$H,'Awards Summary'!$B:$B,$C85,'Awards Summary'!$J:$J,"HESC")</f>
        <v>0</v>
      </c>
      <c r="CS85" s="55">
        <f>SUMIFS('Disbursements Summary'!$E:$E,'Disbursements Summary'!$C:$C,$C85,'Disbursements Summary'!$A:$A,"HESC")</f>
        <v>0</v>
      </c>
      <c r="CT85" s="55">
        <f>SUMIFS('Awards Summary'!$H:$H,'Awards Summary'!$B:$B,$C85,'Awards Summary'!$J:$J,"GOSR")</f>
        <v>0</v>
      </c>
      <c r="CU85" s="55">
        <f>SUMIFS('Disbursements Summary'!$E:$E,'Disbursements Summary'!$C:$C,$C85,'Disbursements Summary'!$A:$A,"GOSR")</f>
        <v>0</v>
      </c>
      <c r="CV85" s="55">
        <f>SUMIFS('Awards Summary'!$H:$H,'Awards Summary'!$B:$B,$C85,'Awards Summary'!$J:$J,"HRPT")</f>
        <v>0</v>
      </c>
      <c r="CW85" s="55">
        <f>SUMIFS('Disbursements Summary'!$E:$E,'Disbursements Summary'!$C:$C,$C85,'Disbursements Summary'!$A:$A,"HRPT")</f>
        <v>0</v>
      </c>
      <c r="CX85" s="55">
        <f>SUMIFS('Awards Summary'!$H:$H,'Awards Summary'!$B:$B,$C85,'Awards Summary'!$J:$J,"HRBRRD")</f>
        <v>0</v>
      </c>
      <c r="CY85" s="55">
        <f>SUMIFS('Disbursements Summary'!$E:$E,'Disbursements Summary'!$C:$C,$C85,'Disbursements Summary'!$A:$A,"HRBRRD")</f>
        <v>0</v>
      </c>
      <c r="CZ85" s="55">
        <f>SUMIFS('Awards Summary'!$H:$H,'Awards Summary'!$B:$B,$C85,'Awards Summary'!$J:$J,"ITS")</f>
        <v>0</v>
      </c>
      <c r="DA85" s="55">
        <f>SUMIFS('Disbursements Summary'!$E:$E,'Disbursements Summary'!$C:$C,$C85,'Disbursements Summary'!$A:$A,"ITS")</f>
        <v>0</v>
      </c>
      <c r="DB85" s="55">
        <f>SUMIFS('Awards Summary'!$H:$H,'Awards Summary'!$B:$B,$C85,'Awards Summary'!$J:$J,"JAVITS")</f>
        <v>0</v>
      </c>
      <c r="DC85" s="55">
        <f>SUMIFS('Disbursements Summary'!$E:$E,'Disbursements Summary'!$C:$C,$C85,'Disbursements Summary'!$A:$A,"JAVITS")</f>
        <v>0</v>
      </c>
      <c r="DD85" s="55">
        <f>SUMIFS('Awards Summary'!$H:$H,'Awards Summary'!$B:$B,$C85,'Awards Summary'!$J:$J,"JCOPE")</f>
        <v>0</v>
      </c>
      <c r="DE85" s="55">
        <f>SUMIFS('Disbursements Summary'!$E:$E,'Disbursements Summary'!$C:$C,$C85,'Disbursements Summary'!$A:$A,"JCOPE")</f>
        <v>0</v>
      </c>
      <c r="DF85" s="55">
        <f>SUMIFS('Awards Summary'!$H:$H,'Awards Summary'!$B:$B,$C85,'Awards Summary'!$J:$J,"JUSTICE")</f>
        <v>0</v>
      </c>
      <c r="DG85" s="55">
        <f>SUMIFS('Disbursements Summary'!$E:$E,'Disbursements Summary'!$C:$C,$C85,'Disbursements Summary'!$A:$A,"JUSTICE")</f>
        <v>0</v>
      </c>
      <c r="DH85" s="55">
        <f>SUMIFS('Awards Summary'!$H:$H,'Awards Summary'!$B:$B,$C85,'Awards Summary'!$J:$J,"LCWSA")</f>
        <v>0</v>
      </c>
      <c r="DI85" s="55">
        <f>SUMIFS('Disbursements Summary'!$E:$E,'Disbursements Summary'!$C:$C,$C85,'Disbursements Summary'!$A:$A,"LCWSA")</f>
        <v>0</v>
      </c>
      <c r="DJ85" s="55">
        <f>SUMIFS('Awards Summary'!$H:$H,'Awards Summary'!$B:$B,$C85,'Awards Summary'!$J:$J,"LIPA")</f>
        <v>0</v>
      </c>
      <c r="DK85" s="55">
        <f>SUMIFS('Disbursements Summary'!$E:$E,'Disbursements Summary'!$C:$C,$C85,'Disbursements Summary'!$A:$A,"LIPA")</f>
        <v>0</v>
      </c>
      <c r="DL85" s="55">
        <f>SUMIFS('Awards Summary'!$H:$H,'Awards Summary'!$B:$B,$C85,'Awards Summary'!$J:$J,"MTA")</f>
        <v>0</v>
      </c>
      <c r="DM85" s="55">
        <f>SUMIFS('Disbursements Summary'!$E:$E,'Disbursements Summary'!$C:$C,$C85,'Disbursements Summary'!$A:$A,"MTA")</f>
        <v>0</v>
      </c>
      <c r="DN85" s="55">
        <f>SUMIFS('Awards Summary'!$H:$H,'Awards Summary'!$B:$B,$C85,'Awards Summary'!$J:$J,"NIFA")</f>
        <v>0</v>
      </c>
      <c r="DO85" s="55">
        <f>SUMIFS('Disbursements Summary'!$E:$E,'Disbursements Summary'!$C:$C,$C85,'Disbursements Summary'!$A:$A,"NIFA")</f>
        <v>0</v>
      </c>
      <c r="DP85" s="55">
        <f>SUMIFS('Awards Summary'!$H:$H,'Awards Summary'!$B:$B,$C85,'Awards Summary'!$J:$J,"NHCC")</f>
        <v>0</v>
      </c>
      <c r="DQ85" s="55">
        <f>SUMIFS('Disbursements Summary'!$E:$E,'Disbursements Summary'!$C:$C,$C85,'Disbursements Summary'!$A:$A,"NHCC")</f>
        <v>0</v>
      </c>
      <c r="DR85" s="55">
        <f>SUMIFS('Awards Summary'!$H:$H,'Awards Summary'!$B:$B,$C85,'Awards Summary'!$J:$J,"NHT")</f>
        <v>0</v>
      </c>
      <c r="DS85" s="55">
        <f>SUMIFS('Disbursements Summary'!$E:$E,'Disbursements Summary'!$C:$C,$C85,'Disbursements Summary'!$A:$A,"NHT")</f>
        <v>0</v>
      </c>
      <c r="DT85" s="55">
        <f>SUMIFS('Awards Summary'!$H:$H,'Awards Summary'!$B:$B,$C85,'Awards Summary'!$J:$J,"NYPA")</f>
        <v>0</v>
      </c>
      <c r="DU85" s="55">
        <f>SUMIFS('Disbursements Summary'!$E:$E,'Disbursements Summary'!$C:$C,$C85,'Disbursements Summary'!$A:$A,"NYPA")</f>
        <v>0</v>
      </c>
      <c r="DV85" s="55">
        <f>SUMIFS('Awards Summary'!$H:$H,'Awards Summary'!$B:$B,$C85,'Awards Summary'!$J:$J,"NYSBA")</f>
        <v>0</v>
      </c>
      <c r="DW85" s="55">
        <f>SUMIFS('Disbursements Summary'!$E:$E,'Disbursements Summary'!$C:$C,$C85,'Disbursements Summary'!$A:$A,"NYSBA")</f>
        <v>0</v>
      </c>
      <c r="DX85" s="55">
        <f>SUMIFS('Awards Summary'!$H:$H,'Awards Summary'!$B:$B,$C85,'Awards Summary'!$J:$J,"NYSERDA")</f>
        <v>0</v>
      </c>
      <c r="DY85" s="55">
        <f>SUMIFS('Disbursements Summary'!$E:$E,'Disbursements Summary'!$C:$C,$C85,'Disbursements Summary'!$A:$A,"NYSERDA")</f>
        <v>0</v>
      </c>
      <c r="DZ85" s="55">
        <f>SUMIFS('Awards Summary'!$H:$H,'Awards Summary'!$B:$B,$C85,'Awards Summary'!$J:$J,"DHCR")</f>
        <v>0</v>
      </c>
      <c r="EA85" s="55">
        <f>SUMIFS('Disbursements Summary'!$E:$E,'Disbursements Summary'!$C:$C,$C85,'Disbursements Summary'!$A:$A,"DHCR")</f>
        <v>0</v>
      </c>
      <c r="EB85" s="55">
        <f>SUMIFS('Awards Summary'!$H:$H,'Awards Summary'!$B:$B,$C85,'Awards Summary'!$J:$J,"HFA")</f>
        <v>0</v>
      </c>
      <c r="EC85" s="55">
        <f>SUMIFS('Disbursements Summary'!$E:$E,'Disbursements Summary'!$C:$C,$C85,'Disbursements Summary'!$A:$A,"HFA")</f>
        <v>0</v>
      </c>
      <c r="ED85" s="55">
        <f>SUMIFS('Awards Summary'!$H:$H,'Awards Summary'!$B:$B,$C85,'Awards Summary'!$J:$J,"NYSIF")</f>
        <v>0</v>
      </c>
      <c r="EE85" s="55">
        <f>SUMIFS('Disbursements Summary'!$E:$E,'Disbursements Summary'!$C:$C,$C85,'Disbursements Summary'!$A:$A,"NYSIF")</f>
        <v>0</v>
      </c>
      <c r="EF85" s="55">
        <f>SUMIFS('Awards Summary'!$H:$H,'Awards Summary'!$B:$B,$C85,'Awards Summary'!$J:$J,"NYBREDS")</f>
        <v>0</v>
      </c>
      <c r="EG85" s="55">
        <f>SUMIFS('Disbursements Summary'!$E:$E,'Disbursements Summary'!$C:$C,$C85,'Disbursements Summary'!$A:$A,"NYBREDS")</f>
        <v>0</v>
      </c>
      <c r="EH85" s="55">
        <f>SUMIFS('Awards Summary'!$H:$H,'Awards Summary'!$B:$B,$C85,'Awards Summary'!$J:$J,"NYSTA")</f>
        <v>0</v>
      </c>
      <c r="EI85" s="55">
        <f>SUMIFS('Disbursements Summary'!$E:$E,'Disbursements Summary'!$C:$C,$C85,'Disbursements Summary'!$A:$A,"NYSTA")</f>
        <v>0</v>
      </c>
      <c r="EJ85" s="55">
        <f>SUMIFS('Awards Summary'!$H:$H,'Awards Summary'!$B:$B,$C85,'Awards Summary'!$J:$J,"NFWB")</f>
        <v>0</v>
      </c>
      <c r="EK85" s="55">
        <f>SUMIFS('Disbursements Summary'!$E:$E,'Disbursements Summary'!$C:$C,$C85,'Disbursements Summary'!$A:$A,"NFWB")</f>
        <v>0</v>
      </c>
      <c r="EL85" s="55">
        <f>SUMIFS('Awards Summary'!$H:$H,'Awards Summary'!$B:$B,$C85,'Awards Summary'!$J:$J,"NFTA")</f>
        <v>0</v>
      </c>
      <c r="EM85" s="55">
        <f>SUMIFS('Disbursements Summary'!$E:$E,'Disbursements Summary'!$C:$C,$C85,'Disbursements Summary'!$A:$A,"NFTA")</f>
        <v>0</v>
      </c>
      <c r="EN85" s="55">
        <f>SUMIFS('Awards Summary'!$H:$H,'Awards Summary'!$B:$B,$C85,'Awards Summary'!$J:$J,"OPWDD")</f>
        <v>0</v>
      </c>
      <c r="EO85" s="55">
        <f>SUMIFS('Disbursements Summary'!$E:$E,'Disbursements Summary'!$C:$C,$C85,'Disbursements Summary'!$A:$A,"OPWDD")</f>
        <v>0</v>
      </c>
      <c r="EP85" s="55">
        <f>SUMIFS('Awards Summary'!$H:$H,'Awards Summary'!$B:$B,$C85,'Awards Summary'!$J:$J,"AGING")</f>
        <v>0</v>
      </c>
      <c r="EQ85" s="55">
        <f>SUMIFS('Disbursements Summary'!$E:$E,'Disbursements Summary'!$C:$C,$C85,'Disbursements Summary'!$A:$A,"AGING")</f>
        <v>0</v>
      </c>
      <c r="ER85" s="55">
        <f>SUMIFS('Awards Summary'!$H:$H,'Awards Summary'!$B:$B,$C85,'Awards Summary'!$J:$J,"OPDV")</f>
        <v>0</v>
      </c>
      <c r="ES85" s="55">
        <f>SUMIFS('Disbursements Summary'!$E:$E,'Disbursements Summary'!$C:$C,$C85,'Disbursements Summary'!$A:$A,"OPDV")</f>
        <v>0</v>
      </c>
      <c r="ET85" s="55">
        <f>SUMIFS('Awards Summary'!$H:$H,'Awards Summary'!$B:$B,$C85,'Awards Summary'!$J:$J,"OVS")</f>
        <v>0</v>
      </c>
      <c r="EU85" s="55">
        <f>SUMIFS('Disbursements Summary'!$E:$E,'Disbursements Summary'!$C:$C,$C85,'Disbursements Summary'!$A:$A,"OVS")</f>
        <v>0</v>
      </c>
      <c r="EV85" s="55">
        <f>SUMIFS('Awards Summary'!$H:$H,'Awards Summary'!$B:$B,$C85,'Awards Summary'!$J:$J,"OASAS")</f>
        <v>0</v>
      </c>
      <c r="EW85" s="55">
        <f>SUMIFS('Disbursements Summary'!$E:$E,'Disbursements Summary'!$C:$C,$C85,'Disbursements Summary'!$A:$A,"OASAS")</f>
        <v>0</v>
      </c>
      <c r="EX85" s="55">
        <f>SUMIFS('Awards Summary'!$H:$H,'Awards Summary'!$B:$B,$C85,'Awards Summary'!$J:$J,"OCFS")</f>
        <v>0</v>
      </c>
      <c r="EY85" s="55">
        <f>SUMIFS('Disbursements Summary'!$E:$E,'Disbursements Summary'!$C:$C,$C85,'Disbursements Summary'!$A:$A,"OCFS")</f>
        <v>0</v>
      </c>
      <c r="EZ85" s="55">
        <f>SUMIFS('Awards Summary'!$H:$H,'Awards Summary'!$B:$B,$C85,'Awards Summary'!$J:$J,"OGS")</f>
        <v>0</v>
      </c>
      <c r="FA85" s="55">
        <f>SUMIFS('Disbursements Summary'!$E:$E,'Disbursements Summary'!$C:$C,$C85,'Disbursements Summary'!$A:$A,"OGS")</f>
        <v>0</v>
      </c>
      <c r="FB85" s="55">
        <f>SUMIFS('Awards Summary'!$H:$H,'Awards Summary'!$B:$B,$C85,'Awards Summary'!$J:$J,"OMH")</f>
        <v>0</v>
      </c>
      <c r="FC85" s="55">
        <f>SUMIFS('Disbursements Summary'!$E:$E,'Disbursements Summary'!$C:$C,$C85,'Disbursements Summary'!$A:$A,"OMH")</f>
        <v>0</v>
      </c>
      <c r="FD85" s="55">
        <f>SUMIFS('Awards Summary'!$H:$H,'Awards Summary'!$B:$B,$C85,'Awards Summary'!$J:$J,"PARKS")</f>
        <v>0</v>
      </c>
      <c r="FE85" s="55">
        <f>SUMIFS('Disbursements Summary'!$E:$E,'Disbursements Summary'!$C:$C,$C85,'Disbursements Summary'!$A:$A,"PARKS")</f>
        <v>0</v>
      </c>
      <c r="FF85" s="55">
        <f>SUMIFS('Awards Summary'!$H:$H,'Awards Summary'!$B:$B,$C85,'Awards Summary'!$J:$J,"OTDA")</f>
        <v>0</v>
      </c>
      <c r="FG85" s="55">
        <f>SUMIFS('Disbursements Summary'!$E:$E,'Disbursements Summary'!$C:$C,$C85,'Disbursements Summary'!$A:$A,"OTDA")</f>
        <v>0</v>
      </c>
      <c r="FH85" s="55">
        <f>SUMIFS('Awards Summary'!$H:$H,'Awards Summary'!$B:$B,$C85,'Awards Summary'!$J:$J,"OIG")</f>
        <v>0</v>
      </c>
      <c r="FI85" s="55">
        <f>SUMIFS('Disbursements Summary'!$E:$E,'Disbursements Summary'!$C:$C,$C85,'Disbursements Summary'!$A:$A,"OIG")</f>
        <v>0</v>
      </c>
      <c r="FJ85" s="55">
        <f>SUMIFS('Awards Summary'!$H:$H,'Awards Summary'!$B:$B,$C85,'Awards Summary'!$J:$J,"OMIG")</f>
        <v>0</v>
      </c>
      <c r="FK85" s="55">
        <f>SUMIFS('Disbursements Summary'!$E:$E,'Disbursements Summary'!$C:$C,$C85,'Disbursements Summary'!$A:$A,"OMIG")</f>
        <v>0</v>
      </c>
      <c r="FL85" s="55">
        <f>SUMIFS('Awards Summary'!$H:$H,'Awards Summary'!$B:$B,$C85,'Awards Summary'!$J:$J,"OSC")</f>
        <v>0</v>
      </c>
      <c r="FM85" s="55">
        <f>SUMIFS('Disbursements Summary'!$E:$E,'Disbursements Summary'!$C:$C,$C85,'Disbursements Summary'!$A:$A,"OSC")</f>
        <v>0</v>
      </c>
      <c r="FN85" s="55">
        <f>SUMIFS('Awards Summary'!$H:$H,'Awards Summary'!$B:$B,$C85,'Awards Summary'!$J:$J,"OWIG")</f>
        <v>0</v>
      </c>
      <c r="FO85" s="55">
        <f>SUMIFS('Disbursements Summary'!$E:$E,'Disbursements Summary'!$C:$C,$C85,'Disbursements Summary'!$A:$A,"OWIG")</f>
        <v>0</v>
      </c>
      <c r="FP85" s="55">
        <f>SUMIFS('Awards Summary'!$H:$H,'Awards Summary'!$B:$B,$C85,'Awards Summary'!$J:$J,"OGDEN")</f>
        <v>0</v>
      </c>
      <c r="FQ85" s="55">
        <f>SUMIFS('Disbursements Summary'!$E:$E,'Disbursements Summary'!$C:$C,$C85,'Disbursements Summary'!$A:$A,"OGDEN")</f>
        <v>0</v>
      </c>
      <c r="FR85" s="55">
        <f>SUMIFS('Awards Summary'!$H:$H,'Awards Summary'!$B:$B,$C85,'Awards Summary'!$J:$J,"ORDA")</f>
        <v>0</v>
      </c>
      <c r="FS85" s="55">
        <f>SUMIFS('Disbursements Summary'!$E:$E,'Disbursements Summary'!$C:$C,$C85,'Disbursements Summary'!$A:$A,"ORDA")</f>
        <v>0</v>
      </c>
      <c r="FT85" s="55">
        <f>SUMIFS('Awards Summary'!$H:$H,'Awards Summary'!$B:$B,$C85,'Awards Summary'!$J:$J,"OSWEGO")</f>
        <v>0</v>
      </c>
      <c r="FU85" s="55">
        <f>SUMIFS('Disbursements Summary'!$E:$E,'Disbursements Summary'!$C:$C,$C85,'Disbursements Summary'!$A:$A,"OSWEGO")</f>
        <v>0</v>
      </c>
      <c r="FV85" s="55">
        <f>SUMIFS('Awards Summary'!$H:$H,'Awards Summary'!$B:$B,$C85,'Awards Summary'!$J:$J,"PERB")</f>
        <v>0</v>
      </c>
      <c r="FW85" s="55">
        <f>SUMIFS('Disbursements Summary'!$E:$E,'Disbursements Summary'!$C:$C,$C85,'Disbursements Summary'!$A:$A,"PERB")</f>
        <v>0</v>
      </c>
      <c r="FX85" s="55">
        <f>SUMIFS('Awards Summary'!$H:$H,'Awards Summary'!$B:$B,$C85,'Awards Summary'!$J:$J,"RGRTA")</f>
        <v>0</v>
      </c>
      <c r="FY85" s="55">
        <f>SUMIFS('Disbursements Summary'!$E:$E,'Disbursements Summary'!$C:$C,$C85,'Disbursements Summary'!$A:$A,"RGRTA")</f>
        <v>0</v>
      </c>
      <c r="FZ85" s="55">
        <f>SUMIFS('Awards Summary'!$H:$H,'Awards Summary'!$B:$B,$C85,'Awards Summary'!$J:$J,"RIOC")</f>
        <v>0</v>
      </c>
      <c r="GA85" s="55">
        <f>SUMIFS('Disbursements Summary'!$E:$E,'Disbursements Summary'!$C:$C,$C85,'Disbursements Summary'!$A:$A,"RIOC")</f>
        <v>0</v>
      </c>
      <c r="GB85" s="55">
        <f>SUMIFS('Awards Summary'!$H:$H,'Awards Summary'!$B:$B,$C85,'Awards Summary'!$J:$J,"RPCI")</f>
        <v>0</v>
      </c>
      <c r="GC85" s="55">
        <f>SUMIFS('Disbursements Summary'!$E:$E,'Disbursements Summary'!$C:$C,$C85,'Disbursements Summary'!$A:$A,"RPCI")</f>
        <v>0</v>
      </c>
      <c r="GD85" s="55">
        <f>SUMIFS('Awards Summary'!$H:$H,'Awards Summary'!$B:$B,$C85,'Awards Summary'!$J:$J,"SMDA")</f>
        <v>0</v>
      </c>
      <c r="GE85" s="55">
        <f>SUMIFS('Disbursements Summary'!$E:$E,'Disbursements Summary'!$C:$C,$C85,'Disbursements Summary'!$A:$A,"SMDA")</f>
        <v>0</v>
      </c>
      <c r="GF85" s="55">
        <f>SUMIFS('Awards Summary'!$H:$H,'Awards Summary'!$B:$B,$C85,'Awards Summary'!$J:$J,"SCOC")</f>
        <v>0</v>
      </c>
      <c r="GG85" s="55">
        <f>SUMIFS('Disbursements Summary'!$E:$E,'Disbursements Summary'!$C:$C,$C85,'Disbursements Summary'!$A:$A,"SCOC")</f>
        <v>0</v>
      </c>
      <c r="GH85" s="55">
        <f>SUMIFS('Awards Summary'!$H:$H,'Awards Summary'!$B:$B,$C85,'Awards Summary'!$J:$J,"SUCF")</f>
        <v>0</v>
      </c>
      <c r="GI85" s="55">
        <f>SUMIFS('Disbursements Summary'!$E:$E,'Disbursements Summary'!$C:$C,$C85,'Disbursements Summary'!$A:$A,"SUCF")</f>
        <v>0</v>
      </c>
      <c r="GJ85" s="55">
        <f>SUMIFS('Awards Summary'!$H:$H,'Awards Summary'!$B:$B,$C85,'Awards Summary'!$J:$J,"SUNY")</f>
        <v>0</v>
      </c>
      <c r="GK85" s="55">
        <f>SUMIFS('Disbursements Summary'!$E:$E,'Disbursements Summary'!$C:$C,$C85,'Disbursements Summary'!$A:$A,"SUNY")</f>
        <v>0</v>
      </c>
      <c r="GL85" s="55">
        <f>SUMIFS('Awards Summary'!$H:$H,'Awards Summary'!$B:$B,$C85,'Awards Summary'!$J:$J,"SRAA")</f>
        <v>0</v>
      </c>
      <c r="GM85" s="55">
        <f>SUMIFS('Disbursements Summary'!$E:$E,'Disbursements Summary'!$C:$C,$C85,'Disbursements Summary'!$A:$A,"SRAA")</f>
        <v>0</v>
      </c>
      <c r="GN85" s="55">
        <f>SUMIFS('Awards Summary'!$H:$H,'Awards Summary'!$B:$B,$C85,'Awards Summary'!$J:$J,"UNDC")</f>
        <v>0</v>
      </c>
      <c r="GO85" s="55">
        <f>SUMIFS('Disbursements Summary'!$E:$E,'Disbursements Summary'!$C:$C,$C85,'Disbursements Summary'!$A:$A,"UNDC")</f>
        <v>0</v>
      </c>
      <c r="GP85" s="55">
        <f>SUMIFS('Awards Summary'!$H:$H,'Awards Summary'!$B:$B,$C85,'Awards Summary'!$J:$J,"MVWA")</f>
        <v>0</v>
      </c>
      <c r="GQ85" s="55">
        <f>SUMIFS('Disbursements Summary'!$E:$E,'Disbursements Summary'!$C:$C,$C85,'Disbursements Summary'!$A:$A,"MVWA")</f>
        <v>0</v>
      </c>
      <c r="GR85" s="55">
        <f>SUMIFS('Awards Summary'!$H:$H,'Awards Summary'!$B:$B,$C85,'Awards Summary'!$J:$J,"WMC")</f>
        <v>0</v>
      </c>
      <c r="GS85" s="55">
        <f>SUMIFS('Disbursements Summary'!$E:$E,'Disbursements Summary'!$C:$C,$C85,'Disbursements Summary'!$A:$A,"WMC")</f>
        <v>0</v>
      </c>
      <c r="GT85" s="55">
        <f>SUMIFS('Awards Summary'!$H:$H,'Awards Summary'!$B:$B,$C85,'Awards Summary'!$J:$J,"WCB")</f>
        <v>0</v>
      </c>
      <c r="GU85" s="55">
        <f>SUMIFS('Disbursements Summary'!$E:$E,'Disbursements Summary'!$C:$C,$C85,'Disbursements Summary'!$A:$A,"WCB")</f>
        <v>0</v>
      </c>
      <c r="GV85" s="32">
        <f t="shared" si="5"/>
        <v>0</v>
      </c>
      <c r="GW85" s="32">
        <f t="shared" si="6"/>
        <v>0</v>
      </c>
      <c r="GX85" s="30" t="b">
        <f t="shared" si="7"/>
        <v>1</v>
      </c>
      <c r="GY85" s="30" t="b">
        <f t="shared" si="8"/>
        <v>1</v>
      </c>
    </row>
    <row r="86" spans="1:207" s="30" customFormat="1">
      <c r="A86" s="22" t="str">
        <f t="shared" si="9"/>
        <v/>
      </c>
      <c r="B86" s="40" t="s">
        <v>218</v>
      </c>
      <c r="C86" s="16">
        <v>151170</v>
      </c>
      <c r="D86" s="26">
        <f>COUNTIF('Awards Summary'!B:B,"151170")</f>
        <v>0</v>
      </c>
      <c r="E86" s="45">
        <f>SUMIFS('Awards Summary'!H:H,'Awards Summary'!B:B,"151170")</f>
        <v>0</v>
      </c>
      <c r="F86" s="46">
        <f>SUMIFS('Disbursements Summary'!E:E,'Disbursements Summary'!C:C, "151170")</f>
        <v>0</v>
      </c>
      <c r="H86" s="55">
        <f>SUMIFS('Awards Summary'!$H:$H,'Awards Summary'!$B:$B,$C86,'Awards Summary'!$J:$J,"APA")</f>
        <v>0</v>
      </c>
      <c r="I86" s="55">
        <f>SUMIFS('Disbursements Summary'!$E:$E,'Disbursements Summary'!$C:$C,$C86,'Disbursements Summary'!$A:$A,"APA")</f>
        <v>0</v>
      </c>
      <c r="J86" s="55">
        <f>SUMIFS('Awards Summary'!$H:$H,'Awards Summary'!$B:$B,$C86,'Awards Summary'!$J:$J,"Ag&amp;Horse")</f>
        <v>0</v>
      </c>
      <c r="K86" s="55">
        <f>SUMIFS('Disbursements Summary'!$E:$E,'Disbursements Summary'!$C:$C,$C86,'Disbursements Summary'!$A:$A,"Ag&amp;Horse")</f>
        <v>0</v>
      </c>
      <c r="L86" s="55">
        <f>SUMIFS('Awards Summary'!$H:$H,'Awards Summary'!$B:$B,$C86,'Awards Summary'!$J:$J,"ACAA")</f>
        <v>0</v>
      </c>
      <c r="M86" s="55">
        <f>SUMIFS('Disbursements Summary'!$E:$E,'Disbursements Summary'!$C:$C,$C86,'Disbursements Summary'!$A:$A,"ACAA")</f>
        <v>0</v>
      </c>
      <c r="N86" s="55">
        <f>SUMIFS('Awards Summary'!$H:$H,'Awards Summary'!$B:$B,$C86,'Awards Summary'!$J:$J,"PortAlbany")</f>
        <v>0</v>
      </c>
      <c r="O86" s="55">
        <f>SUMIFS('Disbursements Summary'!$E:$E,'Disbursements Summary'!$C:$C,$C86,'Disbursements Summary'!$A:$A,"PortAlbany")</f>
        <v>0</v>
      </c>
      <c r="P86" s="55">
        <f>SUMIFS('Awards Summary'!$H:$H,'Awards Summary'!$B:$B,$C86,'Awards Summary'!$J:$J,"SLA")</f>
        <v>0</v>
      </c>
      <c r="Q86" s="55">
        <f>SUMIFS('Disbursements Summary'!$E:$E,'Disbursements Summary'!$C:$C,$C86,'Disbursements Summary'!$A:$A,"SLA")</f>
        <v>0</v>
      </c>
      <c r="R86" s="55">
        <f>SUMIFS('Awards Summary'!$H:$H,'Awards Summary'!$B:$B,$C86,'Awards Summary'!$J:$J,"BPCA")</f>
        <v>0</v>
      </c>
      <c r="S86" s="55">
        <f>SUMIFS('Disbursements Summary'!$E:$E,'Disbursements Summary'!$C:$C,$C86,'Disbursements Summary'!$A:$A,"BPCA")</f>
        <v>0</v>
      </c>
      <c r="T86" s="55">
        <f>SUMIFS('Awards Summary'!$H:$H,'Awards Summary'!$B:$B,$C86,'Awards Summary'!$J:$J,"ELECTIONS")</f>
        <v>0</v>
      </c>
      <c r="U86" s="55">
        <f>SUMIFS('Disbursements Summary'!$E:$E,'Disbursements Summary'!$C:$C,$C86,'Disbursements Summary'!$A:$A,"ELECTIONS")</f>
        <v>0</v>
      </c>
      <c r="V86" s="55">
        <f>SUMIFS('Awards Summary'!$H:$H,'Awards Summary'!$B:$B,$C86,'Awards Summary'!$J:$J,"BFSA")</f>
        <v>0</v>
      </c>
      <c r="W86" s="55">
        <f>SUMIFS('Disbursements Summary'!$E:$E,'Disbursements Summary'!$C:$C,$C86,'Disbursements Summary'!$A:$A,"BFSA")</f>
        <v>0</v>
      </c>
      <c r="X86" s="55">
        <f>SUMIFS('Awards Summary'!$H:$H,'Awards Summary'!$B:$B,$C86,'Awards Summary'!$J:$J,"CDTA")</f>
        <v>0</v>
      </c>
      <c r="Y86" s="55">
        <f>SUMIFS('Disbursements Summary'!$E:$E,'Disbursements Summary'!$C:$C,$C86,'Disbursements Summary'!$A:$A,"CDTA")</f>
        <v>0</v>
      </c>
      <c r="Z86" s="55">
        <f>SUMIFS('Awards Summary'!$H:$H,'Awards Summary'!$B:$B,$C86,'Awards Summary'!$J:$J,"CCWSA")</f>
        <v>0</v>
      </c>
      <c r="AA86" s="55">
        <f>SUMIFS('Disbursements Summary'!$E:$E,'Disbursements Summary'!$C:$C,$C86,'Disbursements Summary'!$A:$A,"CCWSA")</f>
        <v>0</v>
      </c>
      <c r="AB86" s="55">
        <f>SUMIFS('Awards Summary'!$H:$H,'Awards Summary'!$B:$B,$C86,'Awards Summary'!$J:$J,"CNYRTA")</f>
        <v>0</v>
      </c>
      <c r="AC86" s="55">
        <f>SUMIFS('Disbursements Summary'!$E:$E,'Disbursements Summary'!$C:$C,$C86,'Disbursements Summary'!$A:$A,"CNYRTA")</f>
        <v>0</v>
      </c>
      <c r="AD86" s="55">
        <f>SUMIFS('Awards Summary'!$H:$H,'Awards Summary'!$B:$B,$C86,'Awards Summary'!$J:$J,"CUCF")</f>
        <v>0</v>
      </c>
      <c r="AE86" s="55">
        <f>SUMIFS('Disbursements Summary'!$E:$E,'Disbursements Summary'!$C:$C,$C86,'Disbursements Summary'!$A:$A,"CUCF")</f>
        <v>0</v>
      </c>
      <c r="AF86" s="55">
        <f>SUMIFS('Awards Summary'!$H:$H,'Awards Summary'!$B:$B,$C86,'Awards Summary'!$J:$J,"CUNY")</f>
        <v>0</v>
      </c>
      <c r="AG86" s="55">
        <f>SUMIFS('Disbursements Summary'!$E:$E,'Disbursements Summary'!$C:$C,$C86,'Disbursements Summary'!$A:$A,"CUNY")</f>
        <v>0</v>
      </c>
      <c r="AH86" s="55">
        <f>SUMIFS('Awards Summary'!$H:$H,'Awards Summary'!$B:$B,$C86,'Awards Summary'!$J:$J,"ARTS")</f>
        <v>0</v>
      </c>
      <c r="AI86" s="55">
        <f>SUMIFS('Disbursements Summary'!$E:$E,'Disbursements Summary'!$C:$C,$C86,'Disbursements Summary'!$A:$A,"ARTS")</f>
        <v>0</v>
      </c>
      <c r="AJ86" s="55">
        <f>SUMIFS('Awards Summary'!$H:$H,'Awards Summary'!$B:$B,$C86,'Awards Summary'!$J:$J,"AG&amp;MKTS")</f>
        <v>0</v>
      </c>
      <c r="AK86" s="55">
        <f>SUMIFS('Disbursements Summary'!$E:$E,'Disbursements Summary'!$C:$C,$C86,'Disbursements Summary'!$A:$A,"AG&amp;MKTS")</f>
        <v>0</v>
      </c>
      <c r="AL86" s="55">
        <f>SUMIFS('Awards Summary'!$H:$H,'Awards Summary'!$B:$B,$C86,'Awards Summary'!$J:$J,"CS")</f>
        <v>0</v>
      </c>
      <c r="AM86" s="55">
        <f>SUMIFS('Disbursements Summary'!$E:$E,'Disbursements Summary'!$C:$C,$C86,'Disbursements Summary'!$A:$A,"CS")</f>
        <v>0</v>
      </c>
      <c r="AN86" s="55">
        <f>SUMIFS('Awards Summary'!$H:$H,'Awards Summary'!$B:$B,$C86,'Awards Summary'!$J:$J,"DOCCS")</f>
        <v>0</v>
      </c>
      <c r="AO86" s="55">
        <f>SUMIFS('Disbursements Summary'!$E:$E,'Disbursements Summary'!$C:$C,$C86,'Disbursements Summary'!$A:$A,"DOCCS")</f>
        <v>0</v>
      </c>
      <c r="AP86" s="55">
        <f>SUMIFS('Awards Summary'!$H:$H,'Awards Summary'!$B:$B,$C86,'Awards Summary'!$J:$J,"DED")</f>
        <v>0</v>
      </c>
      <c r="AQ86" s="55">
        <f>SUMIFS('Disbursements Summary'!$E:$E,'Disbursements Summary'!$C:$C,$C86,'Disbursements Summary'!$A:$A,"DED")</f>
        <v>0</v>
      </c>
      <c r="AR86" s="55">
        <f>SUMIFS('Awards Summary'!$H:$H,'Awards Summary'!$B:$B,$C86,'Awards Summary'!$J:$J,"DEC")</f>
        <v>0</v>
      </c>
      <c r="AS86" s="55">
        <f>SUMIFS('Disbursements Summary'!$E:$E,'Disbursements Summary'!$C:$C,$C86,'Disbursements Summary'!$A:$A,"DEC")</f>
        <v>0</v>
      </c>
      <c r="AT86" s="55">
        <f>SUMIFS('Awards Summary'!$H:$H,'Awards Summary'!$B:$B,$C86,'Awards Summary'!$J:$J,"DFS")</f>
        <v>0</v>
      </c>
      <c r="AU86" s="55">
        <f>SUMIFS('Disbursements Summary'!$E:$E,'Disbursements Summary'!$C:$C,$C86,'Disbursements Summary'!$A:$A,"DFS")</f>
        <v>0</v>
      </c>
      <c r="AV86" s="55">
        <f>SUMIFS('Awards Summary'!$H:$H,'Awards Summary'!$B:$B,$C86,'Awards Summary'!$J:$J,"DOH")</f>
        <v>0</v>
      </c>
      <c r="AW86" s="55">
        <f>SUMIFS('Disbursements Summary'!$E:$E,'Disbursements Summary'!$C:$C,$C86,'Disbursements Summary'!$A:$A,"DOH")</f>
        <v>0</v>
      </c>
      <c r="AX86" s="55">
        <f>SUMIFS('Awards Summary'!$H:$H,'Awards Summary'!$B:$B,$C86,'Awards Summary'!$J:$J,"DOL")</f>
        <v>0</v>
      </c>
      <c r="AY86" s="55">
        <f>SUMIFS('Disbursements Summary'!$E:$E,'Disbursements Summary'!$C:$C,$C86,'Disbursements Summary'!$A:$A,"DOL")</f>
        <v>0</v>
      </c>
      <c r="AZ86" s="55">
        <f>SUMIFS('Awards Summary'!$H:$H,'Awards Summary'!$B:$B,$C86,'Awards Summary'!$J:$J,"DMV")</f>
        <v>0</v>
      </c>
      <c r="BA86" s="55">
        <f>SUMIFS('Disbursements Summary'!$E:$E,'Disbursements Summary'!$C:$C,$C86,'Disbursements Summary'!$A:$A,"DMV")</f>
        <v>0</v>
      </c>
      <c r="BB86" s="55">
        <f>SUMIFS('Awards Summary'!$H:$H,'Awards Summary'!$B:$B,$C86,'Awards Summary'!$J:$J,"DPS")</f>
        <v>0</v>
      </c>
      <c r="BC86" s="55">
        <f>SUMIFS('Disbursements Summary'!$E:$E,'Disbursements Summary'!$C:$C,$C86,'Disbursements Summary'!$A:$A,"DPS")</f>
        <v>0</v>
      </c>
      <c r="BD86" s="55">
        <f>SUMIFS('Awards Summary'!$H:$H,'Awards Summary'!$B:$B,$C86,'Awards Summary'!$J:$J,"DOS")</f>
        <v>0</v>
      </c>
      <c r="BE86" s="55">
        <f>SUMIFS('Disbursements Summary'!$E:$E,'Disbursements Summary'!$C:$C,$C86,'Disbursements Summary'!$A:$A,"DOS")</f>
        <v>0</v>
      </c>
      <c r="BF86" s="55">
        <f>SUMIFS('Awards Summary'!$H:$H,'Awards Summary'!$B:$B,$C86,'Awards Summary'!$J:$J,"TAX")</f>
        <v>0</v>
      </c>
      <c r="BG86" s="55">
        <f>SUMIFS('Disbursements Summary'!$E:$E,'Disbursements Summary'!$C:$C,$C86,'Disbursements Summary'!$A:$A,"TAX")</f>
        <v>0</v>
      </c>
      <c r="BH86" s="55">
        <f>SUMIFS('Awards Summary'!$H:$H,'Awards Summary'!$B:$B,$C86,'Awards Summary'!$J:$J,"DOT")</f>
        <v>0</v>
      </c>
      <c r="BI86" s="55">
        <f>SUMIFS('Disbursements Summary'!$E:$E,'Disbursements Summary'!$C:$C,$C86,'Disbursements Summary'!$A:$A,"DOT")</f>
        <v>0</v>
      </c>
      <c r="BJ86" s="55">
        <f>SUMIFS('Awards Summary'!$H:$H,'Awards Summary'!$B:$B,$C86,'Awards Summary'!$J:$J,"DANC")</f>
        <v>0</v>
      </c>
      <c r="BK86" s="55">
        <f>SUMIFS('Disbursements Summary'!$E:$E,'Disbursements Summary'!$C:$C,$C86,'Disbursements Summary'!$A:$A,"DANC")</f>
        <v>0</v>
      </c>
      <c r="BL86" s="55">
        <f>SUMIFS('Awards Summary'!$H:$H,'Awards Summary'!$B:$B,$C86,'Awards Summary'!$J:$J,"DOB")</f>
        <v>0</v>
      </c>
      <c r="BM86" s="55">
        <f>SUMIFS('Disbursements Summary'!$E:$E,'Disbursements Summary'!$C:$C,$C86,'Disbursements Summary'!$A:$A,"DOB")</f>
        <v>0</v>
      </c>
      <c r="BN86" s="55">
        <f>SUMIFS('Awards Summary'!$H:$H,'Awards Summary'!$B:$B,$C86,'Awards Summary'!$J:$J,"DCJS")</f>
        <v>0</v>
      </c>
      <c r="BO86" s="55">
        <f>SUMIFS('Disbursements Summary'!$E:$E,'Disbursements Summary'!$C:$C,$C86,'Disbursements Summary'!$A:$A,"DCJS")</f>
        <v>0</v>
      </c>
      <c r="BP86" s="55">
        <f>SUMIFS('Awards Summary'!$H:$H,'Awards Summary'!$B:$B,$C86,'Awards Summary'!$J:$J,"DHSES")</f>
        <v>0</v>
      </c>
      <c r="BQ86" s="55">
        <f>SUMIFS('Disbursements Summary'!$E:$E,'Disbursements Summary'!$C:$C,$C86,'Disbursements Summary'!$A:$A,"DHSES")</f>
        <v>0</v>
      </c>
      <c r="BR86" s="55">
        <f>SUMIFS('Awards Summary'!$H:$H,'Awards Summary'!$B:$B,$C86,'Awards Summary'!$J:$J,"DHR")</f>
        <v>0</v>
      </c>
      <c r="BS86" s="55">
        <f>SUMIFS('Disbursements Summary'!$E:$E,'Disbursements Summary'!$C:$C,$C86,'Disbursements Summary'!$A:$A,"DHR")</f>
        <v>0</v>
      </c>
      <c r="BT86" s="55">
        <f>SUMIFS('Awards Summary'!$H:$H,'Awards Summary'!$B:$B,$C86,'Awards Summary'!$J:$J,"DMNA")</f>
        <v>0</v>
      </c>
      <c r="BU86" s="55">
        <f>SUMIFS('Disbursements Summary'!$E:$E,'Disbursements Summary'!$C:$C,$C86,'Disbursements Summary'!$A:$A,"DMNA")</f>
        <v>0</v>
      </c>
      <c r="BV86" s="55">
        <f>SUMIFS('Awards Summary'!$H:$H,'Awards Summary'!$B:$B,$C86,'Awards Summary'!$J:$J,"TROOPERS")</f>
        <v>0</v>
      </c>
      <c r="BW86" s="55">
        <f>SUMIFS('Disbursements Summary'!$E:$E,'Disbursements Summary'!$C:$C,$C86,'Disbursements Summary'!$A:$A,"TROOPERS")</f>
        <v>0</v>
      </c>
      <c r="BX86" s="55">
        <f>SUMIFS('Awards Summary'!$H:$H,'Awards Summary'!$B:$B,$C86,'Awards Summary'!$J:$J,"DVA")</f>
        <v>0</v>
      </c>
      <c r="BY86" s="55">
        <f>SUMIFS('Disbursements Summary'!$E:$E,'Disbursements Summary'!$C:$C,$C86,'Disbursements Summary'!$A:$A,"DVA")</f>
        <v>0</v>
      </c>
      <c r="BZ86" s="55">
        <f>SUMIFS('Awards Summary'!$H:$H,'Awards Summary'!$B:$B,$C86,'Awards Summary'!$J:$J,"DASNY")</f>
        <v>0</v>
      </c>
      <c r="CA86" s="55">
        <f>SUMIFS('Disbursements Summary'!$E:$E,'Disbursements Summary'!$C:$C,$C86,'Disbursements Summary'!$A:$A,"DASNY")</f>
        <v>0</v>
      </c>
      <c r="CB86" s="55">
        <f>SUMIFS('Awards Summary'!$H:$H,'Awards Summary'!$B:$B,$C86,'Awards Summary'!$J:$J,"EGG")</f>
        <v>0</v>
      </c>
      <c r="CC86" s="55">
        <f>SUMIFS('Disbursements Summary'!$E:$E,'Disbursements Summary'!$C:$C,$C86,'Disbursements Summary'!$A:$A,"EGG")</f>
        <v>0</v>
      </c>
      <c r="CD86" s="55">
        <f>SUMIFS('Awards Summary'!$H:$H,'Awards Summary'!$B:$B,$C86,'Awards Summary'!$J:$J,"ESD")</f>
        <v>0</v>
      </c>
      <c r="CE86" s="55">
        <f>SUMIFS('Disbursements Summary'!$E:$E,'Disbursements Summary'!$C:$C,$C86,'Disbursements Summary'!$A:$A,"ESD")</f>
        <v>0</v>
      </c>
      <c r="CF86" s="55">
        <f>SUMIFS('Awards Summary'!$H:$H,'Awards Summary'!$B:$B,$C86,'Awards Summary'!$J:$J,"EFC")</f>
        <v>0</v>
      </c>
      <c r="CG86" s="55">
        <f>SUMIFS('Disbursements Summary'!$E:$E,'Disbursements Summary'!$C:$C,$C86,'Disbursements Summary'!$A:$A,"EFC")</f>
        <v>0</v>
      </c>
      <c r="CH86" s="55">
        <f>SUMIFS('Awards Summary'!$H:$H,'Awards Summary'!$B:$B,$C86,'Awards Summary'!$J:$J,"ECFSA")</f>
        <v>0</v>
      </c>
      <c r="CI86" s="55">
        <f>SUMIFS('Disbursements Summary'!$E:$E,'Disbursements Summary'!$C:$C,$C86,'Disbursements Summary'!$A:$A,"ECFSA")</f>
        <v>0</v>
      </c>
      <c r="CJ86" s="55">
        <f>SUMIFS('Awards Summary'!$H:$H,'Awards Summary'!$B:$B,$C86,'Awards Summary'!$J:$J,"ECMC")</f>
        <v>0</v>
      </c>
      <c r="CK86" s="55">
        <f>SUMIFS('Disbursements Summary'!$E:$E,'Disbursements Summary'!$C:$C,$C86,'Disbursements Summary'!$A:$A,"ECMC")</f>
        <v>0</v>
      </c>
      <c r="CL86" s="55">
        <f>SUMIFS('Awards Summary'!$H:$H,'Awards Summary'!$B:$B,$C86,'Awards Summary'!$J:$J,"CHAMBER")</f>
        <v>0</v>
      </c>
      <c r="CM86" s="55">
        <f>SUMIFS('Disbursements Summary'!$E:$E,'Disbursements Summary'!$C:$C,$C86,'Disbursements Summary'!$A:$A,"CHAMBER")</f>
        <v>0</v>
      </c>
      <c r="CN86" s="55">
        <f>SUMIFS('Awards Summary'!$H:$H,'Awards Summary'!$B:$B,$C86,'Awards Summary'!$J:$J,"GAMING")</f>
        <v>0</v>
      </c>
      <c r="CO86" s="55">
        <f>SUMIFS('Disbursements Summary'!$E:$E,'Disbursements Summary'!$C:$C,$C86,'Disbursements Summary'!$A:$A,"GAMING")</f>
        <v>0</v>
      </c>
      <c r="CP86" s="55">
        <f>SUMIFS('Awards Summary'!$H:$H,'Awards Summary'!$B:$B,$C86,'Awards Summary'!$J:$J,"GOER")</f>
        <v>0</v>
      </c>
      <c r="CQ86" s="55">
        <f>SUMIFS('Disbursements Summary'!$E:$E,'Disbursements Summary'!$C:$C,$C86,'Disbursements Summary'!$A:$A,"GOER")</f>
        <v>0</v>
      </c>
      <c r="CR86" s="55">
        <f>SUMIFS('Awards Summary'!$H:$H,'Awards Summary'!$B:$B,$C86,'Awards Summary'!$J:$J,"HESC")</f>
        <v>0</v>
      </c>
      <c r="CS86" s="55">
        <f>SUMIFS('Disbursements Summary'!$E:$E,'Disbursements Summary'!$C:$C,$C86,'Disbursements Summary'!$A:$A,"HESC")</f>
        <v>0</v>
      </c>
      <c r="CT86" s="55">
        <f>SUMIFS('Awards Summary'!$H:$H,'Awards Summary'!$B:$B,$C86,'Awards Summary'!$J:$J,"GOSR")</f>
        <v>0</v>
      </c>
      <c r="CU86" s="55">
        <f>SUMIFS('Disbursements Summary'!$E:$E,'Disbursements Summary'!$C:$C,$C86,'Disbursements Summary'!$A:$A,"GOSR")</f>
        <v>0</v>
      </c>
      <c r="CV86" s="55">
        <f>SUMIFS('Awards Summary'!$H:$H,'Awards Summary'!$B:$B,$C86,'Awards Summary'!$J:$J,"HRPT")</f>
        <v>0</v>
      </c>
      <c r="CW86" s="55">
        <f>SUMIFS('Disbursements Summary'!$E:$E,'Disbursements Summary'!$C:$C,$C86,'Disbursements Summary'!$A:$A,"HRPT")</f>
        <v>0</v>
      </c>
      <c r="CX86" s="55">
        <f>SUMIFS('Awards Summary'!$H:$H,'Awards Summary'!$B:$B,$C86,'Awards Summary'!$J:$J,"HRBRRD")</f>
        <v>0</v>
      </c>
      <c r="CY86" s="55">
        <f>SUMIFS('Disbursements Summary'!$E:$E,'Disbursements Summary'!$C:$C,$C86,'Disbursements Summary'!$A:$A,"HRBRRD")</f>
        <v>0</v>
      </c>
      <c r="CZ86" s="55">
        <f>SUMIFS('Awards Summary'!$H:$H,'Awards Summary'!$B:$B,$C86,'Awards Summary'!$J:$J,"ITS")</f>
        <v>0</v>
      </c>
      <c r="DA86" s="55">
        <f>SUMIFS('Disbursements Summary'!$E:$E,'Disbursements Summary'!$C:$C,$C86,'Disbursements Summary'!$A:$A,"ITS")</f>
        <v>0</v>
      </c>
      <c r="DB86" s="55">
        <f>SUMIFS('Awards Summary'!$H:$H,'Awards Summary'!$B:$B,$C86,'Awards Summary'!$J:$J,"JAVITS")</f>
        <v>0</v>
      </c>
      <c r="DC86" s="55">
        <f>SUMIFS('Disbursements Summary'!$E:$E,'Disbursements Summary'!$C:$C,$C86,'Disbursements Summary'!$A:$A,"JAVITS")</f>
        <v>0</v>
      </c>
      <c r="DD86" s="55">
        <f>SUMIFS('Awards Summary'!$H:$H,'Awards Summary'!$B:$B,$C86,'Awards Summary'!$J:$J,"JCOPE")</f>
        <v>0</v>
      </c>
      <c r="DE86" s="55">
        <f>SUMIFS('Disbursements Summary'!$E:$E,'Disbursements Summary'!$C:$C,$C86,'Disbursements Summary'!$A:$A,"JCOPE")</f>
        <v>0</v>
      </c>
      <c r="DF86" s="55">
        <f>SUMIFS('Awards Summary'!$H:$H,'Awards Summary'!$B:$B,$C86,'Awards Summary'!$J:$J,"JUSTICE")</f>
        <v>0</v>
      </c>
      <c r="DG86" s="55">
        <f>SUMIFS('Disbursements Summary'!$E:$E,'Disbursements Summary'!$C:$C,$C86,'Disbursements Summary'!$A:$A,"JUSTICE")</f>
        <v>0</v>
      </c>
      <c r="DH86" s="55">
        <f>SUMIFS('Awards Summary'!$H:$H,'Awards Summary'!$B:$B,$C86,'Awards Summary'!$J:$J,"LCWSA")</f>
        <v>0</v>
      </c>
      <c r="DI86" s="55">
        <f>SUMIFS('Disbursements Summary'!$E:$E,'Disbursements Summary'!$C:$C,$C86,'Disbursements Summary'!$A:$A,"LCWSA")</f>
        <v>0</v>
      </c>
      <c r="DJ86" s="55">
        <f>SUMIFS('Awards Summary'!$H:$H,'Awards Summary'!$B:$B,$C86,'Awards Summary'!$J:$J,"LIPA")</f>
        <v>0</v>
      </c>
      <c r="DK86" s="55">
        <f>SUMIFS('Disbursements Summary'!$E:$E,'Disbursements Summary'!$C:$C,$C86,'Disbursements Summary'!$A:$A,"LIPA")</f>
        <v>0</v>
      </c>
      <c r="DL86" s="55">
        <f>SUMIFS('Awards Summary'!$H:$H,'Awards Summary'!$B:$B,$C86,'Awards Summary'!$J:$J,"MTA")</f>
        <v>0</v>
      </c>
      <c r="DM86" s="55">
        <f>SUMIFS('Disbursements Summary'!$E:$E,'Disbursements Summary'!$C:$C,$C86,'Disbursements Summary'!$A:$A,"MTA")</f>
        <v>0</v>
      </c>
      <c r="DN86" s="55">
        <f>SUMIFS('Awards Summary'!$H:$H,'Awards Summary'!$B:$B,$C86,'Awards Summary'!$J:$J,"NIFA")</f>
        <v>0</v>
      </c>
      <c r="DO86" s="55">
        <f>SUMIFS('Disbursements Summary'!$E:$E,'Disbursements Summary'!$C:$C,$C86,'Disbursements Summary'!$A:$A,"NIFA")</f>
        <v>0</v>
      </c>
      <c r="DP86" s="55">
        <f>SUMIFS('Awards Summary'!$H:$H,'Awards Summary'!$B:$B,$C86,'Awards Summary'!$J:$J,"NHCC")</f>
        <v>0</v>
      </c>
      <c r="DQ86" s="55">
        <f>SUMIFS('Disbursements Summary'!$E:$E,'Disbursements Summary'!$C:$C,$C86,'Disbursements Summary'!$A:$A,"NHCC")</f>
        <v>0</v>
      </c>
      <c r="DR86" s="55">
        <f>SUMIFS('Awards Summary'!$H:$H,'Awards Summary'!$B:$B,$C86,'Awards Summary'!$J:$J,"NHT")</f>
        <v>0</v>
      </c>
      <c r="DS86" s="55">
        <f>SUMIFS('Disbursements Summary'!$E:$E,'Disbursements Summary'!$C:$C,$C86,'Disbursements Summary'!$A:$A,"NHT")</f>
        <v>0</v>
      </c>
      <c r="DT86" s="55">
        <f>SUMIFS('Awards Summary'!$H:$H,'Awards Summary'!$B:$B,$C86,'Awards Summary'!$J:$J,"NYPA")</f>
        <v>0</v>
      </c>
      <c r="DU86" s="55">
        <f>SUMIFS('Disbursements Summary'!$E:$E,'Disbursements Summary'!$C:$C,$C86,'Disbursements Summary'!$A:$A,"NYPA")</f>
        <v>0</v>
      </c>
      <c r="DV86" s="55">
        <f>SUMIFS('Awards Summary'!$H:$H,'Awards Summary'!$B:$B,$C86,'Awards Summary'!$J:$J,"NYSBA")</f>
        <v>0</v>
      </c>
      <c r="DW86" s="55">
        <f>SUMIFS('Disbursements Summary'!$E:$E,'Disbursements Summary'!$C:$C,$C86,'Disbursements Summary'!$A:$A,"NYSBA")</f>
        <v>0</v>
      </c>
      <c r="DX86" s="55">
        <f>SUMIFS('Awards Summary'!$H:$H,'Awards Summary'!$B:$B,$C86,'Awards Summary'!$J:$J,"NYSERDA")</f>
        <v>0</v>
      </c>
      <c r="DY86" s="55">
        <f>SUMIFS('Disbursements Summary'!$E:$E,'Disbursements Summary'!$C:$C,$C86,'Disbursements Summary'!$A:$A,"NYSERDA")</f>
        <v>0</v>
      </c>
      <c r="DZ86" s="55">
        <f>SUMIFS('Awards Summary'!$H:$H,'Awards Summary'!$B:$B,$C86,'Awards Summary'!$J:$J,"DHCR")</f>
        <v>0</v>
      </c>
      <c r="EA86" s="55">
        <f>SUMIFS('Disbursements Summary'!$E:$E,'Disbursements Summary'!$C:$C,$C86,'Disbursements Summary'!$A:$A,"DHCR")</f>
        <v>0</v>
      </c>
      <c r="EB86" s="55">
        <f>SUMIFS('Awards Summary'!$H:$H,'Awards Summary'!$B:$B,$C86,'Awards Summary'!$J:$J,"HFA")</f>
        <v>0</v>
      </c>
      <c r="EC86" s="55">
        <f>SUMIFS('Disbursements Summary'!$E:$E,'Disbursements Summary'!$C:$C,$C86,'Disbursements Summary'!$A:$A,"HFA")</f>
        <v>0</v>
      </c>
      <c r="ED86" s="55">
        <f>SUMIFS('Awards Summary'!$H:$H,'Awards Summary'!$B:$B,$C86,'Awards Summary'!$J:$J,"NYSIF")</f>
        <v>0</v>
      </c>
      <c r="EE86" s="55">
        <f>SUMIFS('Disbursements Summary'!$E:$E,'Disbursements Summary'!$C:$C,$C86,'Disbursements Summary'!$A:$A,"NYSIF")</f>
        <v>0</v>
      </c>
      <c r="EF86" s="55">
        <f>SUMIFS('Awards Summary'!$H:$H,'Awards Summary'!$B:$B,$C86,'Awards Summary'!$J:$J,"NYBREDS")</f>
        <v>0</v>
      </c>
      <c r="EG86" s="55">
        <f>SUMIFS('Disbursements Summary'!$E:$E,'Disbursements Summary'!$C:$C,$C86,'Disbursements Summary'!$A:$A,"NYBREDS")</f>
        <v>0</v>
      </c>
      <c r="EH86" s="55">
        <f>SUMIFS('Awards Summary'!$H:$H,'Awards Summary'!$B:$B,$C86,'Awards Summary'!$J:$J,"NYSTA")</f>
        <v>0</v>
      </c>
      <c r="EI86" s="55">
        <f>SUMIFS('Disbursements Summary'!$E:$E,'Disbursements Summary'!$C:$C,$C86,'Disbursements Summary'!$A:$A,"NYSTA")</f>
        <v>0</v>
      </c>
      <c r="EJ86" s="55">
        <f>SUMIFS('Awards Summary'!$H:$H,'Awards Summary'!$B:$B,$C86,'Awards Summary'!$J:$J,"NFWB")</f>
        <v>0</v>
      </c>
      <c r="EK86" s="55">
        <f>SUMIFS('Disbursements Summary'!$E:$E,'Disbursements Summary'!$C:$C,$C86,'Disbursements Summary'!$A:$A,"NFWB")</f>
        <v>0</v>
      </c>
      <c r="EL86" s="55">
        <f>SUMIFS('Awards Summary'!$H:$H,'Awards Summary'!$B:$B,$C86,'Awards Summary'!$J:$J,"NFTA")</f>
        <v>0</v>
      </c>
      <c r="EM86" s="55">
        <f>SUMIFS('Disbursements Summary'!$E:$E,'Disbursements Summary'!$C:$C,$C86,'Disbursements Summary'!$A:$A,"NFTA")</f>
        <v>0</v>
      </c>
      <c r="EN86" s="55">
        <f>SUMIFS('Awards Summary'!$H:$H,'Awards Summary'!$B:$B,$C86,'Awards Summary'!$J:$J,"OPWDD")</f>
        <v>0</v>
      </c>
      <c r="EO86" s="55">
        <f>SUMIFS('Disbursements Summary'!$E:$E,'Disbursements Summary'!$C:$C,$C86,'Disbursements Summary'!$A:$A,"OPWDD")</f>
        <v>0</v>
      </c>
      <c r="EP86" s="55">
        <f>SUMIFS('Awards Summary'!$H:$H,'Awards Summary'!$B:$B,$C86,'Awards Summary'!$J:$J,"AGING")</f>
        <v>0</v>
      </c>
      <c r="EQ86" s="55">
        <f>SUMIFS('Disbursements Summary'!$E:$E,'Disbursements Summary'!$C:$C,$C86,'Disbursements Summary'!$A:$A,"AGING")</f>
        <v>0</v>
      </c>
      <c r="ER86" s="55">
        <f>SUMIFS('Awards Summary'!$H:$H,'Awards Summary'!$B:$B,$C86,'Awards Summary'!$J:$J,"OPDV")</f>
        <v>0</v>
      </c>
      <c r="ES86" s="55">
        <f>SUMIFS('Disbursements Summary'!$E:$E,'Disbursements Summary'!$C:$C,$C86,'Disbursements Summary'!$A:$A,"OPDV")</f>
        <v>0</v>
      </c>
      <c r="ET86" s="55">
        <f>SUMIFS('Awards Summary'!$H:$H,'Awards Summary'!$B:$B,$C86,'Awards Summary'!$J:$J,"OVS")</f>
        <v>0</v>
      </c>
      <c r="EU86" s="55">
        <f>SUMIFS('Disbursements Summary'!$E:$E,'Disbursements Summary'!$C:$C,$C86,'Disbursements Summary'!$A:$A,"OVS")</f>
        <v>0</v>
      </c>
      <c r="EV86" s="55">
        <f>SUMIFS('Awards Summary'!$H:$H,'Awards Summary'!$B:$B,$C86,'Awards Summary'!$J:$J,"OASAS")</f>
        <v>0</v>
      </c>
      <c r="EW86" s="55">
        <f>SUMIFS('Disbursements Summary'!$E:$E,'Disbursements Summary'!$C:$C,$C86,'Disbursements Summary'!$A:$A,"OASAS")</f>
        <v>0</v>
      </c>
      <c r="EX86" s="55">
        <f>SUMIFS('Awards Summary'!$H:$H,'Awards Summary'!$B:$B,$C86,'Awards Summary'!$J:$J,"OCFS")</f>
        <v>0</v>
      </c>
      <c r="EY86" s="55">
        <f>SUMIFS('Disbursements Summary'!$E:$E,'Disbursements Summary'!$C:$C,$C86,'Disbursements Summary'!$A:$A,"OCFS")</f>
        <v>0</v>
      </c>
      <c r="EZ86" s="55">
        <f>SUMIFS('Awards Summary'!$H:$H,'Awards Summary'!$B:$B,$C86,'Awards Summary'!$J:$J,"OGS")</f>
        <v>0</v>
      </c>
      <c r="FA86" s="55">
        <f>SUMIFS('Disbursements Summary'!$E:$E,'Disbursements Summary'!$C:$C,$C86,'Disbursements Summary'!$A:$A,"OGS")</f>
        <v>0</v>
      </c>
      <c r="FB86" s="55">
        <f>SUMIFS('Awards Summary'!$H:$H,'Awards Summary'!$B:$B,$C86,'Awards Summary'!$J:$J,"OMH")</f>
        <v>0</v>
      </c>
      <c r="FC86" s="55">
        <f>SUMIFS('Disbursements Summary'!$E:$E,'Disbursements Summary'!$C:$C,$C86,'Disbursements Summary'!$A:$A,"OMH")</f>
        <v>0</v>
      </c>
      <c r="FD86" s="55">
        <f>SUMIFS('Awards Summary'!$H:$H,'Awards Summary'!$B:$B,$C86,'Awards Summary'!$J:$J,"PARKS")</f>
        <v>0</v>
      </c>
      <c r="FE86" s="55">
        <f>SUMIFS('Disbursements Summary'!$E:$E,'Disbursements Summary'!$C:$C,$C86,'Disbursements Summary'!$A:$A,"PARKS")</f>
        <v>0</v>
      </c>
      <c r="FF86" s="55">
        <f>SUMIFS('Awards Summary'!$H:$H,'Awards Summary'!$B:$B,$C86,'Awards Summary'!$J:$J,"OTDA")</f>
        <v>0</v>
      </c>
      <c r="FG86" s="55">
        <f>SUMIFS('Disbursements Summary'!$E:$E,'Disbursements Summary'!$C:$C,$C86,'Disbursements Summary'!$A:$A,"OTDA")</f>
        <v>0</v>
      </c>
      <c r="FH86" s="55">
        <f>SUMIFS('Awards Summary'!$H:$H,'Awards Summary'!$B:$B,$C86,'Awards Summary'!$J:$J,"OIG")</f>
        <v>0</v>
      </c>
      <c r="FI86" s="55">
        <f>SUMIFS('Disbursements Summary'!$E:$E,'Disbursements Summary'!$C:$C,$C86,'Disbursements Summary'!$A:$A,"OIG")</f>
        <v>0</v>
      </c>
      <c r="FJ86" s="55">
        <f>SUMIFS('Awards Summary'!$H:$H,'Awards Summary'!$B:$B,$C86,'Awards Summary'!$J:$J,"OMIG")</f>
        <v>0</v>
      </c>
      <c r="FK86" s="55">
        <f>SUMIFS('Disbursements Summary'!$E:$E,'Disbursements Summary'!$C:$C,$C86,'Disbursements Summary'!$A:$A,"OMIG")</f>
        <v>0</v>
      </c>
      <c r="FL86" s="55">
        <f>SUMIFS('Awards Summary'!$H:$H,'Awards Summary'!$B:$B,$C86,'Awards Summary'!$J:$J,"OSC")</f>
        <v>0</v>
      </c>
      <c r="FM86" s="55">
        <f>SUMIFS('Disbursements Summary'!$E:$E,'Disbursements Summary'!$C:$C,$C86,'Disbursements Summary'!$A:$A,"OSC")</f>
        <v>0</v>
      </c>
      <c r="FN86" s="55">
        <f>SUMIFS('Awards Summary'!$H:$H,'Awards Summary'!$B:$B,$C86,'Awards Summary'!$J:$J,"OWIG")</f>
        <v>0</v>
      </c>
      <c r="FO86" s="55">
        <f>SUMIFS('Disbursements Summary'!$E:$E,'Disbursements Summary'!$C:$C,$C86,'Disbursements Summary'!$A:$A,"OWIG")</f>
        <v>0</v>
      </c>
      <c r="FP86" s="55">
        <f>SUMIFS('Awards Summary'!$H:$H,'Awards Summary'!$B:$B,$C86,'Awards Summary'!$J:$J,"OGDEN")</f>
        <v>0</v>
      </c>
      <c r="FQ86" s="55">
        <f>SUMIFS('Disbursements Summary'!$E:$E,'Disbursements Summary'!$C:$C,$C86,'Disbursements Summary'!$A:$A,"OGDEN")</f>
        <v>0</v>
      </c>
      <c r="FR86" s="55">
        <f>SUMIFS('Awards Summary'!$H:$H,'Awards Summary'!$B:$B,$C86,'Awards Summary'!$J:$J,"ORDA")</f>
        <v>0</v>
      </c>
      <c r="FS86" s="55">
        <f>SUMIFS('Disbursements Summary'!$E:$E,'Disbursements Summary'!$C:$C,$C86,'Disbursements Summary'!$A:$A,"ORDA")</f>
        <v>0</v>
      </c>
      <c r="FT86" s="55">
        <f>SUMIFS('Awards Summary'!$H:$H,'Awards Summary'!$B:$B,$C86,'Awards Summary'!$J:$J,"OSWEGO")</f>
        <v>0</v>
      </c>
      <c r="FU86" s="55">
        <f>SUMIFS('Disbursements Summary'!$E:$E,'Disbursements Summary'!$C:$C,$C86,'Disbursements Summary'!$A:$A,"OSWEGO")</f>
        <v>0</v>
      </c>
      <c r="FV86" s="55">
        <f>SUMIFS('Awards Summary'!$H:$H,'Awards Summary'!$B:$B,$C86,'Awards Summary'!$J:$J,"PERB")</f>
        <v>0</v>
      </c>
      <c r="FW86" s="55">
        <f>SUMIFS('Disbursements Summary'!$E:$E,'Disbursements Summary'!$C:$C,$C86,'Disbursements Summary'!$A:$A,"PERB")</f>
        <v>0</v>
      </c>
      <c r="FX86" s="55">
        <f>SUMIFS('Awards Summary'!$H:$H,'Awards Summary'!$B:$B,$C86,'Awards Summary'!$J:$J,"RGRTA")</f>
        <v>0</v>
      </c>
      <c r="FY86" s="55">
        <f>SUMIFS('Disbursements Summary'!$E:$E,'Disbursements Summary'!$C:$C,$C86,'Disbursements Summary'!$A:$A,"RGRTA")</f>
        <v>0</v>
      </c>
      <c r="FZ86" s="55">
        <f>SUMIFS('Awards Summary'!$H:$H,'Awards Summary'!$B:$B,$C86,'Awards Summary'!$J:$J,"RIOC")</f>
        <v>0</v>
      </c>
      <c r="GA86" s="55">
        <f>SUMIFS('Disbursements Summary'!$E:$E,'Disbursements Summary'!$C:$C,$C86,'Disbursements Summary'!$A:$A,"RIOC")</f>
        <v>0</v>
      </c>
      <c r="GB86" s="55">
        <f>SUMIFS('Awards Summary'!$H:$H,'Awards Summary'!$B:$B,$C86,'Awards Summary'!$J:$J,"RPCI")</f>
        <v>0</v>
      </c>
      <c r="GC86" s="55">
        <f>SUMIFS('Disbursements Summary'!$E:$E,'Disbursements Summary'!$C:$C,$C86,'Disbursements Summary'!$A:$A,"RPCI")</f>
        <v>0</v>
      </c>
      <c r="GD86" s="55">
        <f>SUMIFS('Awards Summary'!$H:$H,'Awards Summary'!$B:$B,$C86,'Awards Summary'!$J:$J,"SMDA")</f>
        <v>0</v>
      </c>
      <c r="GE86" s="55">
        <f>SUMIFS('Disbursements Summary'!$E:$E,'Disbursements Summary'!$C:$C,$C86,'Disbursements Summary'!$A:$A,"SMDA")</f>
        <v>0</v>
      </c>
      <c r="GF86" s="55">
        <f>SUMIFS('Awards Summary'!$H:$H,'Awards Summary'!$B:$B,$C86,'Awards Summary'!$J:$J,"SCOC")</f>
        <v>0</v>
      </c>
      <c r="GG86" s="55">
        <f>SUMIFS('Disbursements Summary'!$E:$E,'Disbursements Summary'!$C:$C,$C86,'Disbursements Summary'!$A:$A,"SCOC")</f>
        <v>0</v>
      </c>
      <c r="GH86" s="55">
        <f>SUMIFS('Awards Summary'!$H:$H,'Awards Summary'!$B:$B,$C86,'Awards Summary'!$J:$J,"SUCF")</f>
        <v>0</v>
      </c>
      <c r="GI86" s="55">
        <f>SUMIFS('Disbursements Summary'!$E:$E,'Disbursements Summary'!$C:$C,$C86,'Disbursements Summary'!$A:$A,"SUCF")</f>
        <v>0</v>
      </c>
      <c r="GJ86" s="55">
        <f>SUMIFS('Awards Summary'!$H:$H,'Awards Summary'!$B:$B,$C86,'Awards Summary'!$J:$J,"SUNY")</f>
        <v>0</v>
      </c>
      <c r="GK86" s="55">
        <f>SUMIFS('Disbursements Summary'!$E:$E,'Disbursements Summary'!$C:$C,$C86,'Disbursements Summary'!$A:$A,"SUNY")</f>
        <v>0</v>
      </c>
      <c r="GL86" s="55">
        <f>SUMIFS('Awards Summary'!$H:$H,'Awards Summary'!$B:$B,$C86,'Awards Summary'!$J:$J,"SRAA")</f>
        <v>0</v>
      </c>
      <c r="GM86" s="55">
        <f>SUMIFS('Disbursements Summary'!$E:$E,'Disbursements Summary'!$C:$C,$C86,'Disbursements Summary'!$A:$A,"SRAA")</f>
        <v>0</v>
      </c>
      <c r="GN86" s="55">
        <f>SUMIFS('Awards Summary'!$H:$H,'Awards Summary'!$B:$B,$C86,'Awards Summary'!$J:$J,"UNDC")</f>
        <v>0</v>
      </c>
      <c r="GO86" s="55">
        <f>SUMIFS('Disbursements Summary'!$E:$E,'Disbursements Summary'!$C:$C,$C86,'Disbursements Summary'!$A:$A,"UNDC")</f>
        <v>0</v>
      </c>
      <c r="GP86" s="55">
        <f>SUMIFS('Awards Summary'!$H:$H,'Awards Summary'!$B:$B,$C86,'Awards Summary'!$J:$J,"MVWA")</f>
        <v>0</v>
      </c>
      <c r="GQ86" s="55">
        <f>SUMIFS('Disbursements Summary'!$E:$E,'Disbursements Summary'!$C:$C,$C86,'Disbursements Summary'!$A:$A,"MVWA")</f>
        <v>0</v>
      </c>
      <c r="GR86" s="55">
        <f>SUMIFS('Awards Summary'!$H:$H,'Awards Summary'!$B:$B,$C86,'Awards Summary'!$J:$J,"WMC")</f>
        <v>0</v>
      </c>
      <c r="GS86" s="55">
        <f>SUMIFS('Disbursements Summary'!$E:$E,'Disbursements Summary'!$C:$C,$C86,'Disbursements Summary'!$A:$A,"WMC")</f>
        <v>0</v>
      </c>
      <c r="GT86" s="55">
        <f>SUMIFS('Awards Summary'!$H:$H,'Awards Summary'!$B:$B,$C86,'Awards Summary'!$J:$J,"WCB")</f>
        <v>0</v>
      </c>
      <c r="GU86" s="55">
        <f>SUMIFS('Disbursements Summary'!$E:$E,'Disbursements Summary'!$C:$C,$C86,'Disbursements Summary'!$A:$A,"WCB")</f>
        <v>0</v>
      </c>
      <c r="GV86" s="32">
        <f t="shared" ref="GV86:GV148" si="10">(_GoBack+J86+L86+N86+P86+R86+T86+V86+X86+Z86+AB86+AD86+AF86+AH86+AJ86+AL86+AN86+AP86+AR86+AT86+AV86+AX86+AZ86+BB86+BD86+BF86+BH86+BJ86+BL86+BN86+BP86+BR86+BT86+BV86+BX86+BZ86+CB86+CD86+CF86+CH86+CJ86+CL86+CN86+CP86+CR86+CT86+CV86+CX86+CZ86+DB86+DD86+DF86+DH86+DJ86+DL86+DN86+DP86+DR86+DT86+DV86+DX86+DZ86+EB86+ED86+EF86+EH86+EJ86+EL86+EN86+EP86+ER86+ET86+EV86+EX86+EZ86+FB86+FD86+FF86+FH86+FJ86+FL86+FN86+FP86+FR86+FT86+FV86+FX86+FZ86+GB86+GD86+GF86+GH86+GJ86+GL86+GN86+GP86+GR86+GT86)</f>
        <v>0</v>
      </c>
      <c r="GW86" s="32">
        <f t="shared" ref="GW86:GW148" si="11">(_GoBack+K86+M86+O86+Q86+S86+U86+W86+Y86+AA86+AC86+AE86+AG86+AI86+AK86+AM86+AO86+AQ86+AS86+AU86+AW86+AY86+BA86+BC86+BE86+BG86+BI86+BK86+BM86+BO86+BQ86+BS86+BU86+BW86+BY86+CA86+CC86+CE86+CG86+CI86+CK86+CM86+CO86+CQ86+CS86+CU86+CW86+CY86+DA86+DC86+DE86+DG86+DI86+DK86+DM86+DO86+DQ86+DS86+DU86+DW86+DY86+EA86+EC86+EE86+EG86+EI86+EK86+EM86+EO86+EQ86+ES86+EU86+EW86+EY86+FA86+FC86+FE86+FG86+FI86+FK86+FM86+FO86+FQ86+FS86+FU86+FW86+FY86+GA86+GC86+GE86+GG86+GI86+GK86+GM86+GO86+GQ86+GS86+GU86)</f>
        <v>0</v>
      </c>
      <c r="GX86" s="30" t="b">
        <f t="shared" ref="GX86:GX148" si="12">(E86=GV86)</f>
        <v>1</v>
      </c>
      <c r="GY86" s="30" t="b">
        <f t="shared" ref="GY86:GY148" si="13">(F86=GW86)</f>
        <v>1</v>
      </c>
    </row>
    <row r="87" spans="1:207" s="30" customFormat="1">
      <c r="A87" s="22" t="str">
        <f t="shared" si="9"/>
        <v/>
      </c>
      <c r="B87" s="40" t="s">
        <v>216</v>
      </c>
      <c r="C87" s="16">
        <v>151177</v>
      </c>
      <c r="D87" s="26">
        <f>COUNTIF('Awards Summary'!B:B,"151177")</f>
        <v>0</v>
      </c>
      <c r="E87" s="45">
        <f>SUMIFS('Awards Summary'!H:H,'Awards Summary'!B:B,"151177")</f>
        <v>0</v>
      </c>
      <c r="F87" s="46">
        <f>SUMIFS('Disbursements Summary'!E:E,'Disbursements Summary'!C:C, "151177")</f>
        <v>0</v>
      </c>
      <c r="H87" s="55">
        <f>SUMIFS('Awards Summary'!$H:$H,'Awards Summary'!$B:$B,$C87,'Awards Summary'!$J:$J,"APA")</f>
        <v>0</v>
      </c>
      <c r="I87" s="55">
        <f>SUMIFS('Disbursements Summary'!$E:$E,'Disbursements Summary'!$C:$C,$C87,'Disbursements Summary'!$A:$A,"APA")</f>
        <v>0</v>
      </c>
      <c r="J87" s="55">
        <f>SUMIFS('Awards Summary'!$H:$H,'Awards Summary'!$B:$B,$C87,'Awards Summary'!$J:$J,"Ag&amp;Horse")</f>
        <v>0</v>
      </c>
      <c r="K87" s="55">
        <f>SUMIFS('Disbursements Summary'!$E:$E,'Disbursements Summary'!$C:$C,$C87,'Disbursements Summary'!$A:$A,"Ag&amp;Horse")</f>
        <v>0</v>
      </c>
      <c r="L87" s="55">
        <f>SUMIFS('Awards Summary'!$H:$H,'Awards Summary'!$B:$B,$C87,'Awards Summary'!$J:$J,"ACAA")</f>
        <v>0</v>
      </c>
      <c r="M87" s="55">
        <f>SUMIFS('Disbursements Summary'!$E:$E,'Disbursements Summary'!$C:$C,$C87,'Disbursements Summary'!$A:$A,"ACAA")</f>
        <v>0</v>
      </c>
      <c r="N87" s="55">
        <f>SUMIFS('Awards Summary'!$H:$H,'Awards Summary'!$B:$B,$C87,'Awards Summary'!$J:$J,"PortAlbany")</f>
        <v>0</v>
      </c>
      <c r="O87" s="55">
        <f>SUMIFS('Disbursements Summary'!$E:$E,'Disbursements Summary'!$C:$C,$C87,'Disbursements Summary'!$A:$A,"PortAlbany")</f>
        <v>0</v>
      </c>
      <c r="P87" s="55">
        <f>SUMIFS('Awards Summary'!$H:$H,'Awards Summary'!$B:$B,$C87,'Awards Summary'!$J:$J,"SLA")</f>
        <v>0</v>
      </c>
      <c r="Q87" s="55">
        <f>SUMIFS('Disbursements Summary'!$E:$E,'Disbursements Summary'!$C:$C,$C87,'Disbursements Summary'!$A:$A,"SLA")</f>
        <v>0</v>
      </c>
      <c r="R87" s="55">
        <f>SUMIFS('Awards Summary'!$H:$H,'Awards Summary'!$B:$B,$C87,'Awards Summary'!$J:$J,"BPCA")</f>
        <v>0</v>
      </c>
      <c r="S87" s="55">
        <f>SUMIFS('Disbursements Summary'!$E:$E,'Disbursements Summary'!$C:$C,$C87,'Disbursements Summary'!$A:$A,"BPCA")</f>
        <v>0</v>
      </c>
      <c r="T87" s="55">
        <f>SUMIFS('Awards Summary'!$H:$H,'Awards Summary'!$B:$B,$C87,'Awards Summary'!$J:$J,"ELECTIONS")</f>
        <v>0</v>
      </c>
      <c r="U87" s="55">
        <f>SUMIFS('Disbursements Summary'!$E:$E,'Disbursements Summary'!$C:$C,$C87,'Disbursements Summary'!$A:$A,"ELECTIONS")</f>
        <v>0</v>
      </c>
      <c r="V87" s="55">
        <f>SUMIFS('Awards Summary'!$H:$H,'Awards Summary'!$B:$B,$C87,'Awards Summary'!$J:$J,"BFSA")</f>
        <v>0</v>
      </c>
      <c r="W87" s="55">
        <f>SUMIFS('Disbursements Summary'!$E:$E,'Disbursements Summary'!$C:$C,$C87,'Disbursements Summary'!$A:$A,"BFSA")</f>
        <v>0</v>
      </c>
      <c r="X87" s="55">
        <f>SUMIFS('Awards Summary'!$H:$H,'Awards Summary'!$B:$B,$C87,'Awards Summary'!$J:$J,"CDTA")</f>
        <v>0</v>
      </c>
      <c r="Y87" s="55">
        <f>SUMIFS('Disbursements Summary'!$E:$E,'Disbursements Summary'!$C:$C,$C87,'Disbursements Summary'!$A:$A,"CDTA")</f>
        <v>0</v>
      </c>
      <c r="Z87" s="55">
        <f>SUMIFS('Awards Summary'!$H:$H,'Awards Summary'!$B:$B,$C87,'Awards Summary'!$J:$J,"CCWSA")</f>
        <v>0</v>
      </c>
      <c r="AA87" s="55">
        <f>SUMIFS('Disbursements Summary'!$E:$E,'Disbursements Summary'!$C:$C,$C87,'Disbursements Summary'!$A:$A,"CCWSA")</f>
        <v>0</v>
      </c>
      <c r="AB87" s="55">
        <f>SUMIFS('Awards Summary'!$H:$H,'Awards Summary'!$B:$B,$C87,'Awards Summary'!$J:$J,"CNYRTA")</f>
        <v>0</v>
      </c>
      <c r="AC87" s="55">
        <f>SUMIFS('Disbursements Summary'!$E:$E,'Disbursements Summary'!$C:$C,$C87,'Disbursements Summary'!$A:$A,"CNYRTA")</f>
        <v>0</v>
      </c>
      <c r="AD87" s="55">
        <f>SUMIFS('Awards Summary'!$H:$H,'Awards Summary'!$B:$B,$C87,'Awards Summary'!$J:$J,"CUCF")</f>
        <v>0</v>
      </c>
      <c r="AE87" s="55">
        <f>SUMIFS('Disbursements Summary'!$E:$E,'Disbursements Summary'!$C:$C,$C87,'Disbursements Summary'!$A:$A,"CUCF")</f>
        <v>0</v>
      </c>
      <c r="AF87" s="55">
        <f>SUMIFS('Awards Summary'!$H:$H,'Awards Summary'!$B:$B,$C87,'Awards Summary'!$J:$J,"CUNY")</f>
        <v>0</v>
      </c>
      <c r="AG87" s="55">
        <f>SUMIFS('Disbursements Summary'!$E:$E,'Disbursements Summary'!$C:$C,$C87,'Disbursements Summary'!$A:$A,"CUNY")</f>
        <v>0</v>
      </c>
      <c r="AH87" s="55">
        <f>SUMIFS('Awards Summary'!$H:$H,'Awards Summary'!$B:$B,$C87,'Awards Summary'!$J:$J,"ARTS")</f>
        <v>0</v>
      </c>
      <c r="AI87" s="55">
        <f>SUMIFS('Disbursements Summary'!$E:$E,'Disbursements Summary'!$C:$C,$C87,'Disbursements Summary'!$A:$A,"ARTS")</f>
        <v>0</v>
      </c>
      <c r="AJ87" s="55">
        <f>SUMIFS('Awards Summary'!$H:$H,'Awards Summary'!$B:$B,$C87,'Awards Summary'!$J:$J,"AG&amp;MKTS")</f>
        <v>0</v>
      </c>
      <c r="AK87" s="55">
        <f>SUMIFS('Disbursements Summary'!$E:$E,'Disbursements Summary'!$C:$C,$C87,'Disbursements Summary'!$A:$A,"AG&amp;MKTS")</f>
        <v>0</v>
      </c>
      <c r="AL87" s="55">
        <f>SUMIFS('Awards Summary'!$H:$H,'Awards Summary'!$B:$B,$C87,'Awards Summary'!$J:$J,"CS")</f>
        <v>0</v>
      </c>
      <c r="AM87" s="55">
        <f>SUMIFS('Disbursements Summary'!$E:$E,'Disbursements Summary'!$C:$C,$C87,'Disbursements Summary'!$A:$A,"CS")</f>
        <v>0</v>
      </c>
      <c r="AN87" s="55">
        <f>SUMIFS('Awards Summary'!$H:$H,'Awards Summary'!$B:$B,$C87,'Awards Summary'!$J:$J,"DOCCS")</f>
        <v>0</v>
      </c>
      <c r="AO87" s="55">
        <f>SUMIFS('Disbursements Summary'!$E:$E,'Disbursements Summary'!$C:$C,$C87,'Disbursements Summary'!$A:$A,"DOCCS")</f>
        <v>0</v>
      </c>
      <c r="AP87" s="55">
        <f>SUMIFS('Awards Summary'!$H:$H,'Awards Summary'!$B:$B,$C87,'Awards Summary'!$J:$J,"DED")</f>
        <v>0</v>
      </c>
      <c r="AQ87" s="55">
        <f>SUMIFS('Disbursements Summary'!$E:$E,'Disbursements Summary'!$C:$C,$C87,'Disbursements Summary'!$A:$A,"DED")</f>
        <v>0</v>
      </c>
      <c r="AR87" s="55">
        <f>SUMIFS('Awards Summary'!$H:$H,'Awards Summary'!$B:$B,$C87,'Awards Summary'!$J:$J,"DEC")</f>
        <v>0</v>
      </c>
      <c r="AS87" s="55">
        <f>SUMIFS('Disbursements Summary'!$E:$E,'Disbursements Summary'!$C:$C,$C87,'Disbursements Summary'!$A:$A,"DEC")</f>
        <v>0</v>
      </c>
      <c r="AT87" s="55">
        <f>SUMIFS('Awards Summary'!$H:$H,'Awards Summary'!$B:$B,$C87,'Awards Summary'!$J:$J,"DFS")</f>
        <v>0</v>
      </c>
      <c r="AU87" s="55">
        <f>SUMIFS('Disbursements Summary'!$E:$E,'Disbursements Summary'!$C:$C,$C87,'Disbursements Summary'!$A:$A,"DFS")</f>
        <v>0</v>
      </c>
      <c r="AV87" s="55">
        <f>SUMIFS('Awards Summary'!$H:$H,'Awards Summary'!$B:$B,$C87,'Awards Summary'!$J:$J,"DOH")</f>
        <v>0</v>
      </c>
      <c r="AW87" s="55">
        <f>SUMIFS('Disbursements Summary'!$E:$E,'Disbursements Summary'!$C:$C,$C87,'Disbursements Summary'!$A:$A,"DOH")</f>
        <v>0</v>
      </c>
      <c r="AX87" s="55">
        <f>SUMIFS('Awards Summary'!$H:$H,'Awards Summary'!$B:$B,$C87,'Awards Summary'!$J:$J,"DOL")</f>
        <v>0</v>
      </c>
      <c r="AY87" s="55">
        <f>SUMIFS('Disbursements Summary'!$E:$E,'Disbursements Summary'!$C:$C,$C87,'Disbursements Summary'!$A:$A,"DOL")</f>
        <v>0</v>
      </c>
      <c r="AZ87" s="55">
        <f>SUMIFS('Awards Summary'!$H:$H,'Awards Summary'!$B:$B,$C87,'Awards Summary'!$J:$J,"DMV")</f>
        <v>0</v>
      </c>
      <c r="BA87" s="55">
        <f>SUMIFS('Disbursements Summary'!$E:$E,'Disbursements Summary'!$C:$C,$C87,'Disbursements Summary'!$A:$A,"DMV")</f>
        <v>0</v>
      </c>
      <c r="BB87" s="55">
        <f>SUMIFS('Awards Summary'!$H:$H,'Awards Summary'!$B:$B,$C87,'Awards Summary'!$J:$J,"DPS")</f>
        <v>0</v>
      </c>
      <c r="BC87" s="55">
        <f>SUMIFS('Disbursements Summary'!$E:$E,'Disbursements Summary'!$C:$C,$C87,'Disbursements Summary'!$A:$A,"DPS")</f>
        <v>0</v>
      </c>
      <c r="BD87" s="55">
        <f>SUMIFS('Awards Summary'!$H:$H,'Awards Summary'!$B:$B,$C87,'Awards Summary'!$J:$J,"DOS")</f>
        <v>0</v>
      </c>
      <c r="BE87" s="55">
        <f>SUMIFS('Disbursements Summary'!$E:$E,'Disbursements Summary'!$C:$C,$C87,'Disbursements Summary'!$A:$A,"DOS")</f>
        <v>0</v>
      </c>
      <c r="BF87" s="55">
        <f>SUMIFS('Awards Summary'!$H:$H,'Awards Summary'!$B:$B,$C87,'Awards Summary'!$J:$J,"TAX")</f>
        <v>0</v>
      </c>
      <c r="BG87" s="55">
        <f>SUMIFS('Disbursements Summary'!$E:$E,'Disbursements Summary'!$C:$C,$C87,'Disbursements Summary'!$A:$A,"TAX")</f>
        <v>0</v>
      </c>
      <c r="BH87" s="55">
        <f>SUMIFS('Awards Summary'!$H:$H,'Awards Summary'!$B:$B,$C87,'Awards Summary'!$J:$J,"DOT")</f>
        <v>0</v>
      </c>
      <c r="BI87" s="55">
        <f>SUMIFS('Disbursements Summary'!$E:$E,'Disbursements Summary'!$C:$C,$C87,'Disbursements Summary'!$A:$A,"DOT")</f>
        <v>0</v>
      </c>
      <c r="BJ87" s="55">
        <f>SUMIFS('Awards Summary'!$H:$H,'Awards Summary'!$B:$B,$C87,'Awards Summary'!$J:$J,"DANC")</f>
        <v>0</v>
      </c>
      <c r="BK87" s="55">
        <f>SUMIFS('Disbursements Summary'!$E:$E,'Disbursements Summary'!$C:$C,$C87,'Disbursements Summary'!$A:$A,"DANC")</f>
        <v>0</v>
      </c>
      <c r="BL87" s="55">
        <f>SUMIFS('Awards Summary'!$H:$H,'Awards Summary'!$B:$B,$C87,'Awards Summary'!$J:$J,"DOB")</f>
        <v>0</v>
      </c>
      <c r="BM87" s="55">
        <f>SUMIFS('Disbursements Summary'!$E:$E,'Disbursements Summary'!$C:$C,$C87,'Disbursements Summary'!$A:$A,"DOB")</f>
        <v>0</v>
      </c>
      <c r="BN87" s="55">
        <f>SUMIFS('Awards Summary'!$H:$H,'Awards Summary'!$B:$B,$C87,'Awards Summary'!$J:$J,"DCJS")</f>
        <v>0</v>
      </c>
      <c r="BO87" s="55">
        <f>SUMIFS('Disbursements Summary'!$E:$E,'Disbursements Summary'!$C:$C,$C87,'Disbursements Summary'!$A:$A,"DCJS")</f>
        <v>0</v>
      </c>
      <c r="BP87" s="55">
        <f>SUMIFS('Awards Summary'!$H:$H,'Awards Summary'!$B:$B,$C87,'Awards Summary'!$J:$J,"DHSES")</f>
        <v>0</v>
      </c>
      <c r="BQ87" s="55">
        <f>SUMIFS('Disbursements Summary'!$E:$E,'Disbursements Summary'!$C:$C,$C87,'Disbursements Summary'!$A:$A,"DHSES")</f>
        <v>0</v>
      </c>
      <c r="BR87" s="55">
        <f>SUMIFS('Awards Summary'!$H:$H,'Awards Summary'!$B:$B,$C87,'Awards Summary'!$J:$J,"DHR")</f>
        <v>0</v>
      </c>
      <c r="BS87" s="55">
        <f>SUMIFS('Disbursements Summary'!$E:$E,'Disbursements Summary'!$C:$C,$C87,'Disbursements Summary'!$A:$A,"DHR")</f>
        <v>0</v>
      </c>
      <c r="BT87" s="55">
        <f>SUMIFS('Awards Summary'!$H:$H,'Awards Summary'!$B:$B,$C87,'Awards Summary'!$J:$J,"DMNA")</f>
        <v>0</v>
      </c>
      <c r="BU87" s="55">
        <f>SUMIFS('Disbursements Summary'!$E:$E,'Disbursements Summary'!$C:$C,$C87,'Disbursements Summary'!$A:$A,"DMNA")</f>
        <v>0</v>
      </c>
      <c r="BV87" s="55">
        <f>SUMIFS('Awards Summary'!$H:$H,'Awards Summary'!$B:$B,$C87,'Awards Summary'!$J:$J,"TROOPERS")</f>
        <v>0</v>
      </c>
      <c r="BW87" s="55">
        <f>SUMIFS('Disbursements Summary'!$E:$E,'Disbursements Summary'!$C:$C,$C87,'Disbursements Summary'!$A:$A,"TROOPERS")</f>
        <v>0</v>
      </c>
      <c r="BX87" s="55">
        <f>SUMIFS('Awards Summary'!$H:$H,'Awards Summary'!$B:$B,$C87,'Awards Summary'!$J:$J,"DVA")</f>
        <v>0</v>
      </c>
      <c r="BY87" s="55">
        <f>SUMIFS('Disbursements Summary'!$E:$E,'Disbursements Summary'!$C:$C,$C87,'Disbursements Summary'!$A:$A,"DVA")</f>
        <v>0</v>
      </c>
      <c r="BZ87" s="55">
        <f>SUMIFS('Awards Summary'!$H:$H,'Awards Summary'!$B:$B,$C87,'Awards Summary'!$J:$J,"DASNY")</f>
        <v>0</v>
      </c>
      <c r="CA87" s="55">
        <f>SUMIFS('Disbursements Summary'!$E:$E,'Disbursements Summary'!$C:$C,$C87,'Disbursements Summary'!$A:$A,"DASNY")</f>
        <v>0</v>
      </c>
      <c r="CB87" s="55">
        <f>SUMIFS('Awards Summary'!$H:$H,'Awards Summary'!$B:$B,$C87,'Awards Summary'!$J:$J,"EGG")</f>
        <v>0</v>
      </c>
      <c r="CC87" s="55">
        <f>SUMIFS('Disbursements Summary'!$E:$E,'Disbursements Summary'!$C:$C,$C87,'Disbursements Summary'!$A:$A,"EGG")</f>
        <v>0</v>
      </c>
      <c r="CD87" s="55">
        <f>SUMIFS('Awards Summary'!$H:$H,'Awards Summary'!$B:$B,$C87,'Awards Summary'!$J:$J,"ESD")</f>
        <v>0</v>
      </c>
      <c r="CE87" s="55">
        <f>SUMIFS('Disbursements Summary'!$E:$E,'Disbursements Summary'!$C:$C,$C87,'Disbursements Summary'!$A:$A,"ESD")</f>
        <v>0</v>
      </c>
      <c r="CF87" s="55">
        <f>SUMIFS('Awards Summary'!$H:$H,'Awards Summary'!$B:$B,$C87,'Awards Summary'!$J:$J,"EFC")</f>
        <v>0</v>
      </c>
      <c r="CG87" s="55">
        <f>SUMIFS('Disbursements Summary'!$E:$E,'Disbursements Summary'!$C:$C,$C87,'Disbursements Summary'!$A:$A,"EFC")</f>
        <v>0</v>
      </c>
      <c r="CH87" s="55">
        <f>SUMIFS('Awards Summary'!$H:$H,'Awards Summary'!$B:$B,$C87,'Awards Summary'!$J:$J,"ECFSA")</f>
        <v>0</v>
      </c>
      <c r="CI87" s="55">
        <f>SUMIFS('Disbursements Summary'!$E:$E,'Disbursements Summary'!$C:$C,$C87,'Disbursements Summary'!$A:$A,"ECFSA")</f>
        <v>0</v>
      </c>
      <c r="CJ87" s="55">
        <f>SUMIFS('Awards Summary'!$H:$H,'Awards Summary'!$B:$B,$C87,'Awards Summary'!$J:$J,"ECMC")</f>
        <v>0</v>
      </c>
      <c r="CK87" s="55">
        <f>SUMIFS('Disbursements Summary'!$E:$E,'Disbursements Summary'!$C:$C,$C87,'Disbursements Summary'!$A:$A,"ECMC")</f>
        <v>0</v>
      </c>
      <c r="CL87" s="55">
        <f>SUMIFS('Awards Summary'!$H:$H,'Awards Summary'!$B:$B,$C87,'Awards Summary'!$J:$J,"CHAMBER")</f>
        <v>0</v>
      </c>
      <c r="CM87" s="55">
        <f>SUMIFS('Disbursements Summary'!$E:$E,'Disbursements Summary'!$C:$C,$C87,'Disbursements Summary'!$A:$A,"CHAMBER")</f>
        <v>0</v>
      </c>
      <c r="CN87" s="55">
        <f>SUMIFS('Awards Summary'!$H:$H,'Awards Summary'!$B:$B,$C87,'Awards Summary'!$J:$J,"GAMING")</f>
        <v>0</v>
      </c>
      <c r="CO87" s="55">
        <f>SUMIFS('Disbursements Summary'!$E:$E,'Disbursements Summary'!$C:$C,$C87,'Disbursements Summary'!$A:$A,"GAMING")</f>
        <v>0</v>
      </c>
      <c r="CP87" s="55">
        <f>SUMIFS('Awards Summary'!$H:$H,'Awards Summary'!$B:$B,$C87,'Awards Summary'!$J:$J,"GOER")</f>
        <v>0</v>
      </c>
      <c r="CQ87" s="55">
        <f>SUMIFS('Disbursements Summary'!$E:$E,'Disbursements Summary'!$C:$C,$C87,'Disbursements Summary'!$A:$A,"GOER")</f>
        <v>0</v>
      </c>
      <c r="CR87" s="55">
        <f>SUMIFS('Awards Summary'!$H:$H,'Awards Summary'!$B:$B,$C87,'Awards Summary'!$J:$J,"HESC")</f>
        <v>0</v>
      </c>
      <c r="CS87" s="55">
        <f>SUMIFS('Disbursements Summary'!$E:$E,'Disbursements Summary'!$C:$C,$C87,'Disbursements Summary'!$A:$A,"HESC")</f>
        <v>0</v>
      </c>
      <c r="CT87" s="55">
        <f>SUMIFS('Awards Summary'!$H:$H,'Awards Summary'!$B:$B,$C87,'Awards Summary'!$J:$J,"GOSR")</f>
        <v>0</v>
      </c>
      <c r="CU87" s="55">
        <f>SUMIFS('Disbursements Summary'!$E:$E,'Disbursements Summary'!$C:$C,$C87,'Disbursements Summary'!$A:$A,"GOSR")</f>
        <v>0</v>
      </c>
      <c r="CV87" s="55">
        <f>SUMIFS('Awards Summary'!$H:$H,'Awards Summary'!$B:$B,$C87,'Awards Summary'!$J:$J,"HRPT")</f>
        <v>0</v>
      </c>
      <c r="CW87" s="55">
        <f>SUMIFS('Disbursements Summary'!$E:$E,'Disbursements Summary'!$C:$C,$C87,'Disbursements Summary'!$A:$A,"HRPT")</f>
        <v>0</v>
      </c>
      <c r="CX87" s="55">
        <f>SUMIFS('Awards Summary'!$H:$H,'Awards Summary'!$B:$B,$C87,'Awards Summary'!$J:$J,"HRBRRD")</f>
        <v>0</v>
      </c>
      <c r="CY87" s="55">
        <f>SUMIFS('Disbursements Summary'!$E:$E,'Disbursements Summary'!$C:$C,$C87,'Disbursements Summary'!$A:$A,"HRBRRD")</f>
        <v>0</v>
      </c>
      <c r="CZ87" s="55">
        <f>SUMIFS('Awards Summary'!$H:$H,'Awards Summary'!$B:$B,$C87,'Awards Summary'!$J:$J,"ITS")</f>
        <v>0</v>
      </c>
      <c r="DA87" s="55">
        <f>SUMIFS('Disbursements Summary'!$E:$E,'Disbursements Summary'!$C:$C,$C87,'Disbursements Summary'!$A:$A,"ITS")</f>
        <v>0</v>
      </c>
      <c r="DB87" s="55">
        <f>SUMIFS('Awards Summary'!$H:$H,'Awards Summary'!$B:$B,$C87,'Awards Summary'!$J:$J,"JAVITS")</f>
        <v>0</v>
      </c>
      <c r="DC87" s="55">
        <f>SUMIFS('Disbursements Summary'!$E:$E,'Disbursements Summary'!$C:$C,$C87,'Disbursements Summary'!$A:$A,"JAVITS")</f>
        <v>0</v>
      </c>
      <c r="DD87" s="55">
        <f>SUMIFS('Awards Summary'!$H:$H,'Awards Summary'!$B:$B,$C87,'Awards Summary'!$J:$J,"JCOPE")</f>
        <v>0</v>
      </c>
      <c r="DE87" s="55">
        <f>SUMIFS('Disbursements Summary'!$E:$E,'Disbursements Summary'!$C:$C,$C87,'Disbursements Summary'!$A:$A,"JCOPE")</f>
        <v>0</v>
      </c>
      <c r="DF87" s="55">
        <f>SUMIFS('Awards Summary'!$H:$H,'Awards Summary'!$B:$B,$C87,'Awards Summary'!$J:$J,"JUSTICE")</f>
        <v>0</v>
      </c>
      <c r="DG87" s="55">
        <f>SUMIFS('Disbursements Summary'!$E:$E,'Disbursements Summary'!$C:$C,$C87,'Disbursements Summary'!$A:$A,"JUSTICE")</f>
        <v>0</v>
      </c>
      <c r="DH87" s="55">
        <f>SUMIFS('Awards Summary'!$H:$H,'Awards Summary'!$B:$B,$C87,'Awards Summary'!$J:$J,"LCWSA")</f>
        <v>0</v>
      </c>
      <c r="DI87" s="55">
        <f>SUMIFS('Disbursements Summary'!$E:$E,'Disbursements Summary'!$C:$C,$C87,'Disbursements Summary'!$A:$A,"LCWSA")</f>
        <v>0</v>
      </c>
      <c r="DJ87" s="55">
        <f>SUMIFS('Awards Summary'!$H:$H,'Awards Summary'!$B:$B,$C87,'Awards Summary'!$J:$J,"LIPA")</f>
        <v>0</v>
      </c>
      <c r="DK87" s="55">
        <f>SUMIFS('Disbursements Summary'!$E:$E,'Disbursements Summary'!$C:$C,$C87,'Disbursements Summary'!$A:$A,"LIPA")</f>
        <v>0</v>
      </c>
      <c r="DL87" s="55">
        <f>SUMIFS('Awards Summary'!$H:$H,'Awards Summary'!$B:$B,$C87,'Awards Summary'!$J:$J,"MTA")</f>
        <v>0</v>
      </c>
      <c r="DM87" s="55">
        <f>SUMIFS('Disbursements Summary'!$E:$E,'Disbursements Summary'!$C:$C,$C87,'Disbursements Summary'!$A:$A,"MTA")</f>
        <v>0</v>
      </c>
      <c r="DN87" s="55">
        <f>SUMIFS('Awards Summary'!$H:$H,'Awards Summary'!$B:$B,$C87,'Awards Summary'!$J:$J,"NIFA")</f>
        <v>0</v>
      </c>
      <c r="DO87" s="55">
        <f>SUMIFS('Disbursements Summary'!$E:$E,'Disbursements Summary'!$C:$C,$C87,'Disbursements Summary'!$A:$A,"NIFA")</f>
        <v>0</v>
      </c>
      <c r="DP87" s="55">
        <f>SUMIFS('Awards Summary'!$H:$H,'Awards Summary'!$B:$B,$C87,'Awards Summary'!$J:$J,"NHCC")</f>
        <v>0</v>
      </c>
      <c r="DQ87" s="55">
        <f>SUMIFS('Disbursements Summary'!$E:$E,'Disbursements Summary'!$C:$C,$C87,'Disbursements Summary'!$A:$A,"NHCC")</f>
        <v>0</v>
      </c>
      <c r="DR87" s="55">
        <f>SUMIFS('Awards Summary'!$H:$H,'Awards Summary'!$B:$B,$C87,'Awards Summary'!$J:$J,"NHT")</f>
        <v>0</v>
      </c>
      <c r="DS87" s="55">
        <f>SUMIFS('Disbursements Summary'!$E:$E,'Disbursements Summary'!$C:$C,$C87,'Disbursements Summary'!$A:$A,"NHT")</f>
        <v>0</v>
      </c>
      <c r="DT87" s="55">
        <f>SUMIFS('Awards Summary'!$H:$H,'Awards Summary'!$B:$B,$C87,'Awards Summary'!$J:$J,"NYPA")</f>
        <v>0</v>
      </c>
      <c r="DU87" s="55">
        <f>SUMIFS('Disbursements Summary'!$E:$E,'Disbursements Summary'!$C:$C,$C87,'Disbursements Summary'!$A:$A,"NYPA")</f>
        <v>0</v>
      </c>
      <c r="DV87" s="55">
        <f>SUMIFS('Awards Summary'!$H:$H,'Awards Summary'!$B:$B,$C87,'Awards Summary'!$J:$J,"NYSBA")</f>
        <v>0</v>
      </c>
      <c r="DW87" s="55">
        <f>SUMIFS('Disbursements Summary'!$E:$E,'Disbursements Summary'!$C:$C,$C87,'Disbursements Summary'!$A:$A,"NYSBA")</f>
        <v>0</v>
      </c>
      <c r="DX87" s="55">
        <f>SUMIFS('Awards Summary'!$H:$H,'Awards Summary'!$B:$B,$C87,'Awards Summary'!$J:$J,"NYSERDA")</f>
        <v>0</v>
      </c>
      <c r="DY87" s="55">
        <f>SUMIFS('Disbursements Summary'!$E:$E,'Disbursements Summary'!$C:$C,$C87,'Disbursements Summary'!$A:$A,"NYSERDA")</f>
        <v>0</v>
      </c>
      <c r="DZ87" s="55">
        <f>SUMIFS('Awards Summary'!$H:$H,'Awards Summary'!$B:$B,$C87,'Awards Summary'!$J:$J,"DHCR")</f>
        <v>0</v>
      </c>
      <c r="EA87" s="55">
        <f>SUMIFS('Disbursements Summary'!$E:$E,'Disbursements Summary'!$C:$C,$C87,'Disbursements Summary'!$A:$A,"DHCR")</f>
        <v>0</v>
      </c>
      <c r="EB87" s="55">
        <f>SUMIFS('Awards Summary'!$H:$H,'Awards Summary'!$B:$B,$C87,'Awards Summary'!$J:$J,"HFA")</f>
        <v>0</v>
      </c>
      <c r="EC87" s="55">
        <f>SUMIFS('Disbursements Summary'!$E:$E,'Disbursements Summary'!$C:$C,$C87,'Disbursements Summary'!$A:$A,"HFA")</f>
        <v>0</v>
      </c>
      <c r="ED87" s="55">
        <f>SUMIFS('Awards Summary'!$H:$H,'Awards Summary'!$B:$B,$C87,'Awards Summary'!$J:$J,"NYSIF")</f>
        <v>0</v>
      </c>
      <c r="EE87" s="55">
        <f>SUMIFS('Disbursements Summary'!$E:$E,'Disbursements Summary'!$C:$C,$C87,'Disbursements Summary'!$A:$A,"NYSIF")</f>
        <v>0</v>
      </c>
      <c r="EF87" s="55">
        <f>SUMIFS('Awards Summary'!$H:$H,'Awards Summary'!$B:$B,$C87,'Awards Summary'!$J:$J,"NYBREDS")</f>
        <v>0</v>
      </c>
      <c r="EG87" s="55">
        <f>SUMIFS('Disbursements Summary'!$E:$E,'Disbursements Summary'!$C:$C,$C87,'Disbursements Summary'!$A:$A,"NYBREDS")</f>
        <v>0</v>
      </c>
      <c r="EH87" s="55">
        <f>SUMIFS('Awards Summary'!$H:$H,'Awards Summary'!$B:$B,$C87,'Awards Summary'!$J:$J,"NYSTA")</f>
        <v>0</v>
      </c>
      <c r="EI87" s="55">
        <f>SUMIFS('Disbursements Summary'!$E:$E,'Disbursements Summary'!$C:$C,$C87,'Disbursements Summary'!$A:$A,"NYSTA")</f>
        <v>0</v>
      </c>
      <c r="EJ87" s="55">
        <f>SUMIFS('Awards Summary'!$H:$H,'Awards Summary'!$B:$B,$C87,'Awards Summary'!$J:$J,"NFWB")</f>
        <v>0</v>
      </c>
      <c r="EK87" s="55">
        <f>SUMIFS('Disbursements Summary'!$E:$E,'Disbursements Summary'!$C:$C,$C87,'Disbursements Summary'!$A:$A,"NFWB")</f>
        <v>0</v>
      </c>
      <c r="EL87" s="55">
        <f>SUMIFS('Awards Summary'!$H:$H,'Awards Summary'!$B:$B,$C87,'Awards Summary'!$J:$J,"NFTA")</f>
        <v>0</v>
      </c>
      <c r="EM87" s="55">
        <f>SUMIFS('Disbursements Summary'!$E:$E,'Disbursements Summary'!$C:$C,$C87,'Disbursements Summary'!$A:$A,"NFTA")</f>
        <v>0</v>
      </c>
      <c r="EN87" s="55">
        <f>SUMIFS('Awards Summary'!$H:$H,'Awards Summary'!$B:$B,$C87,'Awards Summary'!$J:$J,"OPWDD")</f>
        <v>0</v>
      </c>
      <c r="EO87" s="55">
        <f>SUMIFS('Disbursements Summary'!$E:$E,'Disbursements Summary'!$C:$C,$C87,'Disbursements Summary'!$A:$A,"OPWDD")</f>
        <v>0</v>
      </c>
      <c r="EP87" s="55">
        <f>SUMIFS('Awards Summary'!$H:$H,'Awards Summary'!$B:$B,$C87,'Awards Summary'!$J:$J,"AGING")</f>
        <v>0</v>
      </c>
      <c r="EQ87" s="55">
        <f>SUMIFS('Disbursements Summary'!$E:$E,'Disbursements Summary'!$C:$C,$C87,'Disbursements Summary'!$A:$A,"AGING")</f>
        <v>0</v>
      </c>
      <c r="ER87" s="55">
        <f>SUMIFS('Awards Summary'!$H:$H,'Awards Summary'!$B:$B,$C87,'Awards Summary'!$J:$J,"OPDV")</f>
        <v>0</v>
      </c>
      <c r="ES87" s="55">
        <f>SUMIFS('Disbursements Summary'!$E:$E,'Disbursements Summary'!$C:$C,$C87,'Disbursements Summary'!$A:$A,"OPDV")</f>
        <v>0</v>
      </c>
      <c r="ET87" s="55">
        <f>SUMIFS('Awards Summary'!$H:$H,'Awards Summary'!$B:$B,$C87,'Awards Summary'!$J:$J,"OVS")</f>
        <v>0</v>
      </c>
      <c r="EU87" s="55">
        <f>SUMIFS('Disbursements Summary'!$E:$E,'Disbursements Summary'!$C:$C,$C87,'Disbursements Summary'!$A:$A,"OVS")</f>
        <v>0</v>
      </c>
      <c r="EV87" s="55">
        <f>SUMIFS('Awards Summary'!$H:$H,'Awards Summary'!$B:$B,$C87,'Awards Summary'!$J:$J,"OASAS")</f>
        <v>0</v>
      </c>
      <c r="EW87" s="55">
        <f>SUMIFS('Disbursements Summary'!$E:$E,'Disbursements Summary'!$C:$C,$C87,'Disbursements Summary'!$A:$A,"OASAS")</f>
        <v>0</v>
      </c>
      <c r="EX87" s="55">
        <f>SUMIFS('Awards Summary'!$H:$H,'Awards Summary'!$B:$B,$C87,'Awards Summary'!$J:$J,"OCFS")</f>
        <v>0</v>
      </c>
      <c r="EY87" s="55">
        <f>SUMIFS('Disbursements Summary'!$E:$E,'Disbursements Summary'!$C:$C,$C87,'Disbursements Summary'!$A:$A,"OCFS")</f>
        <v>0</v>
      </c>
      <c r="EZ87" s="55">
        <f>SUMIFS('Awards Summary'!$H:$H,'Awards Summary'!$B:$B,$C87,'Awards Summary'!$J:$J,"OGS")</f>
        <v>0</v>
      </c>
      <c r="FA87" s="55">
        <f>SUMIFS('Disbursements Summary'!$E:$E,'Disbursements Summary'!$C:$C,$C87,'Disbursements Summary'!$A:$A,"OGS")</f>
        <v>0</v>
      </c>
      <c r="FB87" s="55">
        <f>SUMIFS('Awards Summary'!$H:$H,'Awards Summary'!$B:$B,$C87,'Awards Summary'!$J:$J,"OMH")</f>
        <v>0</v>
      </c>
      <c r="FC87" s="55">
        <f>SUMIFS('Disbursements Summary'!$E:$E,'Disbursements Summary'!$C:$C,$C87,'Disbursements Summary'!$A:$A,"OMH")</f>
        <v>0</v>
      </c>
      <c r="FD87" s="55">
        <f>SUMIFS('Awards Summary'!$H:$H,'Awards Summary'!$B:$B,$C87,'Awards Summary'!$J:$J,"PARKS")</f>
        <v>0</v>
      </c>
      <c r="FE87" s="55">
        <f>SUMIFS('Disbursements Summary'!$E:$E,'Disbursements Summary'!$C:$C,$C87,'Disbursements Summary'!$A:$A,"PARKS")</f>
        <v>0</v>
      </c>
      <c r="FF87" s="55">
        <f>SUMIFS('Awards Summary'!$H:$H,'Awards Summary'!$B:$B,$C87,'Awards Summary'!$J:$J,"OTDA")</f>
        <v>0</v>
      </c>
      <c r="FG87" s="55">
        <f>SUMIFS('Disbursements Summary'!$E:$E,'Disbursements Summary'!$C:$C,$C87,'Disbursements Summary'!$A:$A,"OTDA")</f>
        <v>0</v>
      </c>
      <c r="FH87" s="55">
        <f>SUMIFS('Awards Summary'!$H:$H,'Awards Summary'!$B:$B,$C87,'Awards Summary'!$J:$J,"OIG")</f>
        <v>0</v>
      </c>
      <c r="FI87" s="55">
        <f>SUMIFS('Disbursements Summary'!$E:$E,'Disbursements Summary'!$C:$C,$C87,'Disbursements Summary'!$A:$A,"OIG")</f>
        <v>0</v>
      </c>
      <c r="FJ87" s="55">
        <f>SUMIFS('Awards Summary'!$H:$H,'Awards Summary'!$B:$B,$C87,'Awards Summary'!$J:$J,"OMIG")</f>
        <v>0</v>
      </c>
      <c r="FK87" s="55">
        <f>SUMIFS('Disbursements Summary'!$E:$E,'Disbursements Summary'!$C:$C,$C87,'Disbursements Summary'!$A:$A,"OMIG")</f>
        <v>0</v>
      </c>
      <c r="FL87" s="55">
        <f>SUMIFS('Awards Summary'!$H:$H,'Awards Summary'!$B:$B,$C87,'Awards Summary'!$J:$J,"OSC")</f>
        <v>0</v>
      </c>
      <c r="FM87" s="55">
        <f>SUMIFS('Disbursements Summary'!$E:$E,'Disbursements Summary'!$C:$C,$C87,'Disbursements Summary'!$A:$A,"OSC")</f>
        <v>0</v>
      </c>
      <c r="FN87" s="55">
        <f>SUMIFS('Awards Summary'!$H:$H,'Awards Summary'!$B:$B,$C87,'Awards Summary'!$J:$J,"OWIG")</f>
        <v>0</v>
      </c>
      <c r="FO87" s="55">
        <f>SUMIFS('Disbursements Summary'!$E:$E,'Disbursements Summary'!$C:$C,$C87,'Disbursements Summary'!$A:$A,"OWIG")</f>
        <v>0</v>
      </c>
      <c r="FP87" s="55">
        <f>SUMIFS('Awards Summary'!$H:$H,'Awards Summary'!$B:$B,$C87,'Awards Summary'!$J:$J,"OGDEN")</f>
        <v>0</v>
      </c>
      <c r="FQ87" s="55">
        <f>SUMIFS('Disbursements Summary'!$E:$E,'Disbursements Summary'!$C:$C,$C87,'Disbursements Summary'!$A:$A,"OGDEN")</f>
        <v>0</v>
      </c>
      <c r="FR87" s="55">
        <f>SUMIFS('Awards Summary'!$H:$H,'Awards Summary'!$B:$B,$C87,'Awards Summary'!$J:$J,"ORDA")</f>
        <v>0</v>
      </c>
      <c r="FS87" s="55">
        <f>SUMIFS('Disbursements Summary'!$E:$E,'Disbursements Summary'!$C:$C,$C87,'Disbursements Summary'!$A:$A,"ORDA")</f>
        <v>0</v>
      </c>
      <c r="FT87" s="55">
        <f>SUMIFS('Awards Summary'!$H:$H,'Awards Summary'!$B:$B,$C87,'Awards Summary'!$J:$J,"OSWEGO")</f>
        <v>0</v>
      </c>
      <c r="FU87" s="55">
        <f>SUMIFS('Disbursements Summary'!$E:$E,'Disbursements Summary'!$C:$C,$C87,'Disbursements Summary'!$A:$A,"OSWEGO")</f>
        <v>0</v>
      </c>
      <c r="FV87" s="55">
        <f>SUMIFS('Awards Summary'!$H:$H,'Awards Summary'!$B:$B,$C87,'Awards Summary'!$J:$J,"PERB")</f>
        <v>0</v>
      </c>
      <c r="FW87" s="55">
        <f>SUMIFS('Disbursements Summary'!$E:$E,'Disbursements Summary'!$C:$C,$C87,'Disbursements Summary'!$A:$A,"PERB")</f>
        <v>0</v>
      </c>
      <c r="FX87" s="55">
        <f>SUMIFS('Awards Summary'!$H:$H,'Awards Summary'!$B:$B,$C87,'Awards Summary'!$J:$J,"RGRTA")</f>
        <v>0</v>
      </c>
      <c r="FY87" s="55">
        <f>SUMIFS('Disbursements Summary'!$E:$E,'Disbursements Summary'!$C:$C,$C87,'Disbursements Summary'!$A:$A,"RGRTA")</f>
        <v>0</v>
      </c>
      <c r="FZ87" s="55">
        <f>SUMIFS('Awards Summary'!$H:$H,'Awards Summary'!$B:$B,$C87,'Awards Summary'!$J:$J,"RIOC")</f>
        <v>0</v>
      </c>
      <c r="GA87" s="55">
        <f>SUMIFS('Disbursements Summary'!$E:$E,'Disbursements Summary'!$C:$C,$C87,'Disbursements Summary'!$A:$A,"RIOC")</f>
        <v>0</v>
      </c>
      <c r="GB87" s="55">
        <f>SUMIFS('Awards Summary'!$H:$H,'Awards Summary'!$B:$B,$C87,'Awards Summary'!$J:$J,"RPCI")</f>
        <v>0</v>
      </c>
      <c r="GC87" s="55">
        <f>SUMIFS('Disbursements Summary'!$E:$E,'Disbursements Summary'!$C:$C,$C87,'Disbursements Summary'!$A:$A,"RPCI")</f>
        <v>0</v>
      </c>
      <c r="GD87" s="55">
        <f>SUMIFS('Awards Summary'!$H:$H,'Awards Summary'!$B:$B,$C87,'Awards Summary'!$J:$J,"SMDA")</f>
        <v>0</v>
      </c>
      <c r="GE87" s="55">
        <f>SUMIFS('Disbursements Summary'!$E:$E,'Disbursements Summary'!$C:$C,$C87,'Disbursements Summary'!$A:$A,"SMDA")</f>
        <v>0</v>
      </c>
      <c r="GF87" s="55">
        <f>SUMIFS('Awards Summary'!$H:$H,'Awards Summary'!$B:$B,$C87,'Awards Summary'!$J:$J,"SCOC")</f>
        <v>0</v>
      </c>
      <c r="GG87" s="55">
        <f>SUMIFS('Disbursements Summary'!$E:$E,'Disbursements Summary'!$C:$C,$C87,'Disbursements Summary'!$A:$A,"SCOC")</f>
        <v>0</v>
      </c>
      <c r="GH87" s="55">
        <f>SUMIFS('Awards Summary'!$H:$H,'Awards Summary'!$B:$B,$C87,'Awards Summary'!$J:$J,"SUCF")</f>
        <v>0</v>
      </c>
      <c r="GI87" s="55">
        <f>SUMIFS('Disbursements Summary'!$E:$E,'Disbursements Summary'!$C:$C,$C87,'Disbursements Summary'!$A:$A,"SUCF")</f>
        <v>0</v>
      </c>
      <c r="GJ87" s="55">
        <f>SUMIFS('Awards Summary'!$H:$H,'Awards Summary'!$B:$B,$C87,'Awards Summary'!$J:$J,"SUNY")</f>
        <v>0</v>
      </c>
      <c r="GK87" s="55">
        <f>SUMIFS('Disbursements Summary'!$E:$E,'Disbursements Summary'!$C:$C,$C87,'Disbursements Summary'!$A:$A,"SUNY")</f>
        <v>0</v>
      </c>
      <c r="GL87" s="55">
        <f>SUMIFS('Awards Summary'!$H:$H,'Awards Summary'!$B:$B,$C87,'Awards Summary'!$J:$J,"SRAA")</f>
        <v>0</v>
      </c>
      <c r="GM87" s="55">
        <f>SUMIFS('Disbursements Summary'!$E:$E,'Disbursements Summary'!$C:$C,$C87,'Disbursements Summary'!$A:$A,"SRAA")</f>
        <v>0</v>
      </c>
      <c r="GN87" s="55">
        <f>SUMIFS('Awards Summary'!$H:$H,'Awards Summary'!$B:$B,$C87,'Awards Summary'!$J:$J,"UNDC")</f>
        <v>0</v>
      </c>
      <c r="GO87" s="55">
        <f>SUMIFS('Disbursements Summary'!$E:$E,'Disbursements Summary'!$C:$C,$C87,'Disbursements Summary'!$A:$A,"UNDC")</f>
        <v>0</v>
      </c>
      <c r="GP87" s="55">
        <f>SUMIFS('Awards Summary'!$H:$H,'Awards Summary'!$B:$B,$C87,'Awards Summary'!$J:$J,"MVWA")</f>
        <v>0</v>
      </c>
      <c r="GQ87" s="55">
        <f>SUMIFS('Disbursements Summary'!$E:$E,'Disbursements Summary'!$C:$C,$C87,'Disbursements Summary'!$A:$A,"MVWA")</f>
        <v>0</v>
      </c>
      <c r="GR87" s="55">
        <f>SUMIFS('Awards Summary'!$H:$H,'Awards Summary'!$B:$B,$C87,'Awards Summary'!$J:$J,"WMC")</f>
        <v>0</v>
      </c>
      <c r="GS87" s="55">
        <f>SUMIFS('Disbursements Summary'!$E:$E,'Disbursements Summary'!$C:$C,$C87,'Disbursements Summary'!$A:$A,"WMC")</f>
        <v>0</v>
      </c>
      <c r="GT87" s="55">
        <f>SUMIFS('Awards Summary'!$H:$H,'Awards Summary'!$B:$B,$C87,'Awards Summary'!$J:$J,"WCB")</f>
        <v>0</v>
      </c>
      <c r="GU87" s="55">
        <f>SUMIFS('Disbursements Summary'!$E:$E,'Disbursements Summary'!$C:$C,$C87,'Disbursements Summary'!$A:$A,"WCB")</f>
        <v>0</v>
      </c>
      <c r="GV87" s="32">
        <f t="shared" si="10"/>
        <v>0</v>
      </c>
      <c r="GW87" s="32">
        <f t="shared" si="11"/>
        <v>0</v>
      </c>
      <c r="GX87" s="30" t="b">
        <f t="shared" si="12"/>
        <v>1</v>
      </c>
      <c r="GY87" s="30" t="b">
        <f t="shared" si="13"/>
        <v>1</v>
      </c>
    </row>
    <row r="88" spans="1:207" s="30" customFormat="1">
      <c r="A88" s="22" t="str">
        <f t="shared" si="9"/>
        <v/>
      </c>
      <c r="B88" s="40" t="s">
        <v>101</v>
      </c>
      <c r="C88" s="16">
        <v>151179</v>
      </c>
      <c r="D88" s="26">
        <f>COUNTIF('Awards Summary'!B:B,"151179")</f>
        <v>0</v>
      </c>
      <c r="E88" s="45">
        <f>SUMIFS('Awards Summary'!H:H,'Awards Summary'!B:B,"151179")</f>
        <v>0</v>
      </c>
      <c r="F88" s="46">
        <f>SUMIFS('Disbursements Summary'!E:E,'Disbursements Summary'!C:C, "151179")</f>
        <v>0</v>
      </c>
      <c r="H88" s="55">
        <f>SUMIFS('Awards Summary'!$H:$H,'Awards Summary'!$B:$B,$C88,'Awards Summary'!$J:$J,"APA")</f>
        <v>0</v>
      </c>
      <c r="I88" s="55">
        <f>SUMIFS('Disbursements Summary'!$E:$E,'Disbursements Summary'!$C:$C,$C88,'Disbursements Summary'!$A:$A,"APA")</f>
        <v>0</v>
      </c>
      <c r="J88" s="55">
        <f>SUMIFS('Awards Summary'!$H:$H,'Awards Summary'!$B:$B,$C88,'Awards Summary'!$J:$J,"Ag&amp;Horse")</f>
        <v>0</v>
      </c>
      <c r="K88" s="55">
        <f>SUMIFS('Disbursements Summary'!$E:$E,'Disbursements Summary'!$C:$C,$C88,'Disbursements Summary'!$A:$A,"Ag&amp;Horse")</f>
        <v>0</v>
      </c>
      <c r="L88" s="55">
        <f>SUMIFS('Awards Summary'!$H:$H,'Awards Summary'!$B:$B,$C88,'Awards Summary'!$J:$J,"ACAA")</f>
        <v>0</v>
      </c>
      <c r="M88" s="55">
        <f>SUMIFS('Disbursements Summary'!$E:$E,'Disbursements Summary'!$C:$C,$C88,'Disbursements Summary'!$A:$A,"ACAA")</f>
        <v>0</v>
      </c>
      <c r="N88" s="55">
        <f>SUMIFS('Awards Summary'!$H:$H,'Awards Summary'!$B:$B,$C88,'Awards Summary'!$J:$J,"PortAlbany")</f>
        <v>0</v>
      </c>
      <c r="O88" s="55">
        <f>SUMIFS('Disbursements Summary'!$E:$E,'Disbursements Summary'!$C:$C,$C88,'Disbursements Summary'!$A:$A,"PortAlbany")</f>
        <v>0</v>
      </c>
      <c r="P88" s="55">
        <f>SUMIFS('Awards Summary'!$H:$H,'Awards Summary'!$B:$B,$C88,'Awards Summary'!$J:$J,"SLA")</f>
        <v>0</v>
      </c>
      <c r="Q88" s="55">
        <f>SUMIFS('Disbursements Summary'!$E:$E,'Disbursements Summary'!$C:$C,$C88,'Disbursements Summary'!$A:$A,"SLA")</f>
        <v>0</v>
      </c>
      <c r="R88" s="55">
        <f>SUMIFS('Awards Summary'!$H:$H,'Awards Summary'!$B:$B,$C88,'Awards Summary'!$J:$J,"BPCA")</f>
        <v>0</v>
      </c>
      <c r="S88" s="55">
        <f>SUMIFS('Disbursements Summary'!$E:$E,'Disbursements Summary'!$C:$C,$C88,'Disbursements Summary'!$A:$A,"BPCA")</f>
        <v>0</v>
      </c>
      <c r="T88" s="55">
        <f>SUMIFS('Awards Summary'!$H:$H,'Awards Summary'!$B:$B,$C88,'Awards Summary'!$J:$J,"ELECTIONS")</f>
        <v>0</v>
      </c>
      <c r="U88" s="55">
        <f>SUMIFS('Disbursements Summary'!$E:$E,'Disbursements Summary'!$C:$C,$C88,'Disbursements Summary'!$A:$A,"ELECTIONS")</f>
        <v>0</v>
      </c>
      <c r="V88" s="55">
        <f>SUMIFS('Awards Summary'!$H:$H,'Awards Summary'!$B:$B,$C88,'Awards Summary'!$J:$J,"BFSA")</f>
        <v>0</v>
      </c>
      <c r="W88" s="55">
        <f>SUMIFS('Disbursements Summary'!$E:$E,'Disbursements Summary'!$C:$C,$C88,'Disbursements Summary'!$A:$A,"BFSA")</f>
        <v>0</v>
      </c>
      <c r="X88" s="55">
        <f>SUMIFS('Awards Summary'!$H:$H,'Awards Summary'!$B:$B,$C88,'Awards Summary'!$J:$J,"CDTA")</f>
        <v>0</v>
      </c>
      <c r="Y88" s="55">
        <f>SUMIFS('Disbursements Summary'!$E:$E,'Disbursements Summary'!$C:$C,$C88,'Disbursements Summary'!$A:$A,"CDTA")</f>
        <v>0</v>
      </c>
      <c r="Z88" s="55">
        <f>SUMIFS('Awards Summary'!$H:$H,'Awards Summary'!$B:$B,$C88,'Awards Summary'!$J:$J,"CCWSA")</f>
        <v>0</v>
      </c>
      <c r="AA88" s="55">
        <f>SUMIFS('Disbursements Summary'!$E:$E,'Disbursements Summary'!$C:$C,$C88,'Disbursements Summary'!$A:$A,"CCWSA")</f>
        <v>0</v>
      </c>
      <c r="AB88" s="55">
        <f>SUMIFS('Awards Summary'!$H:$H,'Awards Summary'!$B:$B,$C88,'Awards Summary'!$J:$J,"CNYRTA")</f>
        <v>0</v>
      </c>
      <c r="AC88" s="55">
        <f>SUMIFS('Disbursements Summary'!$E:$E,'Disbursements Summary'!$C:$C,$C88,'Disbursements Summary'!$A:$A,"CNYRTA")</f>
        <v>0</v>
      </c>
      <c r="AD88" s="55">
        <f>SUMIFS('Awards Summary'!$H:$H,'Awards Summary'!$B:$B,$C88,'Awards Summary'!$J:$J,"CUCF")</f>
        <v>0</v>
      </c>
      <c r="AE88" s="55">
        <f>SUMIFS('Disbursements Summary'!$E:$E,'Disbursements Summary'!$C:$C,$C88,'Disbursements Summary'!$A:$A,"CUCF")</f>
        <v>0</v>
      </c>
      <c r="AF88" s="55">
        <f>SUMIFS('Awards Summary'!$H:$H,'Awards Summary'!$B:$B,$C88,'Awards Summary'!$J:$J,"CUNY")</f>
        <v>0</v>
      </c>
      <c r="AG88" s="55">
        <f>SUMIFS('Disbursements Summary'!$E:$E,'Disbursements Summary'!$C:$C,$C88,'Disbursements Summary'!$A:$A,"CUNY")</f>
        <v>0</v>
      </c>
      <c r="AH88" s="55">
        <f>SUMIFS('Awards Summary'!$H:$H,'Awards Summary'!$B:$B,$C88,'Awards Summary'!$J:$J,"ARTS")</f>
        <v>0</v>
      </c>
      <c r="AI88" s="55">
        <f>SUMIFS('Disbursements Summary'!$E:$E,'Disbursements Summary'!$C:$C,$C88,'Disbursements Summary'!$A:$A,"ARTS")</f>
        <v>0</v>
      </c>
      <c r="AJ88" s="55">
        <f>SUMIFS('Awards Summary'!$H:$H,'Awards Summary'!$B:$B,$C88,'Awards Summary'!$J:$J,"AG&amp;MKTS")</f>
        <v>0</v>
      </c>
      <c r="AK88" s="55">
        <f>SUMIFS('Disbursements Summary'!$E:$E,'Disbursements Summary'!$C:$C,$C88,'Disbursements Summary'!$A:$A,"AG&amp;MKTS")</f>
        <v>0</v>
      </c>
      <c r="AL88" s="55">
        <f>SUMIFS('Awards Summary'!$H:$H,'Awards Summary'!$B:$B,$C88,'Awards Summary'!$J:$J,"CS")</f>
        <v>0</v>
      </c>
      <c r="AM88" s="55">
        <f>SUMIFS('Disbursements Summary'!$E:$E,'Disbursements Summary'!$C:$C,$C88,'Disbursements Summary'!$A:$A,"CS")</f>
        <v>0</v>
      </c>
      <c r="AN88" s="55">
        <f>SUMIFS('Awards Summary'!$H:$H,'Awards Summary'!$B:$B,$C88,'Awards Summary'!$J:$J,"DOCCS")</f>
        <v>0</v>
      </c>
      <c r="AO88" s="55">
        <f>SUMIFS('Disbursements Summary'!$E:$E,'Disbursements Summary'!$C:$C,$C88,'Disbursements Summary'!$A:$A,"DOCCS")</f>
        <v>0</v>
      </c>
      <c r="AP88" s="55">
        <f>SUMIFS('Awards Summary'!$H:$H,'Awards Summary'!$B:$B,$C88,'Awards Summary'!$J:$J,"DED")</f>
        <v>0</v>
      </c>
      <c r="AQ88" s="55">
        <f>SUMIFS('Disbursements Summary'!$E:$E,'Disbursements Summary'!$C:$C,$C88,'Disbursements Summary'!$A:$A,"DED")</f>
        <v>0</v>
      </c>
      <c r="AR88" s="55">
        <f>SUMIFS('Awards Summary'!$H:$H,'Awards Summary'!$B:$B,$C88,'Awards Summary'!$J:$J,"DEC")</f>
        <v>0</v>
      </c>
      <c r="AS88" s="55">
        <f>SUMIFS('Disbursements Summary'!$E:$E,'Disbursements Summary'!$C:$C,$C88,'Disbursements Summary'!$A:$A,"DEC")</f>
        <v>0</v>
      </c>
      <c r="AT88" s="55">
        <f>SUMIFS('Awards Summary'!$H:$H,'Awards Summary'!$B:$B,$C88,'Awards Summary'!$J:$J,"DFS")</f>
        <v>0</v>
      </c>
      <c r="AU88" s="55">
        <f>SUMIFS('Disbursements Summary'!$E:$E,'Disbursements Summary'!$C:$C,$C88,'Disbursements Summary'!$A:$A,"DFS")</f>
        <v>0</v>
      </c>
      <c r="AV88" s="55">
        <f>SUMIFS('Awards Summary'!$H:$H,'Awards Summary'!$B:$B,$C88,'Awards Summary'!$J:$J,"DOH")</f>
        <v>0</v>
      </c>
      <c r="AW88" s="55">
        <f>SUMIFS('Disbursements Summary'!$E:$E,'Disbursements Summary'!$C:$C,$C88,'Disbursements Summary'!$A:$A,"DOH")</f>
        <v>0</v>
      </c>
      <c r="AX88" s="55">
        <f>SUMIFS('Awards Summary'!$H:$H,'Awards Summary'!$B:$B,$C88,'Awards Summary'!$J:$J,"DOL")</f>
        <v>0</v>
      </c>
      <c r="AY88" s="55">
        <f>SUMIFS('Disbursements Summary'!$E:$E,'Disbursements Summary'!$C:$C,$C88,'Disbursements Summary'!$A:$A,"DOL")</f>
        <v>0</v>
      </c>
      <c r="AZ88" s="55">
        <f>SUMIFS('Awards Summary'!$H:$H,'Awards Summary'!$B:$B,$C88,'Awards Summary'!$J:$J,"DMV")</f>
        <v>0</v>
      </c>
      <c r="BA88" s="55">
        <f>SUMIFS('Disbursements Summary'!$E:$E,'Disbursements Summary'!$C:$C,$C88,'Disbursements Summary'!$A:$A,"DMV")</f>
        <v>0</v>
      </c>
      <c r="BB88" s="55">
        <f>SUMIFS('Awards Summary'!$H:$H,'Awards Summary'!$B:$B,$C88,'Awards Summary'!$J:$J,"DPS")</f>
        <v>0</v>
      </c>
      <c r="BC88" s="55">
        <f>SUMIFS('Disbursements Summary'!$E:$E,'Disbursements Summary'!$C:$C,$C88,'Disbursements Summary'!$A:$A,"DPS")</f>
        <v>0</v>
      </c>
      <c r="BD88" s="55">
        <f>SUMIFS('Awards Summary'!$H:$H,'Awards Summary'!$B:$B,$C88,'Awards Summary'!$J:$J,"DOS")</f>
        <v>0</v>
      </c>
      <c r="BE88" s="55">
        <f>SUMIFS('Disbursements Summary'!$E:$E,'Disbursements Summary'!$C:$C,$C88,'Disbursements Summary'!$A:$A,"DOS")</f>
        <v>0</v>
      </c>
      <c r="BF88" s="55">
        <f>SUMIFS('Awards Summary'!$H:$H,'Awards Summary'!$B:$B,$C88,'Awards Summary'!$J:$J,"TAX")</f>
        <v>0</v>
      </c>
      <c r="BG88" s="55">
        <f>SUMIFS('Disbursements Summary'!$E:$E,'Disbursements Summary'!$C:$C,$C88,'Disbursements Summary'!$A:$A,"TAX")</f>
        <v>0</v>
      </c>
      <c r="BH88" s="55">
        <f>SUMIFS('Awards Summary'!$H:$H,'Awards Summary'!$B:$B,$C88,'Awards Summary'!$J:$J,"DOT")</f>
        <v>0</v>
      </c>
      <c r="BI88" s="55">
        <f>SUMIFS('Disbursements Summary'!$E:$E,'Disbursements Summary'!$C:$C,$C88,'Disbursements Summary'!$A:$A,"DOT")</f>
        <v>0</v>
      </c>
      <c r="BJ88" s="55">
        <f>SUMIFS('Awards Summary'!$H:$H,'Awards Summary'!$B:$B,$C88,'Awards Summary'!$J:$J,"DANC")</f>
        <v>0</v>
      </c>
      <c r="BK88" s="55">
        <f>SUMIFS('Disbursements Summary'!$E:$E,'Disbursements Summary'!$C:$C,$C88,'Disbursements Summary'!$A:$A,"DANC")</f>
        <v>0</v>
      </c>
      <c r="BL88" s="55">
        <f>SUMIFS('Awards Summary'!$H:$H,'Awards Summary'!$B:$B,$C88,'Awards Summary'!$J:$J,"DOB")</f>
        <v>0</v>
      </c>
      <c r="BM88" s="55">
        <f>SUMIFS('Disbursements Summary'!$E:$E,'Disbursements Summary'!$C:$C,$C88,'Disbursements Summary'!$A:$A,"DOB")</f>
        <v>0</v>
      </c>
      <c r="BN88" s="55">
        <f>SUMIFS('Awards Summary'!$H:$H,'Awards Summary'!$B:$B,$C88,'Awards Summary'!$J:$J,"DCJS")</f>
        <v>0</v>
      </c>
      <c r="BO88" s="55">
        <f>SUMIFS('Disbursements Summary'!$E:$E,'Disbursements Summary'!$C:$C,$C88,'Disbursements Summary'!$A:$A,"DCJS")</f>
        <v>0</v>
      </c>
      <c r="BP88" s="55">
        <f>SUMIFS('Awards Summary'!$H:$H,'Awards Summary'!$B:$B,$C88,'Awards Summary'!$J:$J,"DHSES")</f>
        <v>0</v>
      </c>
      <c r="BQ88" s="55">
        <f>SUMIFS('Disbursements Summary'!$E:$E,'Disbursements Summary'!$C:$C,$C88,'Disbursements Summary'!$A:$A,"DHSES")</f>
        <v>0</v>
      </c>
      <c r="BR88" s="55">
        <f>SUMIFS('Awards Summary'!$H:$H,'Awards Summary'!$B:$B,$C88,'Awards Summary'!$J:$J,"DHR")</f>
        <v>0</v>
      </c>
      <c r="BS88" s="55">
        <f>SUMIFS('Disbursements Summary'!$E:$E,'Disbursements Summary'!$C:$C,$C88,'Disbursements Summary'!$A:$A,"DHR")</f>
        <v>0</v>
      </c>
      <c r="BT88" s="55">
        <f>SUMIFS('Awards Summary'!$H:$H,'Awards Summary'!$B:$B,$C88,'Awards Summary'!$J:$J,"DMNA")</f>
        <v>0</v>
      </c>
      <c r="BU88" s="55">
        <f>SUMIFS('Disbursements Summary'!$E:$E,'Disbursements Summary'!$C:$C,$C88,'Disbursements Summary'!$A:$A,"DMNA")</f>
        <v>0</v>
      </c>
      <c r="BV88" s="55">
        <f>SUMIFS('Awards Summary'!$H:$H,'Awards Summary'!$B:$B,$C88,'Awards Summary'!$J:$J,"TROOPERS")</f>
        <v>0</v>
      </c>
      <c r="BW88" s="55">
        <f>SUMIFS('Disbursements Summary'!$E:$E,'Disbursements Summary'!$C:$C,$C88,'Disbursements Summary'!$A:$A,"TROOPERS")</f>
        <v>0</v>
      </c>
      <c r="BX88" s="55">
        <f>SUMIFS('Awards Summary'!$H:$H,'Awards Summary'!$B:$B,$C88,'Awards Summary'!$J:$J,"DVA")</f>
        <v>0</v>
      </c>
      <c r="BY88" s="55">
        <f>SUMIFS('Disbursements Summary'!$E:$E,'Disbursements Summary'!$C:$C,$C88,'Disbursements Summary'!$A:$A,"DVA")</f>
        <v>0</v>
      </c>
      <c r="BZ88" s="55">
        <f>SUMIFS('Awards Summary'!$H:$H,'Awards Summary'!$B:$B,$C88,'Awards Summary'!$J:$J,"DASNY")</f>
        <v>0</v>
      </c>
      <c r="CA88" s="55">
        <f>SUMIFS('Disbursements Summary'!$E:$E,'Disbursements Summary'!$C:$C,$C88,'Disbursements Summary'!$A:$A,"DASNY")</f>
        <v>0</v>
      </c>
      <c r="CB88" s="55">
        <f>SUMIFS('Awards Summary'!$H:$H,'Awards Summary'!$B:$B,$C88,'Awards Summary'!$J:$J,"EGG")</f>
        <v>0</v>
      </c>
      <c r="CC88" s="55">
        <f>SUMIFS('Disbursements Summary'!$E:$E,'Disbursements Summary'!$C:$C,$C88,'Disbursements Summary'!$A:$A,"EGG")</f>
        <v>0</v>
      </c>
      <c r="CD88" s="55">
        <f>SUMIFS('Awards Summary'!$H:$H,'Awards Summary'!$B:$B,$C88,'Awards Summary'!$J:$J,"ESD")</f>
        <v>0</v>
      </c>
      <c r="CE88" s="55">
        <f>SUMIFS('Disbursements Summary'!$E:$E,'Disbursements Summary'!$C:$C,$C88,'Disbursements Summary'!$A:$A,"ESD")</f>
        <v>0</v>
      </c>
      <c r="CF88" s="55">
        <f>SUMIFS('Awards Summary'!$H:$H,'Awards Summary'!$B:$B,$C88,'Awards Summary'!$J:$J,"EFC")</f>
        <v>0</v>
      </c>
      <c r="CG88" s="55">
        <f>SUMIFS('Disbursements Summary'!$E:$E,'Disbursements Summary'!$C:$C,$C88,'Disbursements Summary'!$A:$A,"EFC")</f>
        <v>0</v>
      </c>
      <c r="CH88" s="55">
        <f>SUMIFS('Awards Summary'!$H:$H,'Awards Summary'!$B:$B,$C88,'Awards Summary'!$J:$J,"ECFSA")</f>
        <v>0</v>
      </c>
      <c r="CI88" s="55">
        <f>SUMIFS('Disbursements Summary'!$E:$E,'Disbursements Summary'!$C:$C,$C88,'Disbursements Summary'!$A:$A,"ECFSA")</f>
        <v>0</v>
      </c>
      <c r="CJ88" s="55">
        <f>SUMIFS('Awards Summary'!$H:$H,'Awards Summary'!$B:$B,$C88,'Awards Summary'!$J:$J,"ECMC")</f>
        <v>0</v>
      </c>
      <c r="CK88" s="55">
        <f>SUMIFS('Disbursements Summary'!$E:$E,'Disbursements Summary'!$C:$C,$C88,'Disbursements Summary'!$A:$A,"ECMC")</f>
        <v>0</v>
      </c>
      <c r="CL88" s="55">
        <f>SUMIFS('Awards Summary'!$H:$H,'Awards Summary'!$B:$B,$C88,'Awards Summary'!$J:$J,"CHAMBER")</f>
        <v>0</v>
      </c>
      <c r="CM88" s="55">
        <f>SUMIFS('Disbursements Summary'!$E:$E,'Disbursements Summary'!$C:$C,$C88,'Disbursements Summary'!$A:$A,"CHAMBER")</f>
        <v>0</v>
      </c>
      <c r="CN88" s="55">
        <f>SUMIFS('Awards Summary'!$H:$H,'Awards Summary'!$B:$B,$C88,'Awards Summary'!$J:$J,"GAMING")</f>
        <v>0</v>
      </c>
      <c r="CO88" s="55">
        <f>SUMIFS('Disbursements Summary'!$E:$E,'Disbursements Summary'!$C:$C,$C88,'Disbursements Summary'!$A:$A,"GAMING")</f>
        <v>0</v>
      </c>
      <c r="CP88" s="55">
        <f>SUMIFS('Awards Summary'!$H:$H,'Awards Summary'!$B:$B,$C88,'Awards Summary'!$J:$J,"GOER")</f>
        <v>0</v>
      </c>
      <c r="CQ88" s="55">
        <f>SUMIFS('Disbursements Summary'!$E:$E,'Disbursements Summary'!$C:$C,$C88,'Disbursements Summary'!$A:$A,"GOER")</f>
        <v>0</v>
      </c>
      <c r="CR88" s="55">
        <f>SUMIFS('Awards Summary'!$H:$H,'Awards Summary'!$B:$B,$C88,'Awards Summary'!$J:$J,"HESC")</f>
        <v>0</v>
      </c>
      <c r="CS88" s="55">
        <f>SUMIFS('Disbursements Summary'!$E:$E,'Disbursements Summary'!$C:$C,$C88,'Disbursements Summary'!$A:$A,"HESC")</f>
        <v>0</v>
      </c>
      <c r="CT88" s="55">
        <f>SUMIFS('Awards Summary'!$H:$H,'Awards Summary'!$B:$B,$C88,'Awards Summary'!$J:$J,"GOSR")</f>
        <v>0</v>
      </c>
      <c r="CU88" s="55">
        <f>SUMIFS('Disbursements Summary'!$E:$E,'Disbursements Summary'!$C:$C,$C88,'Disbursements Summary'!$A:$A,"GOSR")</f>
        <v>0</v>
      </c>
      <c r="CV88" s="55">
        <f>SUMIFS('Awards Summary'!$H:$H,'Awards Summary'!$B:$B,$C88,'Awards Summary'!$J:$J,"HRPT")</f>
        <v>0</v>
      </c>
      <c r="CW88" s="55">
        <f>SUMIFS('Disbursements Summary'!$E:$E,'Disbursements Summary'!$C:$C,$C88,'Disbursements Summary'!$A:$A,"HRPT")</f>
        <v>0</v>
      </c>
      <c r="CX88" s="55">
        <f>SUMIFS('Awards Summary'!$H:$H,'Awards Summary'!$B:$B,$C88,'Awards Summary'!$J:$J,"HRBRRD")</f>
        <v>0</v>
      </c>
      <c r="CY88" s="55">
        <f>SUMIFS('Disbursements Summary'!$E:$E,'Disbursements Summary'!$C:$C,$C88,'Disbursements Summary'!$A:$A,"HRBRRD")</f>
        <v>0</v>
      </c>
      <c r="CZ88" s="55">
        <f>SUMIFS('Awards Summary'!$H:$H,'Awards Summary'!$B:$B,$C88,'Awards Summary'!$J:$J,"ITS")</f>
        <v>0</v>
      </c>
      <c r="DA88" s="55">
        <f>SUMIFS('Disbursements Summary'!$E:$E,'Disbursements Summary'!$C:$C,$C88,'Disbursements Summary'!$A:$A,"ITS")</f>
        <v>0</v>
      </c>
      <c r="DB88" s="55">
        <f>SUMIFS('Awards Summary'!$H:$H,'Awards Summary'!$B:$B,$C88,'Awards Summary'!$J:$J,"JAVITS")</f>
        <v>0</v>
      </c>
      <c r="DC88" s="55">
        <f>SUMIFS('Disbursements Summary'!$E:$E,'Disbursements Summary'!$C:$C,$C88,'Disbursements Summary'!$A:$A,"JAVITS")</f>
        <v>0</v>
      </c>
      <c r="DD88" s="55">
        <f>SUMIFS('Awards Summary'!$H:$H,'Awards Summary'!$B:$B,$C88,'Awards Summary'!$J:$J,"JCOPE")</f>
        <v>0</v>
      </c>
      <c r="DE88" s="55">
        <f>SUMIFS('Disbursements Summary'!$E:$E,'Disbursements Summary'!$C:$C,$C88,'Disbursements Summary'!$A:$A,"JCOPE")</f>
        <v>0</v>
      </c>
      <c r="DF88" s="55">
        <f>SUMIFS('Awards Summary'!$H:$H,'Awards Summary'!$B:$B,$C88,'Awards Summary'!$J:$J,"JUSTICE")</f>
        <v>0</v>
      </c>
      <c r="DG88" s="55">
        <f>SUMIFS('Disbursements Summary'!$E:$E,'Disbursements Summary'!$C:$C,$C88,'Disbursements Summary'!$A:$A,"JUSTICE")</f>
        <v>0</v>
      </c>
      <c r="DH88" s="55">
        <f>SUMIFS('Awards Summary'!$H:$H,'Awards Summary'!$B:$B,$C88,'Awards Summary'!$J:$J,"LCWSA")</f>
        <v>0</v>
      </c>
      <c r="DI88" s="55">
        <f>SUMIFS('Disbursements Summary'!$E:$E,'Disbursements Summary'!$C:$C,$C88,'Disbursements Summary'!$A:$A,"LCWSA")</f>
        <v>0</v>
      </c>
      <c r="DJ88" s="55">
        <f>SUMIFS('Awards Summary'!$H:$H,'Awards Summary'!$B:$B,$C88,'Awards Summary'!$J:$J,"LIPA")</f>
        <v>0</v>
      </c>
      <c r="DK88" s="55">
        <f>SUMIFS('Disbursements Summary'!$E:$E,'Disbursements Summary'!$C:$C,$C88,'Disbursements Summary'!$A:$A,"LIPA")</f>
        <v>0</v>
      </c>
      <c r="DL88" s="55">
        <f>SUMIFS('Awards Summary'!$H:$H,'Awards Summary'!$B:$B,$C88,'Awards Summary'!$J:$J,"MTA")</f>
        <v>0</v>
      </c>
      <c r="DM88" s="55">
        <f>SUMIFS('Disbursements Summary'!$E:$E,'Disbursements Summary'!$C:$C,$C88,'Disbursements Summary'!$A:$A,"MTA")</f>
        <v>0</v>
      </c>
      <c r="DN88" s="55">
        <f>SUMIFS('Awards Summary'!$H:$H,'Awards Summary'!$B:$B,$C88,'Awards Summary'!$J:$J,"NIFA")</f>
        <v>0</v>
      </c>
      <c r="DO88" s="55">
        <f>SUMIFS('Disbursements Summary'!$E:$E,'Disbursements Summary'!$C:$C,$C88,'Disbursements Summary'!$A:$A,"NIFA")</f>
        <v>0</v>
      </c>
      <c r="DP88" s="55">
        <f>SUMIFS('Awards Summary'!$H:$H,'Awards Summary'!$B:$B,$C88,'Awards Summary'!$J:$J,"NHCC")</f>
        <v>0</v>
      </c>
      <c r="DQ88" s="55">
        <f>SUMIFS('Disbursements Summary'!$E:$E,'Disbursements Summary'!$C:$C,$C88,'Disbursements Summary'!$A:$A,"NHCC")</f>
        <v>0</v>
      </c>
      <c r="DR88" s="55">
        <f>SUMIFS('Awards Summary'!$H:$H,'Awards Summary'!$B:$B,$C88,'Awards Summary'!$J:$J,"NHT")</f>
        <v>0</v>
      </c>
      <c r="DS88" s="55">
        <f>SUMIFS('Disbursements Summary'!$E:$E,'Disbursements Summary'!$C:$C,$C88,'Disbursements Summary'!$A:$A,"NHT")</f>
        <v>0</v>
      </c>
      <c r="DT88" s="55">
        <f>SUMIFS('Awards Summary'!$H:$H,'Awards Summary'!$B:$B,$C88,'Awards Summary'!$J:$J,"NYPA")</f>
        <v>0</v>
      </c>
      <c r="DU88" s="55">
        <f>SUMIFS('Disbursements Summary'!$E:$E,'Disbursements Summary'!$C:$C,$C88,'Disbursements Summary'!$A:$A,"NYPA")</f>
        <v>0</v>
      </c>
      <c r="DV88" s="55">
        <f>SUMIFS('Awards Summary'!$H:$H,'Awards Summary'!$B:$B,$C88,'Awards Summary'!$J:$J,"NYSBA")</f>
        <v>0</v>
      </c>
      <c r="DW88" s="55">
        <f>SUMIFS('Disbursements Summary'!$E:$E,'Disbursements Summary'!$C:$C,$C88,'Disbursements Summary'!$A:$A,"NYSBA")</f>
        <v>0</v>
      </c>
      <c r="DX88" s="55">
        <f>SUMIFS('Awards Summary'!$H:$H,'Awards Summary'!$B:$B,$C88,'Awards Summary'!$J:$J,"NYSERDA")</f>
        <v>0</v>
      </c>
      <c r="DY88" s="55">
        <f>SUMIFS('Disbursements Summary'!$E:$E,'Disbursements Summary'!$C:$C,$C88,'Disbursements Summary'!$A:$A,"NYSERDA")</f>
        <v>0</v>
      </c>
      <c r="DZ88" s="55">
        <f>SUMIFS('Awards Summary'!$H:$H,'Awards Summary'!$B:$B,$C88,'Awards Summary'!$J:$J,"DHCR")</f>
        <v>0</v>
      </c>
      <c r="EA88" s="55">
        <f>SUMIFS('Disbursements Summary'!$E:$E,'Disbursements Summary'!$C:$C,$C88,'Disbursements Summary'!$A:$A,"DHCR")</f>
        <v>0</v>
      </c>
      <c r="EB88" s="55">
        <f>SUMIFS('Awards Summary'!$H:$H,'Awards Summary'!$B:$B,$C88,'Awards Summary'!$J:$J,"HFA")</f>
        <v>0</v>
      </c>
      <c r="EC88" s="55">
        <f>SUMIFS('Disbursements Summary'!$E:$E,'Disbursements Summary'!$C:$C,$C88,'Disbursements Summary'!$A:$A,"HFA")</f>
        <v>0</v>
      </c>
      <c r="ED88" s="55">
        <f>SUMIFS('Awards Summary'!$H:$H,'Awards Summary'!$B:$B,$C88,'Awards Summary'!$J:$J,"NYSIF")</f>
        <v>0</v>
      </c>
      <c r="EE88" s="55">
        <f>SUMIFS('Disbursements Summary'!$E:$E,'Disbursements Summary'!$C:$C,$C88,'Disbursements Summary'!$A:$A,"NYSIF")</f>
        <v>0</v>
      </c>
      <c r="EF88" s="55">
        <f>SUMIFS('Awards Summary'!$H:$H,'Awards Summary'!$B:$B,$C88,'Awards Summary'!$J:$J,"NYBREDS")</f>
        <v>0</v>
      </c>
      <c r="EG88" s="55">
        <f>SUMIFS('Disbursements Summary'!$E:$E,'Disbursements Summary'!$C:$C,$C88,'Disbursements Summary'!$A:$A,"NYBREDS")</f>
        <v>0</v>
      </c>
      <c r="EH88" s="55">
        <f>SUMIFS('Awards Summary'!$H:$H,'Awards Summary'!$B:$B,$C88,'Awards Summary'!$J:$J,"NYSTA")</f>
        <v>0</v>
      </c>
      <c r="EI88" s="55">
        <f>SUMIFS('Disbursements Summary'!$E:$E,'Disbursements Summary'!$C:$C,$C88,'Disbursements Summary'!$A:$A,"NYSTA")</f>
        <v>0</v>
      </c>
      <c r="EJ88" s="55">
        <f>SUMIFS('Awards Summary'!$H:$H,'Awards Summary'!$B:$B,$C88,'Awards Summary'!$J:$J,"NFWB")</f>
        <v>0</v>
      </c>
      <c r="EK88" s="55">
        <f>SUMIFS('Disbursements Summary'!$E:$E,'Disbursements Summary'!$C:$C,$C88,'Disbursements Summary'!$A:$A,"NFWB")</f>
        <v>0</v>
      </c>
      <c r="EL88" s="55">
        <f>SUMIFS('Awards Summary'!$H:$H,'Awards Summary'!$B:$B,$C88,'Awards Summary'!$J:$J,"NFTA")</f>
        <v>0</v>
      </c>
      <c r="EM88" s="55">
        <f>SUMIFS('Disbursements Summary'!$E:$E,'Disbursements Summary'!$C:$C,$C88,'Disbursements Summary'!$A:$A,"NFTA")</f>
        <v>0</v>
      </c>
      <c r="EN88" s="55">
        <f>SUMIFS('Awards Summary'!$H:$H,'Awards Summary'!$B:$B,$C88,'Awards Summary'!$J:$J,"OPWDD")</f>
        <v>0</v>
      </c>
      <c r="EO88" s="55">
        <f>SUMIFS('Disbursements Summary'!$E:$E,'Disbursements Summary'!$C:$C,$C88,'Disbursements Summary'!$A:$A,"OPWDD")</f>
        <v>0</v>
      </c>
      <c r="EP88" s="55">
        <f>SUMIFS('Awards Summary'!$H:$H,'Awards Summary'!$B:$B,$C88,'Awards Summary'!$J:$J,"AGING")</f>
        <v>0</v>
      </c>
      <c r="EQ88" s="55">
        <f>SUMIFS('Disbursements Summary'!$E:$E,'Disbursements Summary'!$C:$C,$C88,'Disbursements Summary'!$A:$A,"AGING")</f>
        <v>0</v>
      </c>
      <c r="ER88" s="55">
        <f>SUMIFS('Awards Summary'!$H:$H,'Awards Summary'!$B:$B,$C88,'Awards Summary'!$J:$J,"OPDV")</f>
        <v>0</v>
      </c>
      <c r="ES88" s="55">
        <f>SUMIFS('Disbursements Summary'!$E:$E,'Disbursements Summary'!$C:$C,$C88,'Disbursements Summary'!$A:$A,"OPDV")</f>
        <v>0</v>
      </c>
      <c r="ET88" s="55">
        <f>SUMIFS('Awards Summary'!$H:$H,'Awards Summary'!$B:$B,$C88,'Awards Summary'!$J:$J,"OVS")</f>
        <v>0</v>
      </c>
      <c r="EU88" s="55">
        <f>SUMIFS('Disbursements Summary'!$E:$E,'Disbursements Summary'!$C:$C,$C88,'Disbursements Summary'!$A:$A,"OVS")</f>
        <v>0</v>
      </c>
      <c r="EV88" s="55">
        <f>SUMIFS('Awards Summary'!$H:$H,'Awards Summary'!$B:$B,$C88,'Awards Summary'!$J:$J,"OASAS")</f>
        <v>0</v>
      </c>
      <c r="EW88" s="55">
        <f>SUMIFS('Disbursements Summary'!$E:$E,'Disbursements Summary'!$C:$C,$C88,'Disbursements Summary'!$A:$A,"OASAS")</f>
        <v>0</v>
      </c>
      <c r="EX88" s="55">
        <f>SUMIFS('Awards Summary'!$H:$H,'Awards Summary'!$B:$B,$C88,'Awards Summary'!$J:$J,"OCFS")</f>
        <v>0</v>
      </c>
      <c r="EY88" s="55">
        <f>SUMIFS('Disbursements Summary'!$E:$E,'Disbursements Summary'!$C:$C,$C88,'Disbursements Summary'!$A:$A,"OCFS")</f>
        <v>0</v>
      </c>
      <c r="EZ88" s="55">
        <f>SUMIFS('Awards Summary'!$H:$H,'Awards Summary'!$B:$B,$C88,'Awards Summary'!$J:$J,"OGS")</f>
        <v>0</v>
      </c>
      <c r="FA88" s="55">
        <f>SUMIFS('Disbursements Summary'!$E:$E,'Disbursements Summary'!$C:$C,$C88,'Disbursements Summary'!$A:$A,"OGS")</f>
        <v>0</v>
      </c>
      <c r="FB88" s="55">
        <f>SUMIFS('Awards Summary'!$H:$H,'Awards Summary'!$B:$B,$C88,'Awards Summary'!$J:$J,"OMH")</f>
        <v>0</v>
      </c>
      <c r="FC88" s="55">
        <f>SUMIFS('Disbursements Summary'!$E:$E,'Disbursements Summary'!$C:$C,$C88,'Disbursements Summary'!$A:$A,"OMH")</f>
        <v>0</v>
      </c>
      <c r="FD88" s="55">
        <f>SUMIFS('Awards Summary'!$H:$H,'Awards Summary'!$B:$B,$C88,'Awards Summary'!$J:$J,"PARKS")</f>
        <v>0</v>
      </c>
      <c r="FE88" s="55">
        <f>SUMIFS('Disbursements Summary'!$E:$E,'Disbursements Summary'!$C:$C,$C88,'Disbursements Summary'!$A:$A,"PARKS")</f>
        <v>0</v>
      </c>
      <c r="FF88" s="55">
        <f>SUMIFS('Awards Summary'!$H:$H,'Awards Summary'!$B:$B,$C88,'Awards Summary'!$J:$J,"OTDA")</f>
        <v>0</v>
      </c>
      <c r="FG88" s="55">
        <f>SUMIFS('Disbursements Summary'!$E:$E,'Disbursements Summary'!$C:$C,$C88,'Disbursements Summary'!$A:$A,"OTDA")</f>
        <v>0</v>
      </c>
      <c r="FH88" s="55">
        <f>SUMIFS('Awards Summary'!$H:$H,'Awards Summary'!$B:$B,$C88,'Awards Summary'!$J:$J,"OIG")</f>
        <v>0</v>
      </c>
      <c r="FI88" s="55">
        <f>SUMIFS('Disbursements Summary'!$E:$E,'Disbursements Summary'!$C:$C,$C88,'Disbursements Summary'!$A:$A,"OIG")</f>
        <v>0</v>
      </c>
      <c r="FJ88" s="55">
        <f>SUMIFS('Awards Summary'!$H:$H,'Awards Summary'!$B:$B,$C88,'Awards Summary'!$J:$J,"OMIG")</f>
        <v>0</v>
      </c>
      <c r="FK88" s="55">
        <f>SUMIFS('Disbursements Summary'!$E:$E,'Disbursements Summary'!$C:$C,$C88,'Disbursements Summary'!$A:$A,"OMIG")</f>
        <v>0</v>
      </c>
      <c r="FL88" s="55">
        <f>SUMIFS('Awards Summary'!$H:$H,'Awards Summary'!$B:$B,$C88,'Awards Summary'!$J:$J,"OSC")</f>
        <v>0</v>
      </c>
      <c r="FM88" s="55">
        <f>SUMIFS('Disbursements Summary'!$E:$E,'Disbursements Summary'!$C:$C,$C88,'Disbursements Summary'!$A:$A,"OSC")</f>
        <v>0</v>
      </c>
      <c r="FN88" s="55">
        <f>SUMIFS('Awards Summary'!$H:$H,'Awards Summary'!$B:$B,$C88,'Awards Summary'!$J:$J,"OWIG")</f>
        <v>0</v>
      </c>
      <c r="FO88" s="55">
        <f>SUMIFS('Disbursements Summary'!$E:$E,'Disbursements Summary'!$C:$C,$C88,'Disbursements Summary'!$A:$A,"OWIG")</f>
        <v>0</v>
      </c>
      <c r="FP88" s="55">
        <f>SUMIFS('Awards Summary'!$H:$H,'Awards Summary'!$B:$B,$C88,'Awards Summary'!$J:$J,"OGDEN")</f>
        <v>0</v>
      </c>
      <c r="FQ88" s="55">
        <f>SUMIFS('Disbursements Summary'!$E:$E,'Disbursements Summary'!$C:$C,$C88,'Disbursements Summary'!$A:$A,"OGDEN")</f>
        <v>0</v>
      </c>
      <c r="FR88" s="55">
        <f>SUMIFS('Awards Summary'!$H:$H,'Awards Summary'!$B:$B,$C88,'Awards Summary'!$J:$J,"ORDA")</f>
        <v>0</v>
      </c>
      <c r="FS88" s="55">
        <f>SUMIFS('Disbursements Summary'!$E:$E,'Disbursements Summary'!$C:$C,$C88,'Disbursements Summary'!$A:$A,"ORDA")</f>
        <v>0</v>
      </c>
      <c r="FT88" s="55">
        <f>SUMIFS('Awards Summary'!$H:$H,'Awards Summary'!$B:$B,$C88,'Awards Summary'!$J:$J,"OSWEGO")</f>
        <v>0</v>
      </c>
      <c r="FU88" s="55">
        <f>SUMIFS('Disbursements Summary'!$E:$E,'Disbursements Summary'!$C:$C,$C88,'Disbursements Summary'!$A:$A,"OSWEGO")</f>
        <v>0</v>
      </c>
      <c r="FV88" s="55">
        <f>SUMIFS('Awards Summary'!$H:$H,'Awards Summary'!$B:$B,$C88,'Awards Summary'!$J:$J,"PERB")</f>
        <v>0</v>
      </c>
      <c r="FW88" s="55">
        <f>SUMIFS('Disbursements Summary'!$E:$E,'Disbursements Summary'!$C:$C,$C88,'Disbursements Summary'!$A:$A,"PERB")</f>
        <v>0</v>
      </c>
      <c r="FX88" s="55">
        <f>SUMIFS('Awards Summary'!$H:$H,'Awards Summary'!$B:$B,$C88,'Awards Summary'!$J:$J,"RGRTA")</f>
        <v>0</v>
      </c>
      <c r="FY88" s="55">
        <f>SUMIFS('Disbursements Summary'!$E:$E,'Disbursements Summary'!$C:$C,$C88,'Disbursements Summary'!$A:$A,"RGRTA")</f>
        <v>0</v>
      </c>
      <c r="FZ88" s="55">
        <f>SUMIFS('Awards Summary'!$H:$H,'Awards Summary'!$B:$B,$C88,'Awards Summary'!$J:$J,"RIOC")</f>
        <v>0</v>
      </c>
      <c r="GA88" s="55">
        <f>SUMIFS('Disbursements Summary'!$E:$E,'Disbursements Summary'!$C:$C,$C88,'Disbursements Summary'!$A:$A,"RIOC")</f>
        <v>0</v>
      </c>
      <c r="GB88" s="55">
        <f>SUMIFS('Awards Summary'!$H:$H,'Awards Summary'!$B:$B,$C88,'Awards Summary'!$J:$J,"RPCI")</f>
        <v>0</v>
      </c>
      <c r="GC88" s="55">
        <f>SUMIFS('Disbursements Summary'!$E:$E,'Disbursements Summary'!$C:$C,$C88,'Disbursements Summary'!$A:$A,"RPCI")</f>
        <v>0</v>
      </c>
      <c r="GD88" s="55">
        <f>SUMIFS('Awards Summary'!$H:$H,'Awards Summary'!$B:$B,$C88,'Awards Summary'!$J:$J,"SMDA")</f>
        <v>0</v>
      </c>
      <c r="GE88" s="55">
        <f>SUMIFS('Disbursements Summary'!$E:$E,'Disbursements Summary'!$C:$C,$C88,'Disbursements Summary'!$A:$A,"SMDA")</f>
        <v>0</v>
      </c>
      <c r="GF88" s="55">
        <f>SUMIFS('Awards Summary'!$H:$H,'Awards Summary'!$B:$B,$C88,'Awards Summary'!$J:$J,"SCOC")</f>
        <v>0</v>
      </c>
      <c r="GG88" s="55">
        <f>SUMIFS('Disbursements Summary'!$E:$E,'Disbursements Summary'!$C:$C,$C88,'Disbursements Summary'!$A:$A,"SCOC")</f>
        <v>0</v>
      </c>
      <c r="GH88" s="55">
        <f>SUMIFS('Awards Summary'!$H:$H,'Awards Summary'!$B:$B,$C88,'Awards Summary'!$J:$J,"SUCF")</f>
        <v>0</v>
      </c>
      <c r="GI88" s="55">
        <f>SUMIFS('Disbursements Summary'!$E:$E,'Disbursements Summary'!$C:$C,$C88,'Disbursements Summary'!$A:$A,"SUCF")</f>
        <v>0</v>
      </c>
      <c r="GJ88" s="55">
        <f>SUMIFS('Awards Summary'!$H:$H,'Awards Summary'!$B:$B,$C88,'Awards Summary'!$J:$J,"SUNY")</f>
        <v>0</v>
      </c>
      <c r="GK88" s="55">
        <f>SUMIFS('Disbursements Summary'!$E:$E,'Disbursements Summary'!$C:$C,$C88,'Disbursements Summary'!$A:$A,"SUNY")</f>
        <v>0</v>
      </c>
      <c r="GL88" s="55">
        <f>SUMIFS('Awards Summary'!$H:$H,'Awards Summary'!$B:$B,$C88,'Awards Summary'!$J:$J,"SRAA")</f>
        <v>0</v>
      </c>
      <c r="GM88" s="55">
        <f>SUMIFS('Disbursements Summary'!$E:$E,'Disbursements Summary'!$C:$C,$C88,'Disbursements Summary'!$A:$A,"SRAA")</f>
        <v>0</v>
      </c>
      <c r="GN88" s="55">
        <f>SUMIFS('Awards Summary'!$H:$H,'Awards Summary'!$B:$B,$C88,'Awards Summary'!$J:$J,"UNDC")</f>
        <v>0</v>
      </c>
      <c r="GO88" s="55">
        <f>SUMIFS('Disbursements Summary'!$E:$E,'Disbursements Summary'!$C:$C,$C88,'Disbursements Summary'!$A:$A,"UNDC")</f>
        <v>0</v>
      </c>
      <c r="GP88" s="55">
        <f>SUMIFS('Awards Summary'!$H:$H,'Awards Summary'!$B:$B,$C88,'Awards Summary'!$J:$J,"MVWA")</f>
        <v>0</v>
      </c>
      <c r="GQ88" s="55">
        <f>SUMIFS('Disbursements Summary'!$E:$E,'Disbursements Summary'!$C:$C,$C88,'Disbursements Summary'!$A:$A,"MVWA")</f>
        <v>0</v>
      </c>
      <c r="GR88" s="55">
        <f>SUMIFS('Awards Summary'!$H:$H,'Awards Summary'!$B:$B,$C88,'Awards Summary'!$J:$J,"WMC")</f>
        <v>0</v>
      </c>
      <c r="GS88" s="55">
        <f>SUMIFS('Disbursements Summary'!$E:$E,'Disbursements Summary'!$C:$C,$C88,'Disbursements Summary'!$A:$A,"WMC")</f>
        <v>0</v>
      </c>
      <c r="GT88" s="55">
        <f>SUMIFS('Awards Summary'!$H:$H,'Awards Summary'!$B:$B,$C88,'Awards Summary'!$J:$J,"WCB")</f>
        <v>0</v>
      </c>
      <c r="GU88" s="55">
        <f>SUMIFS('Disbursements Summary'!$E:$E,'Disbursements Summary'!$C:$C,$C88,'Disbursements Summary'!$A:$A,"WCB")</f>
        <v>0</v>
      </c>
      <c r="GV88" s="32">
        <f t="shared" si="10"/>
        <v>0</v>
      </c>
      <c r="GW88" s="32">
        <f t="shared" si="11"/>
        <v>0</v>
      </c>
      <c r="GX88" s="30" t="b">
        <f t="shared" si="12"/>
        <v>1</v>
      </c>
      <c r="GY88" s="30" t="b">
        <f t="shared" si="13"/>
        <v>1</v>
      </c>
    </row>
    <row r="89" spans="1:207" s="30" customFormat="1">
      <c r="A89" s="22" t="str">
        <f t="shared" si="9"/>
        <v/>
      </c>
      <c r="B89" s="40" t="s">
        <v>217</v>
      </c>
      <c r="C89" s="16">
        <v>151181</v>
      </c>
      <c r="D89" s="26">
        <f>COUNTIF('Awards Summary'!B:B,"151181")</f>
        <v>0</v>
      </c>
      <c r="E89" s="45">
        <f>SUMIFS('Awards Summary'!H:H,'Awards Summary'!B:B,"151181")</f>
        <v>0</v>
      </c>
      <c r="F89" s="46">
        <f>SUMIFS('Disbursements Summary'!E:E,'Disbursements Summary'!C:C, "151181")</f>
        <v>0</v>
      </c>
      <c r="H89" s="55">
        <f>SUMIFS('Awards Summary'!$H:$H,'Awards Summary'!$B:$B,$C89,'Awards Summary'!$J:$J,"APA")</f>
        <v>0</v>
      </c>
      <c r="I89" s="55">
        <f>SUMIFS('Disbursements Summary'!$E:$E,'Disbursements Summary'!$C:$C,$C89,'Disbursements Summary'!$A:$A,"APA")</f>
        <v>0</v>
      </c>
      <c r="J89" s="55">
        <f>SUMIFS('Awards Summary'!$H:$H,'Awards Summary'!$B:$B,$C89,'Awards Summary'!$J:$J,"Ag&amp;Horse")</f>
        <v>0</v>
      </c>
      <c r="K89" s="55">
        <f>SUMIFS('Disbursements Summary'!$E:$E,'Disbursements Summary'!$C:$C,$C89,'Disbursements Summary'!$A:$A,"Ag&amp;Horse")</f>
        <v>0</v>
      </c>
      <c r="L89" s="55">
        <f>SUMIFS('Awards Summary'!$H:$H,'Awards Summary'!$B:$B,$C89,'Awards Summary'!$J:$J,"ACAA")</f>
        <v>0</v>
      </c>
      <c r="M89" s="55">
        <f>SUMIFS('Disbursements Summary'!$E:$E,'Disbursements Summary'!$C:$C,$C89,'Disbursements Summary'!$A:$A,"ACAA")</f>
        <v>0</v>
      </c>
      <c r="N89" s="55">
        <f>SUMIFS('Awards Summary'!$H:$H,'Awards Summary'!$B:$B,$C89,'Awards Summary'!$J:$J,"PortAlbany")</f>
        <v>0</v>
      </c>
      <c r="O89" s="55">
        <f>SUMIFS('Disbursements Summary'!$E:$E,'Disbursements Summary'!$C:$C,$C89,'Disbursements Summary'!$A:$A,"PortAlbany")</f>
        <v>0</v>
      </c>
      <c r="P89" s="55">
        <f>SUMIFS('Awards Summary'!$H:$H,'Awards Summary'!$B:$B,$C89,'Awards Summary'!$J:$J,"SLA")</f>
        <v>0</v>
      </c>
      <c r="Q89" s="55">
        <f>SUMIFS('Disbursements Summary'!$E:$E,'Disbursements Summary'!$C:$C,$C89,'Disbursements Summary'!$A:$A,"SLA")</f>
        <v>0</v>
      </c>
      <c r="R89" s="55">
        <f>SUMIFS('Awards Summary'!$H:$H,'Awards Summary'!$B:$B,$C89,'Awards Summary'!$J:$J,"BPCA")</f>
        <v>0</v>
      </c>
      <c r="S89" s="55">
        <f>SUMIFS('Disbursements Summary'!$E:$E,'Disbursements Summary'!$C:$C,$C89,'Disbursements Summary'!$A:$A,"BPCA")</f>
        <v>0</v>
      </c>
      <c r="T89" s="55">
        <f>SUMIFS('Awards Summary'!$H:$H,'Awards Summary'!$B:$B,$C89,'Awards Summary'!$J:$J,"ELECTIONS")</f>
        <v>0</v>
      </c>
      <c r="U89" s="55">
        <f>SUMIFS('Disbursements Summary'!$E:$E,'Disbursements Summary'!$C:$C,$C89,'Disbursements Summary'!$A:$A,"ELECTIONS")</f>
        <v>0</v>
      </c>
      <c r="V89" s="55">
        <f>SUMIFS('Awards Summary'!$H:$H,'Awards Summary'!$B:$B,$C89,'Awards Summary'!$J:$J,"BFSA")</f>
        <v>0</v>
      </c>
      <c r="W89" s="55">
        <f>SUMIFS('Disbursements Summary'!$E:$E,'Disbursements Summary'!$C:$C,$C89,'Disbursements Summary'!$A:$A,"BFSA")</f>
        <v>0</v>
      </c>
      <c r="X89" s="55">
        <f>SUMIFS('Awards Summary'!$H:$H,'Awards Summary'!$B:$B,$C89,'Awards Summary'!$J:$J,"CDTA")</f>
        <v>0</v>
      </c>
      <c r="Y89" s="55">
        <f>SUMIFS('Disbursements Summary'!$E:$E,'Disbursements Summary'!$C:$C,$C89,'Disbursements Summary'!$A:$A,"CDTA")</f>
        <v>0</v>
      </c>
      <c r="Z89" s="55">
        <f>SUMIFS('Awards Summary'!$H:$H,'Awards Summary'!$B:$B,$C89,'Awards Summary'!$J:$J,"CCWSA")</f>
        <v>0</v>
      </c>
      <c r="AA89" s="55">
        <f>SUMIFS('Disbursements Summary'!$E:$E,'Disbursements Summary'!$C:$C,$C89,'Disbursements Summary'!$A:$A,"CCWSA")</f>
        <v>0</v>
      </c>
      <c r="AB89" s="55">
        <f>SUMIFS('Awards Summary'!$H:$H,'Awards Summary'!$B:$B,$C89,'Awards Summary'!$J:$J,"CNYRTA")</f>
        <v>0</v>
      </c>
      <c r="AC89" s="55">
        <f>SUMIFS('Disbursements Summary'!$E:$E,'Disbursements Summary'!$C:$C,$C89,'Disbursements Summary'!$A:$A,"CNYRTA")</f>
        <v>0</v>
      </c>
      <c r="AD89" s="55">
        <f>SUMIFS('Awards Summary'!$H:$H,'Awards Summary'!$B:$B,$C89,'Awards Summary'!$J:$J,"CUCF")</f>
        <v>0</v>
      </c>
      <c r="AE89" s="55">
        <f>SUMIFS('Disbursements Summary'!$E:$E,'Disbursements Summary'!$C:$C,$C89,'Disbursements Summary'!$A:$A,"CUCF")</f>
        <v>0</v>
      </c>
      <c r="AF89" s="55">
        <f>SUMIFS('Awards Summary'!$H:$H,'Awards Summary'!$B:$B,$C89,'Awards Summary'!$J:$J,"CUNY")</f>
        <v>0</v>
      </c>
      <c r="AG89" s="55">
        <f>SUMIFS('Disbursements Summary'!$E:$E,'Disbursements Summary'!$C:$C,$C89,'Disbursements Summary'!$A:$A,"CUNY")</f>
        <v>0</v>
      </c>
      <c r="AH89" s="55">
        <f>SUMIFS('Awards Summary'!$H:$H,'Awards Summary'!$B:$B,$C89,'Awards Summary'!$J:$J,"ARTS")</f>
        <v>0</v>
      </c>
      <c r="AI89" s="55">
        <f>SUMIFS('Disbursements Summary'!$E:$E,'Disbursements Summary'!$C:$C,$C89,'Disbursements Summary'!$A:$A,"ARTS")</f>
        <v>0</v>
      </c>
      <c r="AJ89" s="55">
        <f>SUMIFS('Awards Summary'!$H:$H,'Awards Summary'!$B:$B,$C89,'Awards Summary'!$J:$J,"AG&amp;MKTS")</f>
        <v>0</v>
      </c>
      <c r="AK89" s="55">
        <f>SUMIFS('Disbursements Summary'!$E:$E,'Disbursements Summary'!$C:$C,$C89,'Disbursements Summary'!$A:$A,"AG&amp;MKTS")</f>
        <v>0</v>
      </c>
      <c r="AL89" s="55">
        <f>SUMIFS('Awards Summary'!$H:$H,'Awards Summary'!$B:$B,$C89,'Awards Summary'!$J:$J,"CS")</f>
        <v>0</v>
      </c>
      <c r="AM89" s="55">
        <f>SUMIFS('Disbursements Summary'!$E:$E,'Disbursements Summary'!$C:$C,$C89,'Disbursements Summary'!$A:$A,"CS")</f>
        <v>0</v>
      </c>
      <c r="AN89" s="55">
        <f>SUMIFS('Awards Summary'!$H:$H,'Awards Summary'!$B:$B,$C89,'Awards Summary'!$J:$J,"DOCCS")</f>
        <v>0</v>
      </c>
      <c r="AO89" s="55">
        <f>SUMIFS('Disbursements Summary'!$E:$E,'Disbursements Summary'!$C:$C,$C89,'Disbursements Summary'!$A:$A,"DOCCS")</f>
        <v>0</v>
      </c>
      <c r="AP89" s="55">
        <f>SUMIFS('Awards Summary'!$H:$H,'Awards Summary'!$B:$B,$C89,'Awards Summary'!$J:$J,"DED")</f>
        <v>0</v>
      </c>
      <c r="AQ89" s="55">
        <f>SUMIFS('Disbursements Summary'!$E:$E,'Disbursements Summary'!$C:$C,$C89,'Disbursements Summary'!$A:$A,"DED")</f>
        <v>0</v>
      </c>
      <c r="AR89" s="55">
        <f>SUMIFS('Awards Summary'!$H:$H,'Awards Summary'!$B:$B,$C89,'Awards Summary'!$J:$J,"DEC")</f>
        <v>0</v>
      </c>
      <c r="AS89" s="55">
        <f>SUMIFS('Disbursements Summary'!$E:$E,'Disbursements Summary'!$C:$C,$C89,'Disbursements Summary'!$A:$A,"DEC")</f>
        <v>0</v>
      </c>
      <c r="AT89" s="55">
        <f>SUMIFS('Awards Summary'!$H:$H,'Awards Summary'!$B:$B,$C89,'Awards Summary'!$J:$J,"DFS")</f>
        <v>0</v>
      </c>
      <c r="AU89" s="55">
        <f>SUMIFS('Disbursements Summary'!$E:$E,'Disbursements Summary'!$C:$C,$C89,'Disbursements Summary'!$A:$A,"DFS")</f>
        <v>0</v>
      </c>
      <c r="AV89" s="55">
        <f>SUMIFS('Awards Summary'!$H:$H,'Awards Summary'!$B:$B,$C89,'Awards Summary'!$J:$J,"DOH")</f>
        <v>0</v>
      </c>
      <c r="AW89" s="55">
        <f>SUMIFS('Disbursements Summary'!$E:$E,'Disbursements Summary'!$C:$C,$C89,'Disbursements Summary'!$A:$A,"DOH")</f>
        <v>0</v>
      </c>
      <c r="AX89" s="55">
        <f>SUMIFS('Awards Summary'!$H:$H,'Awards Summary'!$B:$B,$C89,'Awards Summary'!$J:$J,"DOL")</f>
        <v>0</v>
      </c>
      <c r="AY89" s="55">
        <f>SUMIFS('Disbursements Summary'!$E:$E,'Disbursements Summary'!$C:$C,$C89,'Disbursements Summary'!$A:$A,"DOL")</f>
        <v>0</v>
      </c>
      <c r="AZ89" s="55">
        <f>SUMIFS('Awards Summary'!$H:$H,'Awards Summary'!$B:$B,$C89,'Awards Summary'!$J:$J,"DMV")</f>
        <v>0</v>
      </c>
      <c r="BA89" s="55">
        <f>SUMIFS('Disbursements Summary'!$E:$E,'Disbursements Summary'!$C:$C,$C89,'Disbursements Summary'!$A:$A,"DMV")</f>
        <v>0</v>
      </c>
      <c r="BB89" s="55">
        <f>SUMIFS('Awards Summary'!$H:$H,'Awards Summary'!$B:$B,$C89,'Awards Summary'!$J:$J,"DPS")</f>
        <v>0</v>
      </c>
      <c r="BC89" s="55">
        <f>SUMIFS('Disbursements Summary'!$E:$E,'Disbursements Summary'!$C:$C,$C89,'Disbursements Summary'!$A:$A,"DPS")</f>
        <v>0</v>
      </c>
      <c r="BD89" s="55">
        <f>SUMIFS('Awards Summary'!$H:$H,'Awards Summary'!$B:$B,$C89,'Awards Summary'!$J:$J,"DOS")</f>
        <v>0</v>
      </c>
      <c r="BE89" s="55">
        <f>SUMIFS('Disbursements Summary'!$E:$E,'Disbursements Summary'!$C:$C,$C89,'Disbursements Summary'!$A:$A,"DOS")</f>
        <v>0</v>
      </c>
      <c r="BF89" s="55">
        <f>SUMIFS('Awards Summary'!$H:$H,'Awards Summary'!$B:$B,$C89,'Awards Summary'!$J:$J,"TAX")</f>
        <v>0</v>
      </c>
      <c r="BG89" s="55">
        <f>SUMIFS('Disbursements Summary'!$E:$E,'Disbursements Summary'!$C:$C,$C89,'Disbursements Summary'!$A:$A,"TAX")</f>
        <v>0</v>
      </c>
      <c r="BH89" s="55">
        <f>SUMIFS('Awards Summary'!$H:$H,'Awards Summary'!$B:$B,$C89,'Awards Summary'!$J:$J,"DOT")</f>
        <v>0</v>
      </c>
      <c r="BI89" s="55">
        <f>SUMIFS('Disbursements Summary'!$E:$E,'Disbursements Summary'!$C:$C,$C89,'Disbursements Summary'!$A:$A,"DOT")</f>
        <v>0</v>
      </c>
      <c r="BJ89" s="55">
        <f>SUMIFS('Awards Summary'!$H:$H,'Awards Summary'!$B:$B,$C89,'Awards Summary'!$J:$J,"DANC")</f>
        <v>0</v>
      </c>
      <c r="BK89" s="55">
        <f>SUMIFS('Disbursements Summary'!$E:$E,'Disbursements Summary'!$C:$C,$C89,'Disbursements Summary'!$A:$A,"DANC")</f>
        <v>0</v>
      </c>
      <c r="BL89" s="55">
        <f>SUMIFS('Awards Summary'!$H:$H,'Awards Summary'!$B:$B,$C89,'Awards Summary'!$J:$J,"DOB")</f>
        <v>0</v>
      </c>
      <c r="BM89" s="55">
        <f>SUMIFS('Disbursements Summary'!$E:$E,'Disbursements Summary'!$C:$C,$C89,'Disbursements Summary'!$A:$A,"DOB")</f>
        <v>0</v>
      </c>
      <c r="BN89" s="55">
        <f>SUMIFS('Awards Summary'!$H:$H,'Awards Summary'!$B:$B,$C89,'Awards Summary'!$J:$J,"DCJS")</f>
        <v>0</v>
      </c>
      <c r="BO89" s="55">
        <f>SUMIFS('Disbursements Summary'!$E:$E,'Disbursements Summary'!$C:$C,$C89,'Disbursements Summary'!$A:$A,"DCJS")</f>
        <v>0</v>
      </c>
      <c r="BP89" s="55">
        <f>SUMIFS('Awards Summary'!$H:$H,'Awards Summary'!$B:$B,$C89,'Awards Summary'!$J:$J,"DHSES")</f>
        <v>0</v>
      </c>
      <c r="BQ89" s="55">
        <f>SUMIFS('Disbursements Summary'!$E:$E,'Disbursements Summary'!$C:$C,$C89,'Disbursements Summary'!$A:$A,"DHSES")</f>
        <v>0</v>
      </c>
      <c r="BR89" s="55">
        <f>SUMIFS('Awards Summary'!$H:$H,'Awards Summary'!$B:$B,$C89,'Awards Summary'!$J:$J,"DHR")</f>
        <v>0</v>
      </c>
      <c r="BS89" s="55">
        <f>SUMIFS('Disbursements Summary'!$E:$E,'Disbursements Summary'!$C:$C,$C89,'Disbursements Summary'!$A:$A,"DHR")</f>
        <v>0</v>
      </c>
      <c r="BT89" s="55">
        <f>SUMIFS('Awards Summary'!$H:$H,'Awards Summary'!$B:$B,$C89,'Awards Summary'!$J:$J,"DMNA")</f>
        <v>0</v>
      </c>
      <c r="BU89" s="55">
        <f>SUMIFS('Disbursements Summary'!$E:$E,'Disbursements Summary'!$C:$C,$C89,'Disbursements Summary'!$A:$A,"DMNA")</f>
        <v>0</v>
      </c>
      <c r="BV89" s="55">
        <f>SUMIFS('Awards Summary'!$H:$H,'Awards Summary'!$B:$B,$C89,'Awards Summary'!$J:$J,"TROOPERS")</f>
        <v>0</v>
      </c>
      <c r="BW89" s="55">
        <f>SUMIFS('Disbursements Summary'!$E:$E,'Disbursements Summary'!$C:$C,$C89,'Disbursements Summary'!$A:$A,"TROOPERS")</f>
        <v>0</v>
      </c>
      <c r="BX89" s="55">
        <f>SUMIFS('Awards Summary'!$H:$H,'Awards Summary'!$B:$B,$C89,'Awards Summary'!$J:$J,"DVA")</f>
        <v>0</v>
      </c>
      <c r="BY89" s="55">
        <f>SUMIFS('Disbursements Summary'!$E:$E,'Disbursements Summary'!$C:$C,$C89,'Disbursements Summary'!$A:$A,"DVA")</f>
        <v>0</v>
      </c>
      <c r="BZ89" s="55">
        <f>SUMIFS('Awards Summary'!$H:$H,'Awards Summary'!$B:$B,$C89,'Awards Summary'!$J:$J,"DASNY")</f>
        <v>0</v>
      </c>
      <c r="CA89" s="55">
        <f>SUMIFS('Disbursements Summary'!$E:$E,'Disbursements Summary'!$C:$C,$C89,'Disbursements Summary'!$A:$A,"DASNY")</f>
        <v>0</v>
      </c>
      <c r="CB89" s="55">
        <f>SUMIFS('Awards Summary'!$H:$H,'Awards Summary'!$B:$B,$C89,'Awards Summary'!$J:$J,"EGG")</f>
        <v>0</v>
      </c>
      <c r="CC89" s="55">
        <f>SUMIFS('Disbursements Summary'!$E:$E,'Disbursements Summary'!$C:$C,$C89,'Disbursements Summary'!$A:$A,"EGG")</f>
        <v>0</v>
      </c>
      <c r="CD89" s="55">
        <f>SUMIFS('Awards Summary'!$H:$H,'Awards Summary'!$B:$B,$C89,'Awards Summary'!$J:$J,"ESD")</f>
        <v>0</v>
      </c>
      <c r="CE89" s="55">
        <f>SUMIFS('Disbursements Summary'!$E:$E,'Disbursements Summary'!$C:$C,$C89,'Disbursements Summary'!$A:$A,"ESD")</f>
        <v>0</v>
      </c>
      <c r="CF89" s="55">
        <f>SUMIFS('Awards Summary'!$H:$H,'Awards Summary'!$B:$B,$C89,'Awards Summary'!$J:$J,"EFC")</f>
        <v>0</v>
      </c>
      <c r="CG89" s="55">
        <f>SUMIFS('Disbursements Summary'!$E:$E,'Disbursements Summary'!$C:$C,$C89,'Disbursements Summary'!$A:$A,"EFC")</f>
        <v>0</v>
      </c>
      <c r="CH89" s="55">
        <f>SUMIFS('Awards Summary'!$H:$H,'Awards Summary'!$B:$B,$C89,'Awards Summary'!$J:$J,"ECFSA")</f>
        <v>0</v>
      </c>
      <c r="CI89" s="55">
        <f>SUMIFS('Disbursements Summary'!$E:$E,'Disbursements Summary'!$C:$C,$C89,'Disbursements Summary'!$A:$A,"ECFSA")</f>
        <v>0</v>
      </c>
      <c r="CJ89" s="55">
        <f>SUMIFS('Awards Summary'!$H:$H,'Awards Summary'!$B:$B,$C89,'Awards Summary'!$J:$J,"ECMC")</f>
        <v>0</v>
      </c>
      <c r="CK89" s="55">
        <f>SUMIFS('Disbursements Summary'!$E:$E,'Disbursements Summary'!$C:$C,$C89,'Disbursements Summary'!$A:$A,"ECMC")</f>
        <v>0</v>
      </c>
      <c r="CL89" s="55">
        <f>SUMIFS('Awards Summary'!$H:$H,'Awards Summary'!$B:$B,$C89,'Awards Summary'!$J:$J,"CHAMBER")</f>
        <v>0</v>
      </c>
      <c r="CM89" s="55">
        <f>SUMIFS('Disbursements Summary'!$E:$E,'Disbursements Summary'!$C:$C,$C89,'Disbursements Summary'!$A:$A,"CHAMBER")</f>
        <v>0</v>
      </c>
      <c r="CN89" s="55">
        <f>SUMIFS('Awards Summary'!$H:$H,'Awards Summary'!$B:$B,$C89,'Awards Summary'!$J:$J,"GAMING")</f>
        <v>0</v>
      </c>
      <c r="CO89" s="55">
        <f>SUMIFS('Disbursements Summary'!$E:$E,'Disbursements Summary'!$C:$C,$C89,'Disbursements Summary'!$A:$A,"GAMING")</f>
        <v>0</v>
      </c>
      <c r="CP89" s="55">
        <f>SUMIFS('Awards Summary'!$H:$H,'Awards Summary'!$B:$B,$C89,'Awards Summary'!$J:$J,"GOER")</f>
        <v>0</v>
      </c>
      <c r="CQ89" s="55">
        <f>SUMIFS('Disbursements Summary'!$E:$E,'Disbursements Summary'!$C:$C,$C89,'Disbursements Summary'!$A:$A,"GOER")</f>
        <v>0</v>
      </c>
      <c r="CR89" s="55">
        <f>SUMIFS('Awards Summary'!$H:$H,'Awards Summary'!$B:$B,$C89,'Awards Summary'!$J:$J,"HESC")</f>
        <v>0</v>
      </c>
      <c r="CS89" s="55">
        <f>SUMIFS('Disbursements Summary'!$E:$E,'Disbursements Summary'!$C:$C,$C89,'Disbursements Summary'!$A:$A,"HESC")</f>
        <v>0</v>
      </c>
      <c r="CT89" s="55">
        <f>SUMIFS('Awards Summary'!$H:$H,'Awards Summary'!$B:$B,$C89,'Awards Summary'!$J:$J,"GOSR")</f>
        <v>0</v>
      </c>
      <c r="CU89" s="55">
        <f>SUMIFS('Disbursements Summary'!$E:$E,'Disbursements Summary'!$C:$C,$C89,'Disbursements Summary'!$A:$A,"GOSR")</f>
        <v>0</v>
      </c>
      <c r="CV89" s="55">
        <f>SUMIFS('Awards Summary'!$H:$H,'Awards Summary'!$B:$B,$C89,'Awards Summary'!$J:$J,"HRPT")</f>
        <v>0</v>
      </c>
      <c r="CW89" s="55">
        <f>SUMIFS('Disbursements Summary'!$E:$E,'Disbursements Summary'!$C:$C,$C89,'Disbursements Summary'!$A:$A,"HRPT")</f>
        <v>0</v>
      </c>
      <c r="CX89" s="55">
        <f>SUMIFS('Awards Summary'!$H:$H,'Awards Summary'!$B:$B,$C89,'Awards Summary'!$J:$J,"HRBRRD")</f>
        <v>0</v>
      </c>
      <c r="CY89" s="55">
        <f>SUMIFS('Disbursements Summary'!$E:$E,'Disbursements Summary'!$C:$C,$C89,'Disbursements Summary'!$A:$A,"HRBRRD")</f>
        <v>0</v>
      </c>
      <c r="CZ89" s="55">
        <f>SUMIFS('Awards Summary'!$H:$H,'Awards Summary'!$B:$B,$C89,'Awards Summary'!$J:$J,"ITS")</f>
        <v>0</v>
      </c>
      <c r="DA89" s="55">
        <f>SUMIFS('Disbursements Summary'!$E:$E,'Disbursements Summary'!$C:$C,$C89,'Disbursements Summary'!$A:$A,"ITS")</f>
        <v>0</v>
      </c>
      <c r="DB89" s="55">
        <f>SUMIFS('Awards Summary'!$H:$H,'Awards Summary'!$B:$B,$C89,'Awards Summary'!$J:$J,"JAVITS")</f>
        <v>0</v>
      </c>
      <c r="DC89" s="55">
        <f>SUMIFS('Disbursements Summary'!$E:$E,'Disbursements Summary'!$C:$C,$C89,'Disbursements Summary'!$A:$A,"JAVITS")</f>
        <v>0</v>
      </c>
      <c r="DD89" s="55">
        <f>SUMIFS('Awards Summary'!$H:$H,'Awards Summary'!$B:$B,$C89,'Awards Summary'!$J:$J,"JCOPE")</f>
        <v>0</v>
      </c>
      <c r="DE89" s="55">
        <f>SUMIFS('Disbursements Summary'!$E:$E,'Disbursements Summary'!$C:$C,$C89,'Disbursements Summary'!$A:$A,"JCOPE")</f>
        <v>0</v>
      </c>
      <c r="DF89" s="55">
        <f>SUMIFS('Awards Summary'!$H:$H,'Awards Summary'!$B:$B,$C89,'Awards Summary'!$J:$J,"JUSTICE")</f>
        <v>0</v>
      </c>
      <c r="DG89" s="55">
        <f>SUMIFS('Disbursements Summary'!$E:$E,'Disbursements Summary'!$C:$C,$C89,'Disbursements Summary'!$A:$A,"JUSTICE")</f>
        <v>0</v>
      </c>
      <c r="DH89" s="55">
        <f>SUMIFS('Awards Summary'!$H:$H,'Awards Summary'!$B:$B,$C89,'Awards Summary'!$J:$J,"LCWSA")</f>
        <v>0</v>
      </c>
      <c r="DI89" s="55">
        <f>SUMIFS('Disbursements Summary'!$E:$E,'Disbursements Summary'!$C:$C,$C89,'Disbursements Summary'!$A:$A,"LCWSA")</f>
        <v>0</v>
      </c>
      <c r="DJ89" s="55">
        <f>SUMIFS('Awards Summary'!$H:$H,'Awards Summary'!$B:$B,$C89,'Awards Summary'!$J:$J,"LIPA")</f>
        <v>0</v>
      </c>
      <c r="DK89" s="55">
        <f>SUMIFS('Disbursements Summary'!$E:$E,'Disbursements Summary'!$C:$C,$C89,'Disbursements Summary'!$A:$A,"LIPA")</f>
        <v>0</v>
      </c>
      <c r="DL89" s="55">
        <f>SUMIFS('Awards Summary'!$H:$H,'Awards Summary'!$B:$B,$C89,'Awards Summary'!$J:$J,"MTA")</f>
        <v>0</v>
      </c>
      <c r="DM89" s="55">
        <f>SUMIFS('Disbursements Summary'!$E:$E,'Disbursements Summary'!$C:$C,$C89,'Disbursements Summary'!$A:$A,"MTA")</f>
        <v>0</v>
      </c>
      <c r="DN89" s="55">
        <f>SUMIFS('Awards Summary'!$H:$H,'Awards Summary'!$B:$B,$C89,'Awards Summary'!$J:$J,"NIFA")</f>
        <v>0</v>
      </c>
      <c r="DO89" s="55">
        <f>SUMIFS('Disbursements Summary'!$E:$E,'Disbursements Summary'!$C:$C,$C89,'Disbursements Summary'!$A:$A,"NIFA")</f>
        <v>0</v>
      </c>
      <c r="DP89" s="55">
        <f>SUMIFS('Awards Summary'!$H:$H,'Awards Summary'!$B:$B,$C89,'Awards Summary'!$J:$J,"NHCC")</f>
        <v>0</v>
      </c>
      <c r="DQ89" s="55">
        <f>SUMIFS('Disbursements Summary'!$E:$E,'Disbursements Summary'!$C:$C,$C89,'Disbursements Summary'!$A:$A,"NHCC")</f>
        <v>0</v>
      </c>
      <c r="DR89" s="55">
        <f>SUMIFS('Awards Summary'!$H:$H,'Awards Summary'!$B:$B,$C89,'Awards Summary'!$J:$J,"NHT")</f>
        <v>0</v>
      </c>
      <c r="DS89" s="55">
        <f>SUMIFS('Disbursements Summary'!$E:$E,'Disbursements Summary'!$C:$C,$C89,'Disbursements Summary'!$A:$A,"NHT")</f>
        <v>0</v>
      </c>
      <c r="DT89" s="55">
        <f>SUMIFS('Awards Summary'!$H:$H,'Awards Summary'!$B:$B,$C89,'Awards Summary'!$J:$J,"NYPA")</f>
        <v>0</v>
      </c>
      <c r="DU89" s="55">
        <f>SUMIFS('Disbursements Summary'!$E:$E,'Disbursements Summary'!$C:$C,$C89,'Disbursements Summary'!$A:$A,"NYPA")</f>
        <v>0</v>
      </c>
      <c r="DV89" s="55">
        <f>SUMIFS('Awards Summary'!$H:$H,'Awards Summary'!$B:$B,$C89,'Awards Summary'!$J:$J,"NYSBA")</f>
        <v>0</v>
      </c>
      <c r="DW89" s="55">
        <f>SUMIFS('Disbursements Summary'!$E:$E,'Disbursements Summary'!$C:$C,$C89,'Disbursements Summary'!$A:$A,"NYSBA")</f>
        <v>0</v>
      </c>
      <c r="DX89" s="55">
        <f>SUMIFS('Awards Summary'!$H:$H,'Awards Summary'!$B:$B,$C89,'Awards Summary'!$J:$J,"NYSERDA")</f>
        <v>0</v>
      </c>
      <c r="DY89" s="55">
        <f>SUMIFS('Disbursements Summary'!$E:$E,'Disbursements Summary'!$C:$C,$C89,'Disbursements Summary'!$A:$A,"NYSERDA")</f>
        <v>0</v>
      </c>
      <c r="DZ89" s="55">
        <f>SUMIFS('Awards Summary'!$H:$H,'Awards Summary'!$B:$B,$C89,'Awards Summary'!$J:$J,"DHCR")</f>
        <v>0</v>
      </c>
      <c r="EA89" s="55">
        <f>SUMIFS('Disbursements Summary'!$E:$E,'Disbursements Summary'!$C:$C,$C89,'Disbursements Summary'!$A:$A,"DHCR")</f>
        <v>0</v>
      </c>
      <c r="EB89" s="55">
        <f>SUMIFS('Awards Summary'!$H:$H,'Awards Summary'!$B:$B,$C89,'Awards Summary'!$J:$J,"HFA")</f>
        <v>0</v>
      </c>
      <c r="EC89" s="55">
        <f>SUMIFS('Disbursements Summary'!$E:$E,'Disbursements Summary'!$C:$C,$C89,'Disbursements Summary'!$A:$A,"HFA")</f>
        <v>0</v>
      </c>
      <c r="ED89" s="55">
        <f>SUMIFS('Awards Summary'!$H:$H,'Awards Summary'!$B:$B,$C89,'Awards Summary'!$J:$J,"NYSIF")</f>
        <v>0</v>
      </c>
      <c r="EE89" s="55">
        <f>SUMIFS('Disbursements Summary'!$E:$E,'Disbursements Summary'!$C:$C,$C89,'Disbursements Summary'!$A:$A,"NYSIF")</f>
        <v>0</v>
      </c>
      <c r="EF89" s="55">
        <f>SUMIFS('Awards Summary'!$H:$H,'Awards Summary'!$B:$B,$C89,'Awards Summary'!$J:$J,"NYBREDS")</f>
        <v>0</v>
      </c>
      <c r="EG89" s="55">
        <f>SUMIFS('Disbursements Summary'!$E:$E,'Disbursements Summary'!$C:$C,$C89,'Disbursements Summary'!$A:$A,"NYBREDS")</f>
        <v>0</v>
      </c>
      <c r="EH89" s="55">
        <f>SUMIFS('Awards Summary'!$H:$H,'Awards Summary'!$B:$B,$C89,'Awards Summary'!$J:$J,"NYSTA")</f>
        <v>0</v>
      </c>
      <c r="EI89" s="55">
        <f>SUMIFS('Disbursements Summary'!$E:$E,'Disbursements Summary'!$C:$C,$C89,'Disbursements Summary'!$A:$A,"NYSTA")</f>
        <v>0</v>
      </c>
      <c r="EJ89" s="55">
        <f>SUMIFS('Awards Summary'!$H:$H,'Awards Summary'!$B:$B,$C89,'Awards Summary'!$J:$J,"NFWB")</f>
        <v>0</v>
      </c>
      <c r="EK89" s="55">
        <f>SUMIFS('Disbursements Summary'!$E:$E,'Disbursements Summary'!$C:$C,$C89,'Disbursements Summary'!$A:$A,"NFWB")</f>
        <v>0</v>
      </c>
      <c r="EL89" s="55">
        <f>SUMIFS('Awards Summary'!$H:$H,'Awards Summary'!$B:$B,$C89,'Awards Summary'!$J:$J,"NFTA")</f>
        <v>0</v>
      </c>
      <c r="EM89" s="55">
        <f>SUMIFS('Disbursements Summary'!$E:$E,'Disbursements Summary'!$C:$C,$C89,'Disbursements Summary'!$A:$A,"NFTA")</f>
        <v>0</v>
      </c>
      <c r="EN89" s="55">
        <f>SUMIFS('Awards Summary'!$H:$H,'Awards Summary'!$B:$B,$C89,'Awards Summary'!$J:$J,"OPWDD")</f>
        <v>0</v>
      </c>
      <c r="EO89" s="55">
        <f>SUMIFS('Disbursements Summary'!$E:$E,'Disbursements Summary'!$C:$C,$C89,'Disbursements Summary'!$A:$A,"OPWDD")</f>
        <v>0</v>
      </c>
      <c r="EP89" s="55">
        <f>SUMIFS('Awards Summary'!$H:$H,'Awards Summary'!$B:$B,$C89,'Awards Summary'!$J:$J,"AGING")</f>
        <v>0</v>
      </c>
      <c r="EQ89" s="55">
        <f>SUMIFS('Disbursements Summary'!$E:$E,'Disbursements Summary'!$C:$C,$C89,'Disbursements Summary'!$A:$A,"AGING")</f>
        <v>0</v>
      </c>
      <c r="ER89" s="55">
        <f>SUMIFS('Awards Summary'!$H:$H,'Awards Summary'!$B:$B,$C89,'Awards Summary'!$J:$J,"OPDV")</f>
        <v>0</v>
      </c>
      <c r="ES89" s="55">
        <f>SUMIFS('Disbursements Summary'!$E:$E,'Disbursements Summary'!$C:$C,$C89,'Disbursements Summary'!$A:$A,"OPDV")</f>
        <v>0</v>
      </c>
      <c r="ET89" s="55">
        <f>SUMIFS('Awards Summary'!$H:$H,'Awards Summary'!$B:$B,$C89,'Awards Summary'!$J:$J,"OVS")</f>
        <v>0</v>
      </c>
      <c r="EU89" s="55">
        <f>SUMIFS('Disbursements Summary'!$E:$E,'Disbursements Summary'!$C:$C,$C89,'Disbursements Summary'!$A:$A,"OVS")</f>
        <v>0</v>
      </c>
      <c r="EV89" s="55">
        <f>SUMIFS('Awards Summary'!$H:$H,'Awards Summary'!$B:$B,$C89,'Awards Summary'!$J:$J,"OASAS")</f>
        <v>0</v>
      </c>
      <c r="EW89" s="55">
        <f>SUMIFS('Disbursements Summary'!$E:$E,'Disbursements Summary'!$C:$C,$C89,'Disbursements Summary'!$A:$A,"OASAS")</f>
        <v>0</v>
      </c>
      <c r="EX89" s="55">
        <f>SUMIFS('Awards Summary'!$H:$H,'Awards Summary'!$B:$B,$C89,'Awards Summary'!$J:$J,"OCFS")</f>
        <v>0</v>
      </c>
      <c r="EY89" s="55">
        <f>SUMIFS('Disbursements Summary'!$E:$E,'Disbursements Summary'!$C:$C,$C89,'Disbursements Summary'!$A:$A,"OCFS")</f>
        <v>0</v>
      </c>
      <c r="EZ89" s="55">
        <f>SUMIFS('Awards Summary'!$H:$H,'Awards Summary'!$B:$B,$C89,'Awards Summary'!$J:$J,"OGS")</f>
        <v>0</v>
      </c>
      <c r="FA89" s="55">
        <f>SUMIFS('Disbursements Summary'!$E:$E,'Disbursements Summary'!$C:$C,$C89,'Disbursements Summary'!$A:$A,"OGS")</f>
        <v>0</v>
      </c>
      <c r="FB89" s="55">
        <f>SUMIFS('Awards Summary'!$H:$H,'Awards Summary'!$B:$B,$C89,'Awards Summary'!$J:$J,"OMH")</f>
        <v>0</v>
      </c>
      <c r="FC89" s="55">
        <f>SUMIFS('Disbursements Summary'!$E:$E,'Disbursements Summary'!$C:$C,$C89,'Disbursements Summary'!$A:$A,"OMH")</f>
        <v>0</v>
      </c>
      <c r="FD89" s="55">
        <f>SUMIFS('Awards Summary'!$H:$H,'Awards Summary'!$B:$B,$C89,'Awards Summary'!$J:$J,"PARKS")</f>
        <v>0</v>
      </c>
      <c r="FE89" s="55">
        <f>SUMIFS('Disbursements Summary'!$E:$E,'Disbursements Summary'!$C:$C,$C89,'Disbursements Summary'!$A:$A,"PARKS")</f>
        <v>0</v>
      </c>
      <c r="FF89" s="55">
        <f>SUMIFS('Awards Summary'!$H:$H,'Awards Summary'!$B:$B,$C89,'Awards Summary'!$J:$J,"OTDA")</f>
        <v>0</v>
      </c>
      <c r="FG89" s="55">
        <f>SUMIFS('Disbursements Summary'!$E:$E,'Disbursements Summary'!$C:$C,$C89,'Disbursements Summary'!$A:$A,"OTDA")</f>
        <v>0</v>
      </c>
      <c r="FH89" s="55">
        <f>SUMIFS('Awards Summary'!$H:$H,'Awards Summary'!$B:$B,$C89,'Awards Summary'!$J:$J,"OIG")</f>
        <v>0</v>
      </c>
      <c r="FI89" s="55">
        <f>SUMIFS('Disbursements Summary'!$E:$E,'Disbursements Summary'!$C:$C,$C89,'Disbursements Summary'!$A:$A,"OIG")</f>
        <v>0</v>
      </c>
      <c r="FJ89" s="55">
        <f>SUMIFS('Awards Summary'!$H:$H,'Awards Summary'!$B:$B,$C89,'Awards Summary'!$J:$J,"OMIG")</f>
        <v>0</v>
      </c>
      <c r="FK89" s="55">
        <f>SUMIFS('Disbursements Summary'!$E:$E,'Disbursements Summary'!$C:$C,$C89,'Disbursements Summary'!$A:$A,"OMIG")</f>
        <v>0</v>
      </c>
      <c r="FL89" s="55">
        <f>SUMIFS('Awards Summary'!$H:$H,'Awards Summary'!$B:$B,$C89,'Awards Summary'!$J:$J,"OSC")</f>
        <v>0</v>
      </c>
      <c r="FM89" s="55">
        <f>SUMIFS('Disbursements Summary'!$E:$E,'Disbursements Summary'!$C:$C,$C89,'Disbursements Summary'!$A:$A,"OSC")</f>
        <v>0</v>
      </c>
      <c r="FN89" s="55">
        <f>SUMIFS('Awards Summary'!$H:$H,'Awards Summary'!$B:$B,$C89,'Awards Summary'!$J:$J,"OWIG")</f>
        <v>0</v>
      </c>
      <c r="FO89" s="55">
        <f>SUMIFS('Disbursements Summary'!$E:$E,'Disbursements Summary'!$C:$C,$C89,'Disbursements Summary'!$A:$A,"OWIG")</f>
        <v>0</v>
      </c>
      <c r="FP89" s="55">
        <f>SUMIFS('Awards Summary'!$H:$H,'Awards Summary'!$B:$B,$C89,'Awards Summary'!$J:$J,"OGDEN")</f>
        <v>0</v>
      </c>
      <c r="FQ89" s="55">
        <f>SUMIFS('Disbursements Summary'!$E:$E,'Disbursements Summary'!$C:$C,$C89,'Disbursements Summary'!$A:$A,"OGDEN")</f>
        <v>0</v>
      </c>
      <c r="FR89" s="55">
        <f>SUMIFS('Awards Summary'!$H:$H,'Awards Summary'!$B:$B,$C89,'Awards Summary'!$J:$J,"ORDA")</f>
        <v>0</v>
      </c>
      <c r="FS89" s="55">
        <f>SUMIFS('Disbursements Summary'!$E:$E,'Disbursements Summary'!$C:$C,$C89,'Disbursements Summary'!$A:$A,"ORDA")</f>
        <v>0</v>
      </c>
      <c r="FT89" s="55">
        <f>SUMIFS('Awards Summary'!$H:$H,'Awards Summary'!$B:$B,$C89,'Awards Summary'!$J:$J,"OSWEGO")</f>
        <v>0</v>
      </c>
      <c r="FU89" s="55">
        <f>SUMIFS('Disbursements Summary'!$E:$E,'Disbursements Summary'!$C:$C,$C89,'Disbursements Summary'!$A:$A,"OSWEGO")</f>
        <v>0</v>
      </c>
      <c r="FV89" s="55">
        <f>SUMIFS('Awards Summary'!$H:$H,'Awards Summary'!$B:$B,$C89,'Awards Summary'!$J:$J,"PERB")</f>
        <v>0</v>
      </c>
      <c r="FW89" s="55">
        <f>SUMIFS('Disbursements Summary'!$E:$E,'Disbursements Summary'!$C:$C,$C89,'Disbursements Summary'!$A:$A,"PERB")</f>
        <v>0</v>
      </c>
      <c r="FX89" s="55">
        <f>SUMIFS('Awards Summary'!$H:$H,'Awards Summary'!$B:$B,$C89,'Awards Summary'!$J:$J,"RGRTA")</f>
        <v>0</v>
      </c>
      <c r="FY89" s="55">
        <f>SUMIFS('Disbursements Summary'!$E:$E,'Disbursements Summary'!$C:$C,$C89,'Disbursements Summary'!$A:$A,"RGRTA")</f>
        <v>0</v>
      </c>
      <c r="FZ89" s="55">
        <f>SUMIFS('Awards Summary'!$H:$H,'Awards Summary'!$B:$B,$C89,'Awards Summary'!$J:$J,"RIOC")</f>
        <v>0</v>
      </c>
      <c r="GA89" s="55">
        <f>SUMIFS('Disbursements Summary'!$E:$E,'Disbursements Summary'!$C:$C,$C89,'Disbursements Summary'!$A:$A,"RIOC")</f>
        <v>0</v>
      </c>
      <c r="GB89" s="55">
        <f>SUMIFS('Awards Summary'!$H:$H,'Awards Summary'!$B:$B,$C89,'Awards Summary'!$J:$J,"RPCI")</f>
        <v>0</v>
      </c>
      <c r="GC89" s="55">
        <f>SUMIFS('Disbursements Summary'!$E:$E,'Disbursements Summary'!$C:$C,$C89,'Disbursements Summary'!$A:$A,"RPCI")</f>
        <v>0</v>
      </c>
      <c r="GD89" s="55">
        <f>SUMIFS('Awards Summary'!$H:$H,'Awards Summary'!$B:$B,$C89,'Awards Summary'!$J:$J,"SMDA")</f>
        <v>0</v>
      </c>
      <c r="GE89" s="55">
        <f>SUMIFS('Disbursements Summary'!$E:$E,'Disbursements Summary'!$C:$C,$C89,'Disbursements Summary'!$A:$A,"SMDA")</f>
        <v>0</v>
      </c>
      <c r="GF89" s="55">
        <f>SUMIFS('Awards Summary'!$H:$H,'Awards Summary'!$B:$B,$C89,'Awards Summary'!$J:$J,"SCOC")</f>
        <v>0</v>
      </c>
      <c r="GG89" s="55">
        <f>SUMIFS('Disbursements Summary'!$E:$E,'Disbursements Summary'!$C:$C,$C89,'Disbursements Summary'!$A:$A,"SCOC")</f>
        <v>0</v>
      </c>
      <c r="GH89" s="55">
        <f>SUMIFS('Awards Summary'!$H:$H,'Awards Summary'!$B:$B,$C89,'Awards Summary'!$J:$J,"SUCF")</f>
        <v>0</v>
      </c>
      <c r="GI89" s="55">
        <f>SUMIFS('Disbursements Summary'!$E:$E,'Disbursements Summary'!$C:$C,$C89,'Disbursements Summary'!$A:$A,"SUCF")</f>
        <v>0</v>
      </c>
      <c r="GJ89" s="55">
        <f>SUMIFS('Awards Summary'!$H:$H,'Awards Summary'!$B:$B,$C89,'Awards Summary'!$J:$J,"SUNY")</f>
        <v>0</v>
      </c>
      <c r="GK89" s="55">
        <f>SUMIFS('Disbursements Summary'!$E:$E,'Disbursements Summary'!$C:$C,$C89,'Disbursements Summary'!$A:$A,"SUNY")</f>
        <v>0</v>
      </c>
      <c r="GL89" s="55">
        <f>SUMIFS('Awards Summary'!$H:$H,'Awards Summary'!$B:$B,$C89,'Awards Summary'!$J:$J,"SRAA")</f>
        <v>0</v>
      </c>
      <c r="GM89" s="55">
        <f>SUMIFS('Disbursements Summary'!$E:$E,'Disbursements Summary'!$C:$C,$C89,'Disbursements Summary'!$A:$A,"SRAA")</f>
        <v>0</v>
      </c>
      <c r="GN89" s="55">
        <f>SUMIFS('Awards Summary'!$H:$H,'Awards Summary'!$B:$B,$C89,'Awards Summary'!$J:$J,"UNDC")</f>
        <v>0</v>
      </c>
      <c r="GO89" s="55">
        <f>SUMIFS('Disbursements Summary'!$E:$E,'Disbursements Summary'!$C:$C,$C89,'Disbursements Summary'!$A:$A,"UNDC")</f>
        <v>0</v>
      </c>
      <c r="GP89" s="55">
        <f>SUMIFS('Awards Summary'!$H:$H,'Awards Summary'!$B:$B,$C89,'Awards Summary'!$J:$J,"MVWA")</f>
        <v>0</v>
      </c>
      <c r="GQ89" s="55">
        <f>SUMIFS('Disbursements Summary'!$E:$E,'Disbursements Summary'!$C:$C,$C89,'Disbursements Summary'!$A:$A,"MVWA")</f>
        <v>0</v>
      </c>
      <c r="GR89" s="55">
        <f>SUMIFS('Awards Summary'!$H:$H,'Awards Summary'!$B:$B,$C89,'Awards Summary'!$J:$J,"WMC")</f>
        <v>0</v>
      </c>
      <c r="GS89" s="55">
        <f>SUMIFS('Disbursements Summary'!$E:$E,'Disbursements Summary'!$C:$C,$C89,'Disbursements Summary'!$A:$A,"WMC")</f>
        <v>0</v>
      </c>
      <c r="GT89" s="55">
        <f>SUMIFS('Awards Summary'!$H:$H,'Awards Summary'!$B:$B,$C89,'Awards Summary'!$J:$J,"WCB")</f>
        <v>0</v>
      </c>
      <c r="GU89" s="55">
        <f>SUMIFS('Disbursements Summary'!$E:$E,'Disbursements Summary'!$C:$C,$C89,'Disbursements Summary'!$A:$A,"WCB")</f>
        <v>0</v>
      </c>
      <c r="GV89" s="32">
        <f t="shared" si="10"/>
        <v>0</v>
      </c>
      <c r="GW89" s="32">
        <f t="shared" si="11"/>
        <v>0</v>
      </c>
      <c r="GX89" s="30" t="b">
        <f t="shared" si="12"/>
        <v>1</v>
      </c>
      <c r="GY89" s="30" t="b">
        <f t="shared" si="13"/>
        <v>1</v>
      </c>
    </row>
    <row r="90" spans="1:207" s="30" customFormat="1">
      <c r="A90" s="22" t="str">
        <f t="shared" si="9"/>
        <v/>
      </c>
      <c r="B90" s="40" t="s">
        <v>44</v>
      </c>
      <c r="C90" s="16">
        <v>151183</v>
      </c>
      <c r="D90" s="26">
        <f>COUNTIF('Awards Summary'!B:B,"151183")</f>
        <v>0</v>
      </c>
      <c r="E90" s="45">
        <f>SUMIFS('Awards Summary'!H:H,'Awards Summary'!B:B,"151183")</f>
        <v>0</v>
      </c>
      <c r="F90" s="46">
        <f>SUMIFS('Disbursements Summary'!E:E,'Disbursements Summary'!C:C, "151183")</f>
        <v>0</v>
      </c>
      <c r="H90" s="55">
        <f>SUMIFS('Awards Summary'!$H:$H,'Awards Summary'!$B:$B,$C90,'Awards Summary'!$J:$J,"APA")</f>
        <v>0</v>
      </c>
      <c r="I90" s="55">
        <f>SUMIFS('Disbursements Summary'!$E:$E,'Disbursements Summary'!$C:$C,$C90,'Disbursements Summary'!$A:$A,"APA")</f>
        <v>0</v>
      </c>
      <c r="J90" s="55">
        <f>SUMIFS('Awards Summary'!$H:$H,'Awards Summary'!$B:$B,$C90,'Awards Summary'!$J:$J,"Ag&amp;Horse")</f>
        <v>0</v>
      </c>
      <c r="K90" s="55">
        <f>SUMIFS('Disbursements Summary'!$E:$E,'Disbursements Summary'!$C:$C,$C90,'Disbursements Summary'!$A:$A,"Ag&amp;Horse")</f>
        <v>0</v>
      </c>
      <c r="L90" s="55">
        <f>SUMIFS('Awards Summary'!$H:$H,'Awards Summary'!$B:$B,$C90,'Awards Summary'!$J:$J,"ACAA")</f>
        <v>0</v>
      </c>
      <c r="M90" s="55">
        <f>SUMIFS('Disbursements Summary'!$E:$E,'Disbursements Summary'!$C:$C,$C90,'Disbursements Summary'!$A:$A,"ACAA")</f>
        <v>0</v>
      </c>
      <c r="N90" s="55">
        <f>SUMIFS('Awards Summary'!$H:$H,'Awards Summary'!$B:$B,$C90,'Awards Summary'!$J:$J,"PortAlbany")</f>
        <v>0</v>
      </c>
      <c r="O90" s="55">
        <f>SUMIFS('Disbursements Summary'!$E:$E,'Disbursements Summary'!$C:$C,$C90,'Disbursements Summary'!$A:$A,"PortAlbany")</f>
        <v>0</v>
      </c>
      <c r="P90" s="55">
        <f>SUMIFS('Awards Summary'!$H:$H,'Awards Summary'!$B:$B,$C90,'Awards Summary'!$J:$J,"SLA")</f>
        <v>0</v>
      </c>
      <c r="Q90" s="55">
        <f>SUMIFS('Disbursements Summary'!$E:$E,'Disbursements Summary'!$C:$C,$C90,'Disbursements Summary'!$A:$A,"SLA")</f>
        <v>0</v>
      </c>
      <c r="R90" s="55">
        <f>SUMIFS('Awards Summary'!$H:$H,'Awards Summary'!$B:$B,$C90,'Awards Summary'!$J:$J,"BPCA")</f>
        <v>0</v>
      </c>
      <c r="S90" s="55">
        <f>SUMIFS('Disbursements Summary'!$E:$E,'Disbursements Summary'!$C:$C,$C90,'Disbursements Summary'!$A:$A,"BPCA")</f>
        <v>0</v>
      </c>
      <c r="T90" s="55">
        <f>SUMIFS('Awards Summary'!$H:$H,'Awards Summary'!$B:$B,$C90,'Awards Summary'!$J:$J,"ELECTIONS")</f>
        <v>0</v>
      </c>
      <c r="U90" s="55">
        <f>SUMIFS('Disbursements Summary'!$E:$E,'Disbursements Summary'!$C:$C,$C90,'Disbursements Summary'!$A:$A,"ELECTIONS")</f>
        <v>0</v>
      </c>
      <c r="V90" s="55">
        <f>SUMIFS('Awards Summary'!$H:$H,'Awards Summary'!$B:$B,$C90,'Awards Summary'!$J:$J,"BFSA")</f>
        <v>0</v>
      </c>
      <c r="W90" s="55">
        <f>SUMIFS('Disbursements Summary'!$E:$E,'Disbursements Summary'!$C:$C,$C90,'Disbursements Summary'!$A:$A,"BFSA")</f>
        <v>0</v>
      </c>
      <c r="X90" s="55">
        <f>SUMIFS('Awards Summary'!$H:$H,'Awards Summary'!$B:$B,$C90,'Awards Summary'!$J:$J,"CDTA")</f>
        <v>0</v>
      </c>
      <c r="Y90" s="55">
        <f>SUMIFS('Disbursements Summary'!$E:$E,'Disbursements Summary'!$C:$C,$C90,'Disbursements Summary'!$A:$A,"CDTA")</f>
        <v>0</v>
      </c>
      <c r="Z90" s="55">
        <f>SUMIFS('Awards Summary'!$H:$H,'Awards Summary'!$B:$B,$C90,'Awards Summary'!$J:$J,"CCWSA")</f>
        <v>0</v>
      </c>
      <c r="AA90" s="55">
        <f>SUMIFS('Disbursements Summary'!$E:$E,'Disbursements Summary'!$C:$C,$C90,'Disbursements Summary'!$A:$A,"CCWSA")</f>
        <v>0</v>
      </c>
      <c r="AB90" s="55">
        <f>SUMIFS('Awards Summary'!$H:$H,'Awards Summary'!$B:$B,$C90,'Awards Summary'!$J:$J,"CNYRTA")</f>
        <v>0</v>
      </c>
      <c r="AC90" s="55">
        <f>SUMIFS('Disbursements Summary'!$E:$E,'Disbursements Summary'!$C:$C,$C90,'Disbursements Summary'!$A:$A,"CNYRTA")</f>
        <v>0</v>
      </c>
      <c r="AD90" s="55">
        <f>SUMIFS('Awards Summary'!$H:$H,'Awards Summary'!$B:$B,$C90,'Awards Summary'!$J:$J,"CUCF")</f>
        <v>0</v>
      </c>
      <c r="AE90" s="55">
        <f>SUMIFS('Disbursements Summary'!$E:$E,'Disbursements Summary'!$C:$C,$C90,'Disbursements Summary'!$A:$A,"CUCF")</f>
        <v>0</v>
      </c>
      <c r="AF90" s="55">
        <f>SUMIFS('Awards Summary'!$H:$H,'Awards Summary'!$B:$B,$C90,'Awards Summary'!$J:$J,"CUNY")</f>
        <v>0</v>
      </c>
      <c r="AG90" s="55">
        <f>SUMIFS('Disbursements Summary'!$E:$E,'Disbursements Summary'!$C:$C,$C90,'Disbursements Summary'!$A:$A,"CUNY")</f>
        <v>0</v>
      </c>
      <c r="AH90" s="55">
        <f>SUMIFS('Awards Summary'!$H:$H,'Awards Summary'!$B:$B,$C90,'Awards Summary'!$J:$J,"ARTS")</f>
        <v>0</v>
      </c>
      <c r="AI90" s="55">
        <f>SUMIFS('Disbursements Summary'!$E:$E,'Disbursements Summary'!$C:$C,$C90,'Disbursements Summary'!$A:$A,"ARTS")</f>
        <v>0</v>
      </c>
      <c r="AJ90" s="55">
        <f>SUMIFS('Awards Summary'!$H:$H,'Awards Summary'!$B:$B,$C90,'Awards Summary'!$J:$J,"AG&amp;MKTS")</f>
        <v>0</v>
      </c>
      <c r="AK90" s="55">
        <f>SUMIFS('Disbursements Summary'!$E:$E,'Disbursements Summary'!$C:$C,$C90,'Disbursements Summary'!$A:$A,"AG&amp;MKTS")</f>
        <v>0</v>
      </c>
      <c r="AL90" s="55">
        <f>SUMIFS('Awards Summary'!$H:$H,'Awards Summary'!$B:$B,$C90,'Awards Summary'!$J:$J,"CS")</f>
        <v>0</v>
      </c>
      <c r="AM90" s="55">
        <f>SUMIFS('Disbursements Summary'!$E:$E,'Disbursements Summary'!$C:$C,$C90,'Disbursements Summary'!$A:$A,"CS")</f>
        <v>0</v>
      </c>
      <c r="AN90" s="55">
        <f>SUMIFS('Awards Summary'!$H:$H,'Awards Summary'!$B:$B,$C90,'Awards Summary'!$J:$J,"DOCCS")</f>
        <v>0</v>
      </c>
      <c r="AO90" s="55">
        <f>SUMIFS('Disbursements Summary'!$E:$E,'Disbursements Summary'!$C:$C,$C90,'Disbursements Summary'!$A:$A,"DOCCS")</f>
        <v>0</v>
      </c>
      <c r="AP90" s="55">
        <f>SUMIFS('Awards Summary'!$H:$H,'Awards Summary'!$B:$B,$C90,'Awards Summary'!$J:$J,"DED")</f>
        <v>0</v>
      </c>
      <c r="AQ90" s="55">
        <f>SUMIFS('Disbursements Summary'!$E:$E,'Disbursements Summary'!$C:$C,$C90,'Disbursements Summary'!$A:$A,"DED")</f>
        <v>0</v>
      </c>
      <c r="AR90" s="55">
        <f>SUMIFS('Awards Summary'!$H:$H,'Awards Summary'!$B:$B,$C90,'Awards Summary'!$J:$J,"DEC")</f>
        <v>0</v>
      </c>
      <c r="AS90" s="55">
        <f>SUMIFS('Disbursements Summary'!$E:$E,'Disbursements Summary'!$C:$C,$C90,'Disbursements Summary'!$A:$A,"DEC")</f>
        <v>0</v>
      </c>
      <c r="AT90" s="55">
        <f>SUMIFS('Awards Summary'!$H:$H,'Awards Summary'!$B:$B,$C90,'Awards Summary'!$J:$J,"DFS")</f>
        <v>0</v>
      </c>
      <c r="AU90" s="55">
        <f>SUMIFS('Disbursements Summary'!$E:$E,'Disbursements Summary'!$C:$C,$C90,'Disbursements Summary'!$A:$A,"DFS")</f>
        <v>0</v>
      </c>
      <c r="AV90" s="55">
        <f>SUMIFS('Awards Summary'!$H:$H,'Awards Summary'!$B:$B,$C90,'Awards Summary'!$J:$J,"DOH")</f>
        <v>0</v>
      </c>
      <c r="AW90" s="55">
        <f>SUMIFS('Disbursements Summary'!$E:$E,'Disbursements Summary'!$C:$C,$C90,'Disbursements Summary'!$A:$A,"DOH")</f>
        <v>0</v>
      </c>
      <c r="AX90" s="55">
        <f>SUMIFS('Awards Summary'!$H:$H,'Awards Summary'!$B:$B,$C90,'Awards Summary'!$J:$J,"DOL")</f>
        <v>0</v>
      </c>
      <c r="AY90" s="55">
        <f>SUMIFS('Disbursements Summary'!$E:$E,'Disbursements Summary'!$C:$C,$C90,'Disbursements Summary'!$A:$A,"DOL")</f>
        <v>0</v>
      </c>
      <c r="AZ90" s="55">
        <f>SUMIFS('Awards Summary'!$H:$H,'Awards Summary'!$B:$B,$C90,'Awards Summary'!$J:$J,"DMV")</f>
        <v>0</v>
      </c>
      <c r="BA90" s="55">
        <f>SUMIFS('Disbursements Summary'!$E:$E,'Disbursements Summary'!$C:$C,$C90,'Disbursements Summary'!$A:$A,"DMV")</f>
        <v>0</v>
      </c>
      <c r="BB90" s="55">
        <f>SUMIFS('Awards Summary'!$H:$H,'Awards Summary'!$B:$B,$C90,'Awards Summary'!$J:$J,"DPS")</f>
        <v>0</v>
      </c>
      <c r="BC90" s="55">
        <f>SUMIFS('Disbursements Summary'!$E:$E,'Disbursements Summary'!$C:$C,$C90,'Disbursements Summary'!$A:$A,"DPS")</f>
        <v>0</v>
      </c>
      <c r="BD90" s="55">
        <f>SUMIFS('Awards Summary'!$H:$H,'Awards Summary'!$B:$B,$C90,'Awards Summary'!$J:$J,"DOS")</f>
        <v>0</v>
      </c>
      <c r="BE90" s="55">
        <f>SUMIFS('Disbursements Summary'!$E:$E,'Disbursements Summary'!$C:$C,$C90,'Disbursements Summary'!$A:$A,"DOS")</f>
        <v>0</v>
      </c>
      <c r="BF90" s="55">
        <f>SUMIFS('Awards Summary'!$H:$H,'Awards Summary'!$B:$B,$C90,'Awards Summary'!$J:$J,"TAX")</f>
        <v>0</v>
      </c>
      <c r="BG90" s="55">
        <f>SUMIFS('Disbursements Summary'!$E:$E,'Disbursements Summary'!$C:$C,$C90,'Disbursements Summary'!$A:$A,"TAX")</f>
        <v>0</v>
      </c>
      <c r="BH90" s="55">
        <f>SUMIFS('Awards Summary'!$H:$H,'Awards Summary'!$B:$B,$C90,'Awards Summary'!$J:$J,"DOT")</f>
        <v>0</v>
      </c>
      <c r="BI90" s="55">
        <f>SUMIFS('Disbursements Summary'!$E:$E,'Disbursements Summary'!$C:$C,$C90,'Disbursements Summary'!$A:$A,"DOT")</f>
        <v>0</v>
      </c>
      <c r="BJ90" s="55">
        <f>SUMIFS('Awards Summary'!$H:$H,'Awards Summary'!$B:$B,$C90,'Awards Summary'!$J:$J,"DANC")</f>
        <v>0</v>
      </c>
      <c r="BK90" s="55">
        <f>SUMIFS('Disbursements Summary'!$E:$E,'Disbursements Summary'!$C:$C,$C90,'Disbursements Summary'!$A:$A,"DANC")</f>
        <v>0</v>
      </c>
      <c r="BL90" s="55">
        <f>SUMIFS('Awards Summary'!$H:$H,'Awards Summary'!$B:$B,$C90,'Awards Summary'!$J:$J,"DOB")</f>
        <v>0</v>
      </c>
      <c r="BM90" s="55">
        <f>SUMIFS('Disbursements Summary'!$E:$E,'Disbursements Summary'!$C:$C,$C90,'Disbursements Summary'!$A:$A,"DOB")</f>
        <v>0</v>
      </c>
      <c r="BN90" s="55">
        <f>SUMIFS('Awards Summary'!$H:$H,'Awards Summary'!$B:$B,$C90,'Awards Summary'!$J:$J,"DCJS")</f>
        <v>0</v>
      </c>
      <c r="BO90" s="55">
        <f>SUMIFS('Disbursements Summary'!$E:$E,'Disbursements Summary'!$C:$C,$C90,'Disbursements Summary'!$A:$A,"DCJS")</f>
        <v>0</v>
      </c>
      <c r="BP90" s="55">
        <f>SUMIFS('Awards Summary'!$H:$H,'Awards Summary'!$B:$B,$C90,'Awards Summary'!$J:$J,"DHSES")</f>
        <v>0</v>
      </c>
      <c r="BQ90" s="55">
        <f>SUMIFS('Disbursements Summary'!$E:$E,'Disbursements Summary'!$C:$C,$C90,'Disbursements Summary'!$A:$A,"DHSES")</f>
        <v>0</v>
      </c>
      <c r="BR90" s="55">
        <f>SUMIFS('Awards Summary'!$H:$H,'Awards Summary'!$B:$B,$C90,'Awards Summary'!$J:$J,"DHR")</f>
        <v>0</v>
      </c>
      <c r="BS90" s="55">
        <f>SUMIFS('Disbursements Summary'!$E:$E,'Disbursements Summary'!$C:$C,$C90,'Disbursements Summary'!$A:$A,"DHR")</f>
        <v>0</v>
      </c>
      <c r="BT90" s="55">
        <f>SUMIFS('Awards Summary'!$H:$H,'Awards Summary'!$B:$B,$C90,'Awards Summary'!$J:$J,"DMNA")</f>
        <v>0</v>
      </c>
      <c r="BU90" s="55">
        <f>SUMIFS('Disbursements Summary'!$E:$E,'Disbursements Summary'!$C:$C,$C90,'Disbursements Summary'!$A:$A,"DMNA")</f>
        <v>0</v>
      </c>
      <c r="BV90" s="55">
        <f>SUMIFS('Awards Summary'!$H:$H,'Awards Summary'!$B:$B,$C90,'Awards Summary'!$J:$J,"TROOPERS")</f>
        <v>0</v>
      </c>
      <c r="BW90" s="55">
        <f>SUMIFS('Disbursements Summary'!$E:$E,'Disbursements Summary'!$C:$C,$C90,'Disbursements Summary'!$A:$A,"TROOPERS")</f>
        <v>0</v>
      </c>
      <c r="BX90" s="55">
        <f>SUMIFS('Awards Summary'!$H:$H,'Awards Summary'!$B:$B,$C90,'Awards Summary'!$J:$J,"DVA")</f>
        <v>0</v>
      </c>
      <c r="BY90" s="55">
        <f>SUMIFS('Disbursements Summary'!$E:$E,'Disbursements Summary'!$C:$C,$C90,'Disbursements Summary'!$A:$A,"DVA")</f>
        <v>0</v>
      </c>
      <c r="BZ90" s="55">
        <f>SUMIFS('Awards Summary'!$H:$H,'Awards Summary'!$B:$B,$C90,'Awards Summary'!$J:$J,"DASNY")</f>
        <v>0</v>
      </c>
      <c r="CA90" s="55">
        <f>SUMIFS('Disbursements Summary'!$E:$E,'Disbursements Summary'!$C:$C,$C90,'Disbursements Summary'!$A:$A,"DASNY")</f>
        <v>0</v>
      </c>
      <c r="CB90" s="55">
        <f>SUMIFS('Awards Summary'!$H:$H,'Awards Summary'!$B:$B,$C90,'Awards Summary'!$J:$J,"EGG")</f>
        <v>0</v>
      </c>
      <c r="CC90" s="55">
        <f>SUMIFS('Disbursements Summary'!$E:$E,'Disbursements Summary'!$C:$C,$C90,'Disbursements Summary'!$A:$A,"EGG")</f>
        <v>0</v>
      </c>
      <c r="CD90" s="55">
        <f>SUMIFS('Awards Summary'!$H:$H,'Awards Summary'!$B:$B,$C90,'Awards Summary'!$J:$J,"ESD")</f>
        <v>0</v>
      </c>
      <c r="CE90" s="55">
        <f>SUMIFS('Disbursements Summary'!$E:$E,'Disbursements Summary'!$C:$C,$C90,'Disbursements Summary'!$A:$A,"ESD")</f>
        <v>0</v>
      </c>
      <c r="CF90" s="55">
        <f>SUMIFS('Awards Summary'!$H:$H,'Awards Summary'!$B:$B,$C90,'Awards Summary'!$J:$J,"EFC")</f>
        <v>0</v>
      </c>
      <c r="CG90" s="55">
        <f>SUMIFS('Disbursements Summary'!$E:$E,'Disbursements Summary'!$C:$C,$C90,'Disbursements Summary'!$A:$A,"EFC")</f>
        <v>0</v>
      </c>
      <c r="CH90" s="55">
        <f>SUMIFS('Awards Summary'!$H:$H,'Awards Summary'!$B:$B,$C90,'Awards Summary'!$J:$J,"ECFSA")</f>
        <v>0</v>
      </c>
      <c r="CI90" s="55">
        <f>SUMIFS('Disbursements Summary'!$E:$E,'Disbursements Summary'!$C:$C,$C90,'Disbursements Summary'!$A:$A,"ECFSA")</f>
        <v>0</v>
      </c>
      <c r="CJ90" s="55">
        <f>SUMIFS('Awards Summary'!$H:$H,'Awards Summary'!$B:$B,$C90,'Awards Summary'!$J:$J,"ECMC")</f>
        <v>0</v>
      </c>
      <c r="CK90" s="55">
        <f>SUMIFS('Disbursements Summary'!$E:$E,'Disbursements Summary'!$C:$C,$C90,'Disbursements Summary'!$A:$A,"ECMC")</f>
        <v>0</v>
      </c>
      <c r="CL90" s="55">
        <f>SUMIFS('Awards Summary'!$H:$H,'Awards Summary'!$B:$B,$C90,'Awards Summary'!$J:$J,"CHAMBER")</f>
        <v>0</v>
      </c>
      <c r="CM90" s="55">
        <f>SUMIFS('Disbursements Summary'!$E:$E,'Disbursements Summary'!$C:$C,$C90,'Disbursements Summary'!$A:$A,"CHAMBER")</f>
        <v>0</v>
      </c>
      <c r="CN90" s="55">
        <f>SUMIFS('Awards Summary'!$H:$H,'Awards Summary'!$B:$B,$C90,'Awards Summary'!$J:$J,"GAMING")</f>
        <v>0</v>
      </c>
      <c r="CO90" s="55">
        <f>SUMIFS('Disbursements Summary'!$E:$E,'Disbursements Summary'!$C:$C,$C90,'Disbursements Summary'!$A:$A,"GAMING")</f>
        <v>0</v>
      </c>
      <c r="CP90" s="55">
        <f>SUMIFS('Awards Summary'!$H:$H,'Awards Summary'!$B:$B,$C90,'Awards Summary'!$J:$J,"GOER")</f>
        <v>0</v>
      </c>
      <c r="CQ90" s="55">
        <f>SUMIFS('Disbursements Summary'!$E:$E,'Disbursements Summary'!$C:$C,$C90,'Disbursements Summary'!$A:$A,"GOER")</f>
        <v>0</v>
      </c>
      <c r="CR90" s="55">
        <f>SUMIFS('Awards Summary'!$H:$H,'Awards Summary'!$B:$B,$C90,'Awards Summary'!$J:$J,"HESC")</f>
        <v>0</v>
      </c>
      <c r="CS90" s="55">
        <f>SUMIFS('Disbursements Summary'!$E:$E,'Disbursements Summary'!$C:$C,$C90,'Disbursements Summary'!$A:$A,"HESC")</f>
        <v>0</v>
      </c>
      <c r="CT90" s="55">
        <f>SUMIFS('Awards Summary'!$H:$H,'Awards Summary'!$B:$B,$C90,'Awards Summary'!$J:$J,"GOSR")</f>
        <v>0</v>
      </c>
      <c r="CU90" s="55">
        <f>SUMIFS('Disbursements Summary'!$E:$E,'Disbursements Summary'!$C:$C,$C90,'Disbursements Summary'!$A:$A,"GOSR")</f>
        <v>0</v>
      </c>
      <c r="CV90" s="55">
        <f>SUMIFS('Awards Summary'!$H:$H,'Awards Summary'!$B:$B,$C90,'Awards Summary'!$J:$J,"HRPT")</f>
        <v>0</v>
      </c>
      <c r="CW90" s="55">
        <f>SUMIFS('Disbursements Summary'!$E:$E,'Disbursements Summary'!$C:$C,$C90,'Disbursements Summary'!$A:$A,"HRPT")</f>
        <v>0</v>
      </c>
      <c r="CX90" s="55">
        <f>SUMIFS('Awards Summary'!$H:$H,'Awards Summary'!$B:$B,$C90,'Awards Summary'!$J:$J,"HRBRRD")</f>
        <v>0</v>
      </c>
      <c r="CY90" s="55">
        <f>SUMIFS('Disbursements Summary'!$E:$E,'Disbursements Summary'!$C:$C,$C90,'Disbursements Summary'!$A:$A,"HRBRRD")</f>
        <v>0</v>
      </c>
      <c r="CZ90" s="55">
        <f>SUMIFS('Awards Summary'!$H:$H,'Awards Summary'!$B:$B,$C90,'Awards Summary'!$J:$J,"ITS")</f>
        <v>0</v>
      </c>
      <c r="DA90" s="55">
        <f>SUMIFS('Disbursements Summary'!$E:$E,'Disbursements Summary'!$C:$C,$C90,'Disbursements Summary'!$A:$A,"ITS")</f>
        <v>0</v>
      </c>
      <c r="DB90" s="55">
        <f>SUMIFS('Awards Summary'!$H:$H,'Awards Summary'!$B:$B,$C90,'Awards Summary'!$J:$J,"JAVITS")</f>
        <v>0</v>
      </c>
      <c r="DC90" s="55">
        <f>SUMIFS('Disbursements Summary'!$E:$E,'Disbursements Summary'!$C:$C,$C90,'Disbursements Summary'!$A:$A,"JAVITS")</f>
        <v>0</v>
      </c>
      <c r="DD90" s="55">
        <f>SUMIFS('Awards Summary'!$H:$H,'Awards Summary'!$B:$B,$C90,'Awards Summary'!$J:$J,"JCOPE")</f>
        <v>0</v>
      </c>
      <c r="DE90" s="55">
        <f>SUMIFS('Disbursements Summary'!$E:$E,'Disbursements Summary'!$C:$C,$C90,'Disbursements Summary'!$A:$A,"JCOPE")</f>
        <v>0</v>
      </c>
      <c r="DF90" s="55">
        <f>SUMIFS('Awards Summary'!$H:$H,'Awards Summary'!$B:$B,$C90,'Awards Summary'!$J:$J,"JUSTICE")</f>
        <v>0</v>
      </c>
      <c r="DG90" s="55">
        <f>SUMIFS('Disbursements Summary'!$E:$E,'Disbursements Summary'!$C:$C,$C90,'Disbursements Summary'!$A:$A,"JUSTICE")</f>
        <v>0</v>
      </c>
      <c r="DH90" s="55">
        <f>SUMIFS('Awards Summary'!$H:$H,'Awards Summary'!$B:$B,$C90,'Awards Summary'!$J:$J,"LCWSA")</f>
        <v>0</v>
      </c>
      <c r="DI90" s="55">
        <f>SUMIFS('Disbursements Summary'!$E:$E,'Disbursements Summary'!$C:$C,$C90,'Disbursements Summary'!$A:$A,"LCWSA")</f>
        <v>0</v>
      </c>
      <c r="DJ90" s="55">
        <f>SUMIFS('Awards Summary'!$H:$H,'Awards Summary'!$B:$B,$C90,'Awards Summary'!$J:$J,"LIPA")</f>
        <v>0</v>
      </c>
      <c r="DK90" s="55">
        <f>SUMIFS('Disbursements Summary'!$E:$E,'Disbursements Summary'!$C:$C,$C90,'Disbursements Summary'!$A:$A,"LIPA")</f>
        <v>0</v>
      </c>
      <c r="DL90" s="55">
        <f>SUMIFS('Awards Summary'!$H:$H,'Awards Summary'!$B:$B,$C90,'Awards Summary'!$J:$J,"MTA")</f>
        <v>0</v>
      </c>
      <c r="DM90" s="55">
        <f>SUMIFS('Disbursements Summary'!$E:$E,'Disbursements Summary'!$C:$C,$C90,'Disbursements Summary'!$A:$A,"MTA")</f>
        <v>0</v>
      </c>
      <c r="DN90" s="55">
        <f>SUMIFS('Awards Summary'!$H:$H,'Awards Summary'!$B:$B,$C90,'Awards Summary'!$J:$J,"NIFA")</f>
        <v>0</v>
      </c>
      <c r="DO90" s="55">
        <f>SUMIFS('Disbursements Summary'!$E:$E,'Disbursements Summary'!$C:$C,$C90,'Disbursements Summary'!$A:$A,"NIFA")</f>
        <v>0</v>
      </c>
      <c r="DP90" s="55">
        <f>SUMIFS('Awards Summary'!$H:$H,'Awards Summary'!$B:$B,$C90,'Awards Summary'!$J:$J,"NHCC")</f>
        <v>0</v>
      </c>
      <c r="DQ90" s="55">
        <f>SUMIFS('Disbursements Summary'!$E:$E,'Disbursements Summary'!$C:$C,$C90,'Disbursements Summary'!$A:$A,"NHCC")</f>
        <v>0</v>
      </c>
      <c r="DR90" s="55">
        <f>SUMIFS('Awards Summary'!$H:$H,'Awards Summary'!$B:$B,$C90,'Awards Summary'!$J:$J,"NHT")</f>
        <v>0</v>
      </c>
      <c r="DS90" s="55">
        <f>SUMIFS('Disbursements Summary'!$E:$E,'Disbursements Summary'!$C:$C,$C90,'Disbursements Summary'!$A:$A,"NHT")</f>
        <v>0</v>
      </c>
      <c r="DT90" s="55">
        <f>SUMIFS('Awards Summary'!$H:$H,'Awards Summary'!$B:$B,$C90,'Awards Summary'!$J:$J,"NYPA")</f>
        <v>0</v>
      </c>
      <c r="DU90" s="55">
        <f>SUMIFS('Disbursements Summary'!$E:$E,'Disbursements Summary'!$C:$C,$C90,'Disbursements Summary'!$A:$A,"NYPA")</f>
        <v>0</v>
      </c>
      <c r="DV90" s="55">
        <f>SUMIFS('Awards Summary'!$H:$H,'Awards Summary'!$B:$B,$C90,'Awards Summary'!$J:$J,"NYSBA")</f>
        <v>0</v>
      </c>
      <c r="DW90" s="55">
        <f>SUMIFS('Disbursements Summary'!$E:$E,'Disbursements Summary'!$C:$C,$C90,'Disbursements Summary'!$A:$A,"NYSBA")</f>
        <v>0</v>
      </c>
      <c r="DX90" s="55">
        <f>SUMIFS('Awards Summary'!$H:$H,'Awards Summary'!$B:$B,$C90,'Awards Summary'!$J:$J,"NYSERDA")</f>
        <v>0</v>
      </c>
      <c r="DY90" s="55">
        <f>SUMIFS('Disbursements Summary'!$E:$E,'Disbursements Summary'!$C:$C,$C90,'Disbursements Summary'!$A:$A,"NYSERDA")</f>
        <v>0</v>
      </c>
      <c r="DZ90" s="55">
        <f>SUMIFS('Awards Summary'!$H:$H,'Awards Summary'!$B:$B,$C90,'Awards Summary'!$J:$J,"DHCR")</f>
        <v>0</v>
      </c>
      <c r="EA90" s="55">
        <f>SUMIFS('Disbursements Summary'!$E:$E,'Disbursements Summary'!$C:$C,$C90,'Disbursements Summary'!$A:$A,"DHCR")</f>
        <v>0</v>
      </c>
      <c r="EB90" s="55">
        <f>SUMIFS('Awards Summary'!$H:$H,'Awards Summary'!$B:$B,$C90,'Awards Summary'!$J:$J,"HFA")</f>
        <v>0</v>
      </c>
      <c r="EC90" s="55">
        <f>SUMIFS('Disbursements Summary'!$E:$E,'Disbursements Summary'!$C:$C,$C90,'Disbursements Summary'!$A:$A,"HFA")</f>
        <v>0</v>
      </c>
      <c r="ED90" s="55">
        <f>SUMIFS('Awards Summary'!$H:$H,'Awards Summary'!$B:$B,$C90,'Awards Summary'!$J:$J,"NYSIF")</f>
        <v>0</v>
      </c>
      <c r="EE90" s="55">
        <f>SUMIFS('Disbursements Summary'!$E:$E,'Disbursements Summary'!$C:$C,$C90,'Disbursements Summary'!$A:$A,"NYSIF")</f>
        <v>0</v>
      </c>
      <c r="EF90" s="55">
        <f>SUMIFS('Awards Summary'!$H:$H,'Awards Summary'!$B:$B,$C90,'Awards Summary'!$J:$J,"NYBREDS")</f>
        <v>0</v>
      </c>
      <c r="EG90" s="55">
        <f>SUMIFS('Disbursements Summary'!$E:$E,'Disbursements Summary'!$C:$C,$C90,'Disbursements Summary'!$A:$A,"NYBREDS")</f>
        <v>0</v>
      </c>
      <c r="EH90" s="55">
        <f>SUMIFS('Awards Summary'!$H:$H,'Awards Summary'!$B:$B,$C90,'Awards Summary'!$J:$J,"NYSTA")</f>
        <v>0</v>
      </c>
      <c r="EI90" s="55">
        <f>SUMIFS('Disbursements Summary'!$E:$E,'Disbursements Summary'!$C:$C,$C90,'Disbursements Summary'!$A:$A,"NYSTA")</f>
        <v>0</v>
      </c>
      <c r="EJ90" s="55">
        <f>SUMIFS('Awards Summary'!$H:$H,'Awards Summary'!$B:$B,$C90,'Awards Summary'!$J:$J,"NFWB")</f>
        <v>0</v>
      </c>
      <c r="EK90" s="55">
        <f>SUMIFS('Disbursements Summary'!$E:$E,'Disbursements Summary'!$C:$C,$C90,'Disbursements Summary'!$A:$A,"NFWB")</f>
        <v>0</v>
      </c>
      <c r="EL90" s="55">
        <f>SUMIFS('Awards Summary'!$H:$H,'Awards Summary'!$B:$B,$C90,'Awards Summary'!$J:$J,"NFTA")</f>
        <v>0</v>
      </c>
      <c r="EM90" s="55">
        <f>SUMIFS('Disbursements Summary'!$E:$E,'Disbursements Summary'!$C:$C,$C90,'Disbursements Summary'!$A:$A,"NFTA")</f>
        <v>0</v>
      </c>
      <c r="EN90" s="55">
        <f>SUMIFS('Awards Summary'!$H:$H,'Awards Summary'!$B:$B,$C90,'Awards Summary'!$J:$J,"OPWDD")</f>
        <v>0</v>
      </c>
      <c r="EO90" s="55">
        <f>SUMIFS('Disbursements Summary'!$E:$E,'Disbursements Summary'!$C:$C,$C90,'Disbursements Summary'!$A:$A,"OPWDD")</f>
        <v>0</v>
      </c>
      <c r="EP90" s="55">
        <f>SUMIFS('Awards Summary'!$H:$H,'Awards Summary'!$B:$B,$C90,'Awards Summary'!$J:$J,"AGING")</f>
        <v>0</v>
      </c>
      <c r="EQ90" s="55">
        <f>SUMIFS('Disbursements Summary'!$E:$E,'Disbursements Summary'!$C:$C,$C90,'Disbursements Summary'!$A:$A,"AGING")</f>
        <v>0</v>
      </c>
      <c r="ER90" s="55">
        <f>SUMIFS('Awards Summary'!$H:$H,'Awards Summary'!$B:$B,$C90,'Awards Summary'!$J:$J,"OPDV")</f>
        <v>0</v>
      </c>
      <c r="ES90" s="55">
        <f>SUMIFS('Disbursements Summary'!$E:$E,'Disbursements Summary'!$C:$C,$C90,'Disbursements Summary'!$A:$A,"OPDV")</f>
        <v>0</v>
      </c>
      <c r="ET90" s="55">
        <f>SUMIFS('Awards Summary'!$H:$H,'Awards Summary'!$B:$B,$C90,'Awards Summary'!$J:$J,"OVS")</f>
        <v>0</v>
      </c>
      <c r="EU90" s="55">
        <f>SUMIFS('Disbursements Summary'!$E:$E,'Disbursements Summary'!$C:$C,$C90,'Disbursements Summary'!$A:$A,"OVS")</f>
        <v>0</v>
      </c>
      <c r="EV90" s="55">
        <f>SUMIFS('Awards Summary'!$H:$H,'Awards Summary'!$B:$B,$C90,'Awards Summary'!$J:$J,"OASAS")</f>
        <v>0</v>
      </c>
      <c r="EW90" s="55">
        <f>SUMIFS('Disbursements Summary'!$E:$E,'Disbursements Summary'!$C:$C,$C90,'Disbursements Summary'!$A:$A,"OASAS")</f>
        <v>0</v>
      </c>
      <c r="EX90" s="55">
        <f>SUMIFS('Awards Summary'!$H:$H,'Awards Summary'!$B:$B,$C90,'Awards Summary'!$J:$J,"OCFS")</f>
        <v>0</v>
      </c>
      <c r="EY90" s="55">
        <f>SUMIFS('Disbursements Summary'!$E:$E,'Disbursements Summary'!$C:$C,$C90,'Disbursements Summary'!$A:$A,"OCFS")</f>
        <v>0</v>
      </c>
      <c r="EZ90" s="55">
        <f>SUMIFS('Awards Summary'!$H:$H,'Awards Summary'!$B:$B,$C90,'Awards Summary'!$J:$J,"OGS")</f>
        <v>0</v>
      </c>
      <c r="FA90" s="55">
        <f>SUMIFS('Disbursements Summary'!$E:$E,'Disbursements Summary'!$C:$C,$C90,'Disbursements Summary'!$A:$A,"OGS")</f>
        <v>0</v>
      </c>
      <c r="FB90" s="55">
        <f>SUMIFS('Awards Summary'!$H:$H,'Awards Summary'!$B:$B,$C90,'Awards Summary'!$J:$J,"OMH")</f>
        <v>0</v>
      </c>
      <c r="FC90" s="55">
        <f>SUMIFS('Disbursements Summary'!$E:$E,'Disbursements Summary'!$C:$C,$C90,'Disbursements Summary'!$A:$A,"OMH")</f>
        <v>0</v>
      </c>
      <c r="FD90" s="55">
        <f>SUMIFS('Awards Summary'!$H:$H,'Awards Summary'!$B:$B,$C90,'Awards Summary'!$J:$J,"PARKS")</f>
        <v>0</v>
      </c>
      <c r="FE90" s="55">
        <f>SUMIFS('Disbursements Summary'!$E:$E,'Disbursements Summary'!$C:$C,$C90,'Disbursements Summary'!$A:$A,"PARKS")</f>
        <v>0</v>
      </c>
      <c r="FF90" s="55">
        <f>SUMIFS('Awards Summary'!$H:$H,'Awards Summary'!$B:$B,$C90,'Awards Summary'!$J:$J,"OTDA")</f>
        <v>0</v>
      </c>
      <c r="FG90" s="55">
        <f>SUMIFS('Disbursements Summary'!$E:$E,'Disbursements Summary'!$C:$C,$C90,'Disbursements Summary'!$A:$A,"OTDA")</f>
        <v>0</v>
      </c>
      <c r="FH90" s="55">
        <f>SUMIFS('Awards Summary'!$H:$H,'Awards Summary'!$B:$B,$C90,'Awards Summary'!$J:$J,"OIG")</f>
        <v>0</v>
      </c>
      <c r="FI90" s="55">
        <f>SUMIFS('Disbursements Summary'!$E:$E,'Disbursements Summary'!$C:$C,$C90,'Disbursements Summary'!$A:$A,"OIG")</f>
        <v>0</v>
      </c>
      <c r="FJ90" s="55">
        <f>SUMIFS('Awards Summary'!$H:$H,'Awards Summary'!$B:$B,$C90,'Awards Summary'!$J:$J,"OMIG")</f>
        <v>0</v>
      </c>
      <c r="FK90" s="55">
        <f>SUMIFS('Disbursements Summary'!$E:$E,'Disbursements Summary'!$C:$C,$C90,'Disbursements Summary'!$A:$A,"OMIG")</f>
        <v>0</v>
      </c>
      <c r="FL90" s="55">
        <f>SUMIFS('Awards Summary'!$H:$H,'Awards Summary'!$B:$B,$C90,'Awards Summary'!$J:$J,"OSC")</f>
        <v>0</v>
      </c>
      <c r="FM90" s="55">
        <f>SUMIFS('Disbursements Summary'!$E:$E,'Disbursements Summary'!$C:$C,$C90,'Disbursements Summary'!$A:$A,"OSC")</f>
        <v>0</v>
      </c>
      <c r="FN90" s="55">
        <f>SUMIFS('Awards Summary'!$H:$H,'Awards Summary'!$B:$B,$C90,'Awards Summary'!$J:$J,"OWIG")</f>
        <v>0</v>
      </c>
      <c r="FO90" s="55">
        <f>SUMIFS('Disbursements Summary'!$E:$E,'Disbursements Summary'!$C:$C,$C90,'Disbursements Summary'!$A:$A,"OWIG")</f>
        <v>0</v>
      </c>
      <c r="FP90" s="55">
        <f>SUMIFS('Awards Summary'!$H:$H,'Awards Summary'!$B:$B,$C90,'Awards Summary'!$J:$J,"OGDEN")</f>
        <v>0</v>
      </c>
      <c r="FQ90" s="55">
        <f>SUMIFS('Disbursements Summary'!$E:$E,'Disbursements Summary'!$C:$C,$C90,'Disbursements Summary'!$A:$A,"OGDEN")</f>
        <v>0</v>
      </c>
      <c r="FR90" s="55">
        <f>SUMIFS('Awards Summary'!$H:$H,'Awards Summary'!$B:$B,$C90,'Awards Summary'!$J:$J,"ORDA")</f>
        <v>0</v>
      </c>
      <c r="FS90" s="55">
        <f>SUMIFS('Disbursements Summary'!$E:$E,'Disbursements Summary'!$C:$C,$C90,'Disbursements Summary'!$A:$A,"ORDA")</f>
        <v>0</v>
      </c>
      <c r="FT90" s="55">
        <f>SUMIFS('Awards Summary'!$H:$H,'Awards Summary'!$B:$B,$C90,'Awards Summary'!$J:$J,"OSWEGO")</f>
        <v>0</v>
      </c>
      <c r="FU90" s="55">
        <f>SUMIFS('Disbursements Summary'!$E:$E,'Disbursements Summary'!$C:$C,$C90,'Disbursements Summary'!$A:$A,"OSWEGO")</f>
        <v>0</v>
      </c>
      <c r="FV90" s="55">
        <f>SUMIFS('Awards Summary'!$H:$H,'Awards Summary'!$B:$B,$C90,'Awards Summary'!$J:$J,"PERB")</f>
        <v>0</v>
      </c>
      <c r="FW90" s="55">
        <f>SUMIFS('Disbursements Summary'!$E:$E,'Disbursements Summary'!$C:$C,$C90,'Disbursements Summary'!$A:$A,"PERB")</f>
        <v>0</v>
      </c>
      <c r="FX90" s="55">
        <f>SUMIFS('Awards Summary'!$H:$H,'Awards Summary'!$B:$B,$C90,'Awards Summary'!$J:$J,"RGRTA")</f>
        <v>0</v>
      </c>
      <c r="FY90" s="55">
        <f>SUMIFS('Disbursements Summary'!$E:$E,'Disbursements Summary'!$C:$C,$C90,'Disbursements Summary'!$A:$A,"RGRTA")</f>
        <v>0</v>
      </c>
      <c r="FZ90" s="55">
        <f>SUMIFS('Awards Summary'!$H:$H,'Awards Summary'!$B:$B,$C90,'Awards Summary'!$J:$J,"RIOC")</f>
        <v>0</v>
      </c>
      <c r="GA90" s="55">
        <f>SUMIFS('Disbursements Summary'!$E:$E,'Disbursements Summary'!$C:$C,$C90,'Disbursements Summary'!$A:$A,"RIOC")</f>
        <v>0</v>
      </c>
      <c r="GB90" s="55">
        <f>SUMIFS('Awards Summary'!$H:$H,'Awards Summary'!$B:$B,$C90,'Awards Summary'!$J:$J,"RPCI")</f>
        <v>0</v>
      </c>
      <c r="GC90" s="55">
        <f>SUMIFS('Disbursements Summary'!$E:$E,'Disbursements Summary'!$C:$C,$C90,'Disbursements Summary'!$A:$A,"RPCI")</f>
        <v>0</v>
      </c>
      <c r="GD90" s="55">
        <f>SUMIFS('Awards Summary'!$H:$H,'Awards Summary'!$B:$B,$C90,'Awards Summary'!$J:$J,"SMDA")</f>
        <v>0</v>
      </c>
      <c r="GE90" s="55">
        <f>SUMIFS('Disbursements Summary'!$E:$E,'Disbursements Summary'!$C:$C,$C90,'Disbursements Summary'!$A:$A,"SMDA")</f>
        <v>0</v>
      </c>
      <c r="GF90" s="55">
        <f>SUMIFS('Awards Summary'!$H:$H,'Awards Summary'!$B:$B,$C90,'Awards Summary'!$J:$J,"SCOC")</f>
        <v>0</v>
      </c>
      <c r="GG90" s="55">
        <f>SUMIFS('Disbursements Summary'!$E:$E,'Disbursements Summary'!$C:$C,$C90,'Disbursements Summary'!$A:$A,"SCOC")</f>
        <v>0</v>
      </c>
      <c r="GH90" s="55">
        <f>SUMIFS('Awards Summary'!$H:$H,'Awards Summary'!$B:$B,$C90,'Awards Summary'!$J:$J,"SUCF")</f>
        <v>0</v>
      </c>
      <c r="GI90" s="55">
        <f>SUMIFS('Disbursements Summary'!$E:$E,'Disbursements Summary'!$C:$C,$C90,'Disbursements Summary'!$A:$A,"SUCF")</f>
        <v>0</v>
      </c>
      <c r="GJ90" s="55">
        <f>SUMIFS('Awards Summary'!$H:$H,'Awards Summary'!$B:$B,$C90,'Awards Summary'!$J:$J,"SUNY")</f>
        <v>0</v>
      </c>
      <c r="GK90" s="55">
        <f>SUMIFS('Disbursements Summary'!$E:$E,'Disbursements Summary'!$C:$C,$C90,'Disbursements Summary'!$A:$A,"SUNY")</f>
        <v>0</v>
      </c>
      <c r="GL90" s="55">
        <f>SUMIFS('Awards Summary'!$H:$H,'Awards Summary'!$B:$B,$C90,'Awards Summary'!$J:$J,"SRAA")</f>
        <v>0</v>
      </c>
      <c r="GM90" s="55">
        <f>SUMIFS('Disbursements Summary'!$E:$E,'Disbursements Summary'!$C:$C,$C90,'Disbursements Summary'!$A:$A,"SRAA")</f>
        <v>0</v>
      </c>
      <c r="GN90" s="55">
        <f>SUMIFS('Awards Summary'!$H:$H,'Awards Summary'!$B:$B,$C90,'Awards Summary'!$J:$J,"UNDC")</f>
        <v>0</v>
      </c>
      <c r="GO90" s="55">
        <f>SUMIFS('Disbursements Summary'!$E:$E,'Disbursements Summary'!$C:$C,$C90,'Disbursements Summary'!$A:$A,"UNDC")</f>
        <v>0</v>
      </c>
      <c r="GP90" s="55">
        <f>SUMIFS('Awards Summary'!$H:$H,'Awards Summary'!$B:$B,$C90,'Awards Summary'!$J:$J,"MVWA")</f>
        <v>0</v>
      </c>
      <c r="GQ90" s="55">
        <f>SUMIFS('Disbursements Summary'!$E:$E,'Disbursements Summary'!$C:$C,$C90,'Disbursements Summary'!$A:$A,"MVWA")</f>
        <v>0</v>
      </c>
      <c r="GR90" s="55">
        <f>SUMIFS('Awards Summary'!$H:$H,'Awards Summary'!$B:$B,$C90,'Awards Summary'!$J:$J,"WMC")</f>
        <v>0</v>
      </c>
      <c r="GS90" s="55">
        <f>SUMIFS('Disbursements Summary'!$E:$E,'Disbursements Summary'!$C:$C,$C90,'Disbursements Summary'!$A:$A,"WMC")</f>
        <v>0</v>
      </c>
      <c r="GT90" s="55">
        <f>SUMIFS('Awards Summary'!$H:$H,'Awards Summary'!$B:$B,$C90,'Awards Summary'!$J:$J,"WCB")</f>
        <v>0</v>
      </c>
      <c r="GU90" s="55">
        <f>SUMIFS('Disbursements Summary'!$E:$E,'Disbursements Summary'!$C:$C,$C90,'Disbursements Summary'!$A:$A,"WCB")</f>
        <v>0</v>
      </c>
      <c r="GV90" s="32">
        <f t="shared" si="10"/>
        <v>0</v>
      </c>
      <c r="GW90" s="32">
        <f t="shared" si="11"/>
        <v>0</v>
      </c>
      <c r="GX90" s="30" t="b">
        <f t="shared" si="12"/>
        <v>1</v>
      </c>
      <c r="GY90" s="30" t="b">
        <f t="shared" si="13"/>
        <v>1</v>
      </c>
    </row>
    <row r="91" spans="1:207" s="30" customFormat="1">
      <c r="A91" s="22" t="str">
        <f t="shared" si="9"/>
        <v/>
      </c>
      <c r="B91" s="40" t="s">
        <v>103</v>
      </c>
      <c r="C91" s="16">
        <v>151185</v>
      </c>
      <c r="D91" s="26">
        <f>COUNTIF('Awards Summary'!B:B,"151185")</f>
        <v>0</v>
      </c>
      <c r="E91" s="45">
        <f>SUMIFS('Awards Summary'!H:H,'Awards Summary'!B:B,"151185")</f>
        <v>0</v>
      </c>
      <c r="F91" s="46">
        <f>SUMIFS('Disbursements Summary'!E:E,'Disbursements Summary'!C:C, "151185")</f>
        <v>0</v>
      </c>
      <c r="H91" s="55">
        <f>SUMIFS('Awards Summary'!$H:$H,'Awards Summary'!$B:$B,$C91,'Awards Summary'!$J:$J,"APA")</f>
        <v>0</v>
      </c>
      <c r="I91" s="55">
        <f>SUMIFS('Disbursements Summary'!$E:$E,'Disbursements Summary'!$C:$C,$C91,'Disbursements Summary'!$A:$A,"APA")</f>
        <v>0</v>
      </c>
      <c r="J91" s="55">
        <f>SUMIFS('Awards Summary'!$H:$H,'Awards Summary'!$B:$B,$C91,'Awards Summary'!$J:$J,"Ag&amp;Horse")</f>
        <v>0</v>
      </c>
      <c r="K91" s="55">
        <f>SUMIFS('Disbursements Summary'!$E:$E,'Disbursements Summary'!$C:$C,$C91,'Disbursements Summary'!$A:$A,"Ag&amp;Horse")</f>
        <v>0</v>
      </c>
      <c r="L91" s="55">
        <f>SUMIFS('Awards Summary'!$H:$H,'Awards Summary'!$B:$B,$C91,'Awards Summary'!$J:$J,"ACAA")</f>
        <v>0</v>
      </c>
      <c r="M91" s="55">
        <f>SUMIFS('Disbursements Summary'!$E:$E,'Disbursements Summary'!$C:$C,$C91,'Disbursements Summary'!$A:$A,"ACAA")</f>
        <v>0</v>
      </c>
      <c r="N91" s="55">
        <f>SUMIFS('Awards Summary'!$H:$H,'Awards Summary'!$B:$B,$C91,'Awards Summary'!$J:$J,"PortAlbany")</f>
        <v>0</v>
      </c>
      <c r="O91" s="55">
        <f>SUMIFS('Disbursements Summary'!$E:$E,'Disbursements Summary'!$C:$C,$C91,'Disbursements Summary'!$A:$A,"PortAlbany")</f>
        <v>0</v>
      </c>
      <c r="P91" s="55">
        <f>SUMIFS('Awards Summary'!$H:$H,'Awards Summary'!$B:$B,$C91,'Awards Summary'!$J:$J,"SLA")</f>
        <v>0</v>
      </c>
      <c r="Q91" s="55">
        <f>SUMIFS('Disbursements Summary'!$E:$E,'Disbursements Summary'!$C:$C,$C91,'Disbursements Summary'!$A:$A,"SLA")</f>
        <v>0</v>
      </c>
      <c r="R91" s="55">
        <f>SUMIFS('Awards Summary'!$H:$H,'Awards Summary'!$B:$B,$C91,'Awards Summary'!$J:$J,"BPCA")</f>
        <v>0</v>
      </c>
      <c r="S91" s="55">
        <f>SUMIFS('Disbursements Summary'!$E:$E,'Disbursements Summary'!$C:$C,$C91,'Disbursements Summary'!$A:$A,"BPCA")</f>
        <v>0</v>
      </c>
      <c r="T91" s="55">
        <f>SUMIFS('Awards Summary'!$H:$H,'Awards Summary'!$B:$B,$C91,'Awards Summary'!$J:$J,"ELECTIONS")</f>
        <v>0</v>
      </c>
      <c r="U91" s="55">
        <f>SUMIFS('Disbursements Summary'!$E:$E,'Disbursements Summary'!$C:$C,$C91,'Disbursements Summary'!$A:$A,"ELECTIONS")</f>
        <v>0</v>
      </c>
      <c r="V91" s="55">
        <f>SUMIFS('Awards Summary'!$H:$H,'Awards Summary'!$B:$B,$C91,'Awards Summary'!$J:$J,"BFSA")</f>
        <v>0</v>
      </c>
      <c r="W91" s="55">
        <f>SUMIFS('Disbursements Summary'!$E:$E,'Disbursements Summary'!$C:$C,$C91,'Disbursements Summary'!$A:$A,"BFSA")</f>
        <v>0</v>
      </c>
      <c r="X91" s="55">
        <f>SUMIFS('Awards Summary'!$H:$H,'Awards Summary'!$B:$B,$C91,'Awards Summary'!$J:$J,"CDTA")</f>
        <v>0</v>
      </c>
      <c r="Y91" s="55">
        <f>SUMIFS('Disbursements Summary'!$E:$E,'Disbursements Summary'!$C:$C,$C91,'Disbursements Summary'!$A:$A,"CDTA")</f>
        <v>0</v>
      </c>
      <c r="Z91" s="55">
        <f>SUMIFS('Awards Summary'!$H:$H,'Awards Summary'!$B:$B,$C91,'Awards Summary'!$J:$J,"CCWSA")</f>
        <v>0</v>
      </c>
      <c r="AA91" s="55">
        <f>SUMIFS('Disbursements Summary'!$E:$E,'Disbursements Summary'!$C:$C,$C91,'Disbursements Summary'!$A:$A,"CCWSA")</f>
        <v>0</v>
      </c>
      <c r="AB91" s="55">
        <f>SUMIFS('Awards Summary'!$H:$H,'Awards Summary'!$B:$B,$C91,'Awards Summary'!$J:$J,"CNYRTA")</f>
        <v>0</v>
      </c>
      <c r="AC91" s="55">
        <f>SUMIFS('Disbursements Summary'!$E:$E,'Disbursements Summary'!$C:$C,$C91,'Disbursements Summary'!$A:$A,"CNYRTA")</f>
        <v>0</v>
      </c>
      <c r="AD91" s="55">
        <f>SUMIFS('Awards Summary'!$H:$H,'Awards Summary'!$B:$B,$C91,'Awards Summary'!$J:$J,"CUCF")</f>
        <v>0</v>
      </c>
      <c r="AE91" s="55">
        <f>SUMIFS('Disbursements Summary'!$E:$E,'Disbursements Summary'!$C:$C,$C91,'Disbursements Summary'!$A:$A,"CUCF")</f>
        <v>0</v>
      </c>
      <c r="AF91" s="55">
        <f>SUMIFS('Awards Summary'!$H:$H,'Awards Summary'!$B:$B,$C91,'Awards Summary'!$J:$J,"CUNY")</f>
        <v>0</v>
      </c>
      <c r="AG91" s="55">
        <f>SUMIFS('Disbursements Summary'!$E:$E,'Disbursements Summary'!$C:$C,$C91,'Disbursements Summary'!$A:$A,"CUNY")</f>
        <v>0</v>
      </c>
      <c r="AH91" s="55">
        <f>SUMIFS('Awards Summary'!$H:$H,'Awards Summary'!$B:$B,$C91,'Awards Summary'!$J:$J,"ARTS")</f>
        <v>0</v>
      </c>
      <c r="AI91" s="55">
        <f>SUMIFS('Disbursements Summary'!$E:$E,'Disbursements Summary'!$C:$C,$C91,'Disbursements Summary'!$A:$A,"ARTS")</f>
        <v>0</v>
      </c>
      <c r="AJ91" s="55">
        <f>SUMIFS('Awards Summary'!$H:$H,'Awards Summary'!$B:$B,$C91,'Awards Summary'!$J:$J,"AG&amp;MKTS")</f>
        <v>0</v>
      </c>
      <c r="AK91" s="55">
        <f>SUMIFS('Disbursements Summary'!$E:$E,'Disbursements Summary'!$C:$C,$C91,'Disbursements Summary'!$A:$A,"AG&amp;MKTS")</f>
        <v>0</v>
      </c>
      <c r="AL91" s="55">
        <f>SUMIFS('Awards Summary'!$H:$H,'Awards Summary'!$B:$B,$C91,'Awards Summary'!$J:$J,"CS")</f>
        <v>0</v>
      </c>
      <c r="AM91" s="55">
        <f>SUMIFS('Disbursements Summary'!$E:$E,'Disbursements Summary'!$C:$C,$C91,'Disbursements Summary'!$A:$A,"CS")</f>
        <v>0</v>
      </c>
      <c r="AN91" s="55">
        <f>SUMIFS('Awards Summary'!$H:$H,'Awards Summary'!$B:$B,$C91,'Awards Summary'!$J:$J,"DOCCS")</f>
        <v>0</v>
      </c>
      <c r="AO91" s="55">
        <f>SUMIFS('Disbursements Summary'!$E:$E,'Disbursements Summary'!$C:$C,$C91,'Disbursements Summary'!$A:$A,"DOCCS")</f>
        <v>0</v>
      </c>
      <c r="AP91" s="55">
        <f>SUMIFS('Awards Summary'!$H:$H,'Awards Summary'!$B:$B,$C91,'Awards Summary'!$J:$J,"DED")</f>
        <v>0</v>
      </c>
      <c r="AQ91" s="55">
        <f>SUMIFS('Disbursements Summary'!$E:$E,'Disbursements Summary'!$C:$C,$C91,'Disbursements Summary'!$A:$A,"DED")</f>
        <v>0</v>
      </c>
      <c r="AR91" s="55">
        <f>SUMIFS('Awards Summary'!$H:$H,'Awards Summary'!$B:$B,$C91,'Awards Summary'!$J:$J,"DEC")</f>
        <v>0</v>
      </c>
      <c r="AS91" s="55">
        <f>SUMIFS('Disbursements Summary'!$E:$E,'Disbursements Summary'!$C:$C,$C91,'Disbursements Summary'!$A:$A,"DEC")</f>
        <v>0</v>
      </c>
      <c r="AT91" s="55">
        <f>SUMIFS('Awards Summary'!$H:$H,'Awards Summary'!$B:$B,$C91,'Awards Summary'!$J:$J,"DFS")</f>
        <v>0</v>
      </c>
      <c r="AU91" s="55">
        <f>SUMIFS('Disbursements Summary'!$E:$E,'Disbursements Summary'!$C:$C,$C91,'Disbursements Summary'!$A:$A,"DFS")</f>
        <v>0</v>
      </c>
      <c r="AV91" s="55">
        <f>SUMIFS('Awards Summary'!$H:$H,'Awards Summary'!$B:$B,$C91,'Awards Summary'!$J:$J,"DOH")</f>
        <v>0</v>
      </c>
      <c r="AW91" s="55">
        <f>SUMIFS('Disbursements Summary'!$E:$E,'Disbursements Summary'!$C:$C,$C91,'Disbursements Summary'!$A:$A,"DOH")</f>
        <v>0</v>
      </c>
      <c r="AX91" s="55">
        <f>SUMIFS('Awards Summary'!$H:$H,'Awards Summary'!$B:$B,$C91,'Awards Summary'!$J:$J,"DOL")</f>
        <v>0</v>
      </c>
      <c r="AY91" s="55">
        <f>SUMIFS('Disbursements Summary'!$E:$E,'Disbursements Summary'!$C:$C,$C91,'Disbursements Summary'!$A:$A,"DOL")</f>
        <v>0</v>
      </c>
      <c r="AZ91" s="55">
        <f>SUMIFS('Awards Summary'!$H:$H,'Awards Summary'!$B:$B,$C91,'Awards Summary'!$J:$J,"DMV")</f>
        <v>0</v>
      </c>
      <c r="BA91" s="55">
        <f>SUMIFS('Disbursements Summary'!$E:$E,'Disbursements Summary'!$C:$C,$C91,'Disbursements Summary'!$A:$A,"DMV")</f>
        <v>0</v>
      </c>
      <c r="BB91" s="55">
        <f>SUMIFS('Awards Summary'!$H:$H,'Awards Summary'!$B:$B,$C91,'Awards Summary'!$J:$J,"DPS")</f>
        <v>0</v>
      </c>
      <c r="BC91" s="55">
        <f>SUMIFS('Disbursements Summary'!$E:$E,'Disbursements Summary'!$C:$C,$C91,'Disbursements Summary'!$A:$A,"DPS")</f>
        <v>0</v>
      </c>
      <c r="BD91" s="55">
        <f>SUMIFS('Awards Summary'!$H:$H,'Awards Summary'!$B:$B,$C91,'Awards Summary'!$J:$J,"DOS")</f>
        <v>0</v>
      </c>
      <c r="BE91" s="55">
        <f>SUMIFS('Disbursements Summary'!$E:$E,'Disbursements Summary'!$C:$C,$C91,'Disbursements Summary'!$A:$A,"DOS")</f>
        <v>0</v>
      </c>
      <c r="BF91" s="55">
        <f>SUMIFS('Awards Summary'!$H:$H,'Awards Summary'!$B:$B,$C91,'Awards Summary'!$J:$J,"TAX")</f>
        <v>0</v>
      </c>
      <c r="BG91" s="55">
        <f>SUMIFS('Disbursements Summary'!$E:$E,'Disbursements Summary'!$C:$C,$C91,'Disbursements Summary'!$A:$A,"TAX")</f>
        <v>0</v>
      </c>
      <c r="BH91" s="55">
        <f>SUMIFS('Awards Summary'!$H:$H,'Awards Summary'!$B:$B,$C91,'Awards Summary'!$J:$J,"DOT")</f>
        <v>0</v>
      </c>
      <c r="BI91" s="55">
        <f>SUMIFS('Disbursements Summary'!$E:$E,'Disbursements Summary'!$C:$C,$C91,'Disbursements Summary'!$A:$A,"DOT")</f>
        <v>0</v>
      </c>
      <c r="BJ91" s="55">
        <f>SUMIFS('Awards Summary'!$H:$H,'Awards Summary'!$B:$B,$C91,'Awards Summary'!$J:$J,"DANC")</f>
        <v>0</v>
      </c>
      <c r="BK91" s="55">
        <f>SUMIFS('Disbursements Summary'!$E:$E,'Disbursements Summary'!$C:$C,$C91,'Disbursements Summary'!$A:$A,"DANC")</f>
        <v>0</v>
      </c>
      <c r="BL91" s="55">
        <f>SUMIFS('Awards Summary'!$H:$H,'Awards Summary'!$B:$B,$C91,'Awards Summary'!$J:$J,"DOB")</f>
        <v>0</v>
      </c>
      <c r="BM91" s="55">
        <f>SUMIFS('Disbursements Summary'!$E:$E,'Disbursements Summary'!$C:$C,$C91,'Disbursements Summary'!$A:$A,"DOB")</f>
        <v>0</v>
      </c>
      <c r="BN91" s="55">
        <f>SUMIFS('Awards Summary'!$H:$H,'Awards Summary'!$B:$B,$C91,'Awards Summary'!$J:$J,"DCJS")</f>
        <v>0</v>
      </c>
      <c r="BO91" s="55">
        <f>SUMIFS('Disbursements Summary'!$E:$E,'Disbursements Summary'!$C:$C,$C91,'Disbursements Summary'!$A:$A,"DCJS")</f>
        <v>0</v>
      </c>
      <c r="BP91" s="55">
        <f>SUMIFS('Awards Summary'!$H:$H,'Awards Summary'!$B:$B,$C91,'Awards Summary'!$J:$J,"DHSES")</f>
        <v>0</v>
      </c>
      <c r="BQ91" s="55">
        <f>SUMIFS('Disbursements Summary'!$E:$E,'Disbursements Summary'!$C:$C,$C91,'Disbursements Summary'!$A:$A,"DHSES")</f>
        <v>0</v>
      </c>
      <c r="BR91" s="55">
        <f>SUMIFS('Awards Summary'!$H:$H,'Awards Summary'!$B:$B,$C91,'Awards Summary'!$J:$J,"DHR")</f>
        <v>0</v>
      </c>
      <c r="BS91" s="55">
        <f>SUMIFS('Disbursements Summary'!$E:$E,'Disbursements Summary'!$C:$C,$C91,'Disbursements Summary'!$A:$A,"DHR")</f>
        <v>0</v>
      </c>
      <c r="BT91" s="55">
        <f>SUMIFS('Awards Summary'!$H:$H,'Awards Summary'!$B:$B,$C91,'Awards Summary'!$J:$J,"DMNA")</f>
        <v>0</v>
      </c>
      <c r="BU91" s="55">
        <f>SUMIFS('Disbursements Summary'!$E:$E,'Disbursements Summary'!$C:$C,$C91,'Disbursements Summary'!$A:$A,"DMNA")</f>
        <v>0</v>
      </c>
      <c r="BV91" s="55">
        <f>SUMIFS('Awards Summary'!$H:$H,'Awards Summary'!$B:$B,$C91,'Awards Summary'!$J:$J,"TROOPERS")</f>
        <v>0</v>
      </c>
      <c r="BW91" s="55">
        <f>SUMIFS('Disbursements Summary'!$E:$E,'Disbursements Summary'!$C:$C,$C91,'Disbursements Summary'!$A:$A,"TROOPERS")</f>
        <v>0</v>
      </c>
      <c r="BX91" s="55">
        <f>SUMIFS('Awards Summary'!$H:$H,'Awards Summary'!$B:$B,$C91,'Awards Summary'!$J:$J,"DVA")</f>
        <v>0</v>
      </c>
      <c r="BY91" s="55">
        <f>SUMIFS('Disbursements Summary'!$E:$E,'Disbursements Summary'!$C:$C,$C91,'Disbursements Summary'!$A:$A,"DVA")</f>
        <v>0</v>
      </c>
      <c r="BZ91" s="55">
        <f>SUMIFS('Awards Summary'!$H:$H,'Awards Summary'!$B:$B,$C91,'Awards Summary'!$J:$J,"DASNY")</f>
        <v>0</v>
      </c>
      <c r="CA91" s="55">
        <f>SUMIFS('Disbursements Summary'!$E:$E,'Disbursements Summary'!$C:$C,$C91,'Disbursements Summary'!$A:$A,"DASNY")</f>
        <v>0</v>
      </c>
      <c r="CB91" s="55">
        <f>SUMIFS('Awards Summary'!$H:$H,'Awards Summary'!$B:$B,$C91,'Awards Summary'!$J:$J,"EGG")</f>
        <v>0</v>
      </c>
      <c r="CC91" s="55">
        <f>SUMIFS('Disbursements Summary'!$E:$E,'Disbursements Summary'!$C:$C,$C91,'Disbursements Summary'!$A:$A,"EGG")</f>
        <v>0</v>
      </c>
      <c r="CD91" s="55">
        <f>SUMIFS('Awards Summary'!$H:$H,'Awards Summary'!$B:$B,$C91,'Awards Summary'!$J:$J,"ESD")</f>
        <v>0</v>
      </c>
      <c r="CE91" s="55">
        <f>SUMIFS('Disbursements Summary'!$E:$E,'Disbursements Summary'!$C:$C,$C91,'Disbursements Summary'!$A:$A,"ESD")</f>
        <v>0</v>
      </c>
      <c r="CF91" s="55">
        <f>SUMIFS('Awards Summary'!$H:$H,'Awards Summary'!$B:$B,$C91,'Awards Summary'!$J:$J,"EFC")</f>
        <v>0</v>
      </c>
      <c r="CG91" s="55">
        <f>SUMIFS('Disbursements Summary'!$E:$E,'Disbursements Summary'!$C:$C,$C91,'Disbursements Summary'!$A:$A,"EFC")</f>
        <v>0</v>
      </c>
      <c r="CH91" s="55">
        <f>SUMIFS('Awards Summary'!$H:$H,'Awards Summary'!$B:$B,$C91,'Awards Summary'!$J:$J,"ECFSA")</f>
        <v>0</v>
      </c>
      <c r="CI91" s="55">
        <f>SUMIFS('Disbursements Summary'!$E:$E,'Disbursements Summary'!$C:$C,$C91,'Disbursements Summary'!$A:$A,"ECFSA")</f>
        <v>0</v>
      </c>
      <c r="CJ91" s="55">
        <f>SUMIFS('Awards Summary'!$H:$H,'Awards Summary'!$B:$B,$C91,'Awards Summary'!$J:$J,"ECMC")</f>
        <v>0</v>
      </c>
      <c r="CK91" s="55">
        <f>SUMIFS('Disbursements Summary'!$E:$E,'Disbursements Summary'!$C:$C,$C91,'Disbursements Summary'!$A:$A,"ECMC")</f>
        <v>0</v>
      </c>
      <c r="CL91" s="55">
        <f>SUMIFS('Awards Summary'!$H:$H,'Awards Summary'!$B:$B,$C91,'Awards Summary'!$J:$J,"CHAMBER")</f>
        <v>0</v>
      </c>
      <c r="CM91" s="55">
        <f>SUMIFS('Disbursements Summary'!$E:$E,'Disbursements Summary'!$C:$C,$C91,'Disbursements Summary'!$A:$A,"CHAMBER")</f>
        <v>0</v>
      </c>
      <c r="CN91" s="55">
        <f>SUMIFS('Awards Summary'!$H:$H,'Awards Summary'!$B:$B,$C91,'Awards Summary'!$J:$J,"GAMING")</f>
        <v>0</v>
      </c>
      <c r="CO91" s="55">
        <f>SUMIFS('Disbursements Summary'!$E:$E,'Disbursements Summary'!$C:$C,$C91,'Disbursements Summary'!$A:$A,"GAMING")</f>
        <v>0</v>
      </c>
      <c r="CP91" s="55">
        <f>SUMIFS('Awards Summary'!$H:$H,'Awards Summary'!$B:$B,$C91,'Awards Summary'!$J:$J,"GOER")</f>
        <v>0</v>
      </c>
      <c r="CQ91" s="55">
        <f>SUMIFS('Disbursements Summary'!$E:$E,'Disbursements Summary'!$C:$C,$C91,'Disbursements Summary'!$A:$A,"GOER")</f>
        <v>0</v>
      </c>
      <c r="CR91" s="55">
        <f>SUMIFS('Awards Summary'!$H:$H,'Awards Summary'!$B:$B,$C91,'Awards Summary'!$J:$J,"HESC")</f>
        <v>0</v>
      </c>
      <c r="CS91" s="55">
        <f>SUMIFS('Disbursements Summary'!$E:$E,'Disbursements Summary'!$C:$C,$C91,'Disbursements Summary'!$A:$A,"HESC")</f>
        <v>0</v>
      </c>
      <c r="CT91" s="55">
        <f>SUMIFS('Awards Summary'!$H:$H,'Awards Summary'!$B:$B,$C91,'Awards Summary'!$J:$J,"GOSR")</f>
        <v>0</v>
      </c>
      <c r="CU91" s="55">
        <f>SUMIFS('Disbursements Summary'!$E:$E,'Disbursements Summary'!$C:$C,$C91,'Disbursements Summary'!$A:$A,"GOSR")</f>
        <v>0</v>
      </c>
      <c r="CV91" s="55">
        <f>SUMIFS('Awards Summary'!$H:$H,'Awards Summary'!$B:$B,$C91,'Awards Summary'!$J:$J,"HRPT")</f>
        <v>0</v>
      </c>
      <c r="CW91" s="55">
        <f>SUMIFS('Disbursements Summary'!$E:$E,'Disbursements Summary'!$C:$C,$C91,'Disbursements Summary'!$A:$A,"HRPT")</f>
        <v>0</v>
      </c>
      <c r="CX91" s="55">
        <f>SUMIFS('Awards Summary'!$H:$H,'Awards Summary'!$B:$B,$C91,'Awards Summary'!$J:$J,"HRBRRD")</f>
        <v>0</v>
      </c>
      <c r="CY91" s="55">
        <f>SUMIFS('Disbursements Summary'!$E:$E,'Disbursements Summary'!$C:$C,$C91,'Disbursements Summary'!$A:$A,"HRBRRD")</f>
        <v>0</v>
      </c>
      <c r="CZ91" s="55">
        <f>SUMIFS('Awards Summary'!$H:$H,'Awards Summary'!$B:$B,$C91,'Awards Summary'!$J:$J,"ITS")</f>
        <v>0</v>
      </c>
      <c r="DA91" s="55">
        <f>SUMIFS('Disbursements Summary'!$E:$E,'Disbursements Summary'!$C:$C,$C91,'Disbursements Summary'!$A:$A,"ITS")</f>
        <v>0</v>
      </c>
      <c r="DB91" s="55">
        <f>SUMIFS('Awards Summary'!$H:$H,'Awards Summary'!$B:$B,$C91,'Awards Summary'!$J:$J,"JAVITS")</f>
        <v>0</v>
      </c>
      <c r="DC91" s="55">
        <f>SUMIFS('Disbursements Summary'!$E:$E,'Disbursements Summary'!$C:$C,$C91,'Disbursements Summary'!$A:$A,"JAVITS")</f>
        <v>0</v>
      </c>
      <c r="DD91" s="55">
        <f>SUMIFS('Awards Summary'!$H:$H,'Awards Summary'!$B:$B,$C91,'Awards Summary'!$J:$J,"JCOPE")</f>
        <v>0</v>
      </c>
      <c r="DE91" s="55">
        <f>SUMIFS('Disbursements Summary'!$E:$E,'Disbursements Summary'!$C:$C,$C91,'Disbursements Summary'!$A:$A,"JCOPE")</f>
        <v>0</v>
      </c>
      <c r="DF91" s="55">
        <f>SUMIFS('Awards Summary'!$H:$H,'Awards Summary'!$B:$B,$C91,'Awards Summary'!$J:$J,"JUSTICE")</f>
        <v>0</v>
      </c>
      <c r="DG91" s="55">
        <f>SUMIFS('Disbursements Summary'!$E:$E,'Disbursements Summary'!$C:$C,$C91,'Disbursements Summary'!$A:$A,"JUSTICE")</f>
        <v>0</v>
      </c>
      <c r="DH91" s="55">
        <f>SUMIFS('Awards Summary'!$H:$H,'Awards Summary'!$B:$B,$C91,'Awards Summary'!$J:$J,"LCWSA")</f>
        <v>0</v>
      </c>
      <c r="DI91" s="55">
        <f>SUMIFS('Disbursements Summary'!$E:$E,'Disbursements Summary'!$C:$C,$C91,'Disbursements Summary'!$A:$A,"LCWSA")</f>
        <v>0</v>
      </c>
      <c r="DJ91" s="55">
        <f>SUMIFS('Awards Summary'!$H:$H,'Awards Summary'!$B:$B,$C91,'Awards Summary'!$J:$J,"LIPA")</f>
        <v>0</v>
      </c>
      <c r="DK91" s="55">
        <f>SUMIFS('Disbursements Summary'!$E:$E,'Disbursements Summary'!$C:$C,$C91,'Disbursements Summary'!$A:$A,"LIPA")</f>
        <v>0</v>
      </c>
      <c r="DL91" s="55">
        <f>SUMIFS('Awards Summary'!$H:$H,'Awards Summary'!$B:$B,$C91,'Awards Summary'!$J:$J,"MTA")</f>
        <v>0</v>
      </c>
      <c r="DM91" s="55">
        <f>SUMIFS('Disbursements Summary'!$E:$E,'Disbursements Summary'!$C:$C,$C91,'Disbursements Summary'!$A:$A,"MTA")</f>
        <v>0</v>
      </c>
      <c r="DN91" s="55">
        <f>SUMIFS('Awards Summary'!$H:$H,'Awards Summary'!$B:$B,$C91,'Awards Summary'!$J:$J,"NIFA")</f>
        <v>0</v>
      </c>
      <c r="DO91" s="55">
        <f>SUMIFS('Disbursements Summary'!$E:$E,'Disbursements Summary'!$C:$C,$C91,'Disbursements Summary'!$A:$A,"NIFA")</f>
        <v>0</v>
      </c>
      <c r="DP91" s="55">
        <f>SUMIFS('Awards Summary'!$H:$H,'Awards Summary'!$B:$B,$C91,'Awards Summary'!$J:$J,"NHCC")</f>
        <v>0</v>
      </c>
      <c r="DQ91" s="55">
        <f>SUMIFS('Disbursements Summary'!$E:$E,'Disbursements Summary'!$C:$C,$C91,'Disbursements Summary'!$A:$A,"NHCC")</f>
        <v>0</v>
      </c>
      <c r="DR91" s="55">
        <f>SUMIFS('Awards Summary'!$H:$H,'Awards Summary'!$B:$B,$C91,'Awards Summary'!$J:$J,"NHT")</f>
        <v>0</v>
      </c>
      <c r="DS91" s="55">
        <f>SUMIFS('Disbursements Summary'!$E:$E,'Disbursements Summary'!$C:$C,$C91,'Disbursements Summary'!$A:$A,"NHT")</f>
        <v>0</v>
      </c>
      <c r="DT91" s="55">
        <f>SUMIFS('Awards Summary'!$H:$H,'Awards Summary'!$B:$B,$C91,'Awards Summary'!$J:$J,"NYPA")</f>
        <v>0</v>
      </c>
      <c r="DU91" s="55">
        <f>SUMIFS('Disbursements Summary'!$E:$E,'Disbursements Summary'!$C:$C,$C91,'Disbursements Summary'!$A:$A,"NYPA")</f>
        <v>0</v>
      </c>
      <c r="DV91" s="55">
        <f>SUMIFS('Awards Summary'!$H:$H,'Awards Summary'!$B:$B,$C91,'Awards Summary'!$J:$J,"NYSBA")</f>
        <v>0</v>
      </c>
      <c r="DW91" s="55">
        <f>SUMIFS('Disbursements Summary'!$E:$E,'Disbursements Summary'!$C:$C,$C91,'Disbursements Summary'!$A:$A,"NYSBA")</f>
        <v>0</v>
      </c>
      <c r="DX91" s="55">
        <f>SUMIFS('Awards Summary'!$H:$H,'Awards Summary'!$B:$B,$C91,'Awards Summary'!$J:$J,"NYSERDA")</f>
        <v>0</v>
      </c>
      <c r="DY91" s="55">
        <f>SUMIFS('Disbursements Summary'!$E:$E,'Disbursements Summary'!$C:$C,$C91,'Disbursements Summary'!$A:$A,"NYSERDA")</f>
        <v>0</v>
      </c>
      <c r="DZ91" s="55">
        <f>SUMIFS('Awards Summary'!$H:$H,'Awards Summary'!$B:$B,$C91,'Awards Summary'!$J:$J,"DHCR")</f>
        <v>0</v>
      </c>
      <c r="EA91" s="55">
        <f>SUMIFS('Disbursements Summary'!$E:$E,'Disbursements Summary'!$C:$C,$C91,'Disbursements Summary'!$A:$A,"DHCR")</f>
        <v>0</v>
      </c>
      <c r="EB91" s="55">
        <f>SUMIFS('Awards Summary'!$H:$H,'Awards Summary'!$B:$B,$C91,'Awards Summary'!$J:$J,"HFA")</f>
        <v>0</v>
      </c>
      <c r="EC91" s="55">
        <f>SUMIFS('Disbursements Summary'!$E:$E,'Disbursements Summary'!$C:$C,$C91,'Disbursements Summary'!$A:$A,"HFA")</f>
        <v>0</v>
      </c>
      <c r="ED91" s="55">
        <f>SUMIFS('Awards Summary'!$H:$H,'Awards Summary'!$B:$B,$C91,'Awards Summary'!$J:$J,"NYSIF")</f>
        <v>0</v>
      </c>
      <c r="EE91" s="55">
        <f>SUMIFS('Disbursements Summary'!$E:$E,'Disbursements Summary'!$C:$C,$C91,'Disbursements Summary'!$A:$A,"NYSIF")</f>
        <v>0</v>
      </c>
      <c r="EF91" s="55">
        <f>SUMIFS('Awards Summary'!$H:$H,'Awards Summary'!$B:$B,$C91,'Awards Summary'!$J:$J,"NYBREDS")</f>
        <v>0</v>
      </c>
      <c r="EG91" s="55">
        <f>SUMIFS('Disbursements Summary'!$E:$E,'Disbursements Summary'!$C:$C,$C91,'Disbursements Summary'!$A:$A,"NYBREDS")</f>
        <v>0</v>
      </c>
      <c r="EH91" s="55">
        <f>SUMIFS('Awards Summary'!$H:$H,'Awards Summary'!$B:$B,$C91,'Awards Summary'!$J:$J,"NYSTA")</f>
        <v>0</v>
      </c>
      <c r="EI91" s="55">
        <f>SUMIFS('Disbursements Summary'!$E:$E,'Disbursements Summary'!$C:$C,$C91,'Disbursements Summary'!$A:$A,"NYSTA")</f>
        <v>0</v>
      </c>
      <c r="EJ91" s="55">
        <f>SUMIFS('Awards Summary'!$H:$H,'Awards Summary'!$B:$B,$C91,'Awards Summary'!$J:$J,"NFWB")</f>
        <v>0</v>
      </c>
      <c r="EK91" s="55">
        <f>SUMIFS('Disbursements Summary'!$E:$E,'Disbursements Summary'!$C:$C,$C91,'Disbursements Summary'!$A:$A,"NFWB")</f>
        <v>0</v>
      </c>
      <c r="EL91" s="55">
        <f>SUMIFS('Awards Summary'!$H:$H,'Awards Summary'!$B:$B,$C91,'Awards Summary'!$J:$J,"NFTA")</f>
        <v>0</v>
      </c>
      <c r="EM91" s="55">
        <f>SUMIFS('Disbursements Summary'!$E:$E,'Disbursements Summary'!$C:$C,$C91,'Disbursements Summary'!$A:$A,"NFTA")</f>
        <v>0</v>
      </c>
      <c r="EN91" s="55">
        <f>SUMIFS('Awards Summary'!$H:$H,'Awards Summary'!$B:$B,$C91,'Awards Summary'!$J:$J,"OPWDD")</f>
        <v>0</v>
      </c>
      <c r="EO91" s="55">
        <f>SUMIFS('Disbursements Summary'!$E:$E,'Disbursements Summary'!$C:$C,$C91,'Disbursements Summary'!$A:$A,"OPWDD")</f>
        <v>0</v>
      </c>
      <c r="EP91" s="55">
        <f>SUMIFS('Awards Summary'!$H:$H,'Awards Summary'!$B:$B,$C91,'Awards Summary'!$J:$J,"AGING")</f>
        <v>0</v>
      </c>
      <c r="EQ91" s="55">
        <f>SUMIFS('Disbursements Summary'!$E:$E,'Disbursements Summary'!$C:$C,$C91,'Disbursements Summary'!$A:$A,"AGING")</f>
        <v>0</v>
      </c>
      <c r="ER91" s="55">
        <f>SUMIFS('Awards Summary'!$H:$H,'Awards Summary'!$B:$B,$C91,'Awards Summary'!$J:$J,"OPDV")</f>
        <v>0</v>
      </c>
      <c r="ES91" s="55">
        <f>SUMIFS('Disbursements Summary'!$E:$E,'Disbursements Summary'!$C:$C,$C91,'Disbursements Summary'!$A:$A,"OPDV")</f>
        <v>0</v>
      </c>
      <c r="ET91" s="55">
        <f>SUMIFS('Awards Summary'!$H:$H,'Awards Summary'!$B:$B,$C91,'Awards Summary'!$J:$J,"OVS")</f>
        <v>0</v>
      </c>
      <c r="EU91" s="55">
        <f>SUMIFS('Disbursements Summary'!$E:$E,'Disbursements Summary'!$C:$C,$C91,'Disbursements Summary'!$A:$A,"OVS")</f>
        <v>0</v>
      </c>
      <c r="EV91" s="55">
        <f>SUMIFS('Awards Summary'!$H:$H,'Awards Summary'!$B:$B,$C91,'Awards Summary'!$J:$J,"OASAS")</f>
        <v>0</v>
      </c>
      <c r="EW91" s="55">
        <f>SUMIFS('Disbursements Summary'!$E:$E,'Disbursements Summary'!$C:$C,$C91,'Disbursements Summary'!$A:$A,"OASAS")</f>
        <v>0</v>
      </c>
      <c r="EX91" s="55">
        <f>SUMIFS('Awards Summary'!$H:$H,'Awards Summary'!$B:$B,$C91,'Awards Summary'!$J:$J,"OCFS")</f>
        <v>0</v>
      </c>
      <c r="EY91" s="55">
        <f>SUMIFS('Disbursements Summary'!$E:$E,'Disbursements Summary'!$C:$C,$C91,'Disbursements Summary'!$A:$A,"OCFS")</f>
        <v>0</v>
      </c>
      <c r="EZ91" s="55">
        <f>SUMIFS('Awards Summary'!$H:$H,'Awards Summary'!$B:$B,$C91,'Awards Summary'!$J:$J,"OGS")</f>
        <v>0</v>
      </c>
      <c r="FA91" s="55">
        <f>SUMIFS('Disbursements Summary'!$E:$E,'Disbursements Summary'!$C:$C,$C91,'Disbursements Summary'!$A:$A,"OGS")</f>
        <v>0</v>
      </c>
      <c r="FB91" s="55">
        <f>SUMIFS('Awards Summary'!$H:$H,'Awards Summary'!$B:$B,$C91,'Awards Summary'!$J:$J,"OMH")</f>
        <v>0</v>
      </c>
      <c r="FC91" s="55">
        <f>SUMIFS('Disbursements Summary'!$E:$E,'Disbursements Summary'!$C:$C,$C91,'Disbursements Summary'!$A:$A,"OMH")</f>
        <v>0</v>
      </c>
      <c r="FD91" s="55">
        <f>SUMIFS('Awards Summary'!$H:$H,'Awards Summary'!$B:$B,$C91,'Awards Summary'!$J:$J,"PARKS")</f>
        <v>0</v>
      </c>
      <c r="FE91" s="55">
        <f>SUMIFS('Disbursements Summary'!$E:$E,'Disbursements Summary'!$C:$C,$C91,'Disbursements Summary'!$A:$A,"PARKS")</f>
        <v>0</v>
      </c>
      <c r="FF91" s="55">
        <f>SUMIFS('Awards Summary'!$H:$H,'Awards Summary'!$B:$B,$C91,'Awards Summary'!$J:$J,"OTDA")</f>
        <v>0</v>
      </c>
      <c r="FG91" s="55">
        <f>SUMIFS('Disbursements Summary'!$E:$E,'Disbursements Summary'!$C:$C,$C91,'Disbursements Summary'!$A:$A,"OTDA")</f>
        <v>0</v>
      </c>
      <c r="FH91" s="55">
        <f>SUMIFS('Awards Summary'!$H:$H,'Awards Summary'!$B:$B,$C91,'Awards Summary'!$J:$J,"OIG")</f>
        <v>0</v>
      </c>
      <c r="FI91" s="55">
        <f>SUMIFS('Disbursements Summary'!$E:$E,'Disbursements Summary'!$C:$C,$C91,'Disbursements Summary'!$A:$A,"OIG")</f>
        <v>0</v>
      </c>
      <c r="FJ91" s="55">
        <f>SUMIFS('Awards Summary'!$H:$H,'Awards Summary'!$B:$B,$C91,'Awards Summary'!$J:$J,"OMIG")</f>
        <v>0</v>
      </c>
      <c r="FK91" s="55">
        <f>SUMIFS('Disbursements Summary'!$E:$E,'Disbursements Summary'!$C:$C,$C91,'Disbursements Summary'!$A:$A,"OMIG")</f>
        <v>0</v>
      </c>
      <c r="FL91" s="55">
        <f>SUMIFS('Awards Summary'!$H:$H,'Awards Summary'!$B:$B,$C91,'Awards Summary'!$J:$J,"OSC")</f>
        <v>0</v>
      </c>
      <c r="FM91" s="55">
        <f>SUMIFS('Disbursements Summary'!$E:$E,'Disbursements Summary'!$C:$C,$C91,'Disbursements Summary'!$A:$A,"OSC")</f>
        <v>0</v>
      </c>
      <c r="FN91" s="55">
        <f>SUMIFS('Awards Summary'!$H:$H,'Awards Summary'!$B:$B,$C91,'Awards Summary'!$J:$J,"OWIG")</f>
        <v>0</v>
      </c>
      <c r="FO91" s="55">
        <f>SUMIFS('Disbursements Summary'!$E:$E,'Disbursements Summary'!$C:$C,$C91,'Disbursements Summary'!$A:$A,"OWIG")</f>
        <v>0</v>
      </c>
      <c r="FP91" s="55">
        <f>SUMIFS('Awards Summary'!$H:$H,'Awards Summary'!$B:$B,$C91,'Awards Summary'!$J:$J,"OGDEN")</f>
        <v>0</v>
      </c>
      <c r="FQ91" s="55">
        <f>SUMIFS('Disbursements Summary'!$E:$E,'Disbursements Summary'!$C:$C,$C91,'Disbursements Summary'!$A:$A,"OGDEN")</f>
        <v>0</v>
      </c>
      <c r="FR91" s="55">
        <f>SUMIFS('Awards Summary'!$H:$H,'Awards Summary'!$B:$B,$C91,'Awards Summary'!$J:$J,"ORDA")</f>
        <v>0</v>
      </c>
      <c r="FS91" s="55">
        <f>SUMIFS('Disbursements Summary'!$E:$E,'Disbursements Summary'!$C:$C,$C91,'Disbursements Summary'!$A:$A,"ORDA")</f>
        <v>0</v>
      </c>
      <c r="FT91" s="55">
        <f>SUMIFS('Awards Summary'!$H:$H,'Awards Summary'!$B:$B,$C91,'Awards Summary'!$J:$J,"OSWEGO")</f>
        <v>0</v>
      </c>
      <c r="FU91" s="55">
        <f>SUMIFS('Disbursements Summary'!$E:$E,'Disbursements Summary'!$C:$C,$C91,'Disbursements Summary'!$A:$A,"OSWEGO")</f>
        <v>0</v>
      </c>
      <c r="FV91" s="55">
        <f>SUMIFS('Awards Summary'!$H:$H,'Awards Summary'!$B:$B,$C91,'Awards Summary'!$J:$J,"PERB")</f>
        <v>0</v>
      </c>
      <c r="FW91" s="55">
        <f>SUMIFS('Disbursements Summary'!$E:$E,'Disbursements Summary'!$C:$C,$C91,'Disbursements Summary'!$A:$A,"PERB")</f>
        <v>0</v>
      </c>
      <c r="FX91" s="55">
        <f>SUMIFS('Awards Summary'!$H:$H,'Awards Summary'!$B:$B,$C91,'Awards Summary'!$J:$J,"RGRTA")</f>
        <v>0</v>
      </c>
      <c r="FY91" s="55">
        <f>SUMIFS('Disbursements Summary'!$E:$E,'Disbursements Summary'!$C:$C,$C91,'Disbursements Summary'!$A:$A,"RGRTA")</f>
        <v>0</v>
      </c>
      <c r="FZ91" s="55">
        <f>SUMIFS('Awards Summary'!$H:$H,'Awards Summary'!$B:$B,$C91,'Awards Summary'!$J:$J,"RIOC")</f>
        <v>0</v>
      </c>
      <c r="GA91" s="55">
        <f>SUMIFS('Disbursements Summary'!$E:$E,'Disbursements Summary'!$C:$C,$C91,'Disbursements Summary'!$A:$A,"RIOC")</f>
        <v>0</v>
      </c>
      <c r="GB91" s="55">
        <f>SUMIFS('Awards Summary'!$H:$H,'Awards Summary'!$B:$B,$C91,'Awards Summary'!$J:$J,"RPCI")</f>
        <v>0</v>
      </c>
      <c r="GC91" s="55">
        <f>SUMIFS('Disbursements Summary'!$E:$E,'Disbursements Summary'!$C:$C,$C91,'Disbursements Summary'!$A:$A,"RPCI")</f>
        <v>0</v>
      </c>
      <c r="GD91" s="55">
        <f>SUMIFS('Awards Summary'!$H:$H,'Awards Summary'!$B:$B,$C91,'Awards Summary'!$J:$J,"SMDA")</f>
        <v>0</v>
      </c>
      <c r="GE91" s="55">
        <f>SUMIFS('Disbursements Summary'!$E:$E,'Disbursements Summary'!$C:$C,$C91,'Disbursements Summary'!$A:$A,"SMDA")</f>
        <v>0</v>
      </c>
      <c r="GF91" s="55">
        <f>SUMIFS('Awards Summary'!$H:$H,'Awards Summary'!$B:$B,$C91,'Awards Summary'!$J:$J,"SCOC")</f>
        <v>0</v>
      </c>
      <c r="GG91" s="55">
        <f>SUMIFS('Disbursements Summary'!$E:$E,'Disbursements Summary'!$C:$C,$C91,'Disbursements Summary'!$A:$A,"SCOC")</f>
        <v>0</v>
      </c>
      <c r="GH91" s="55">
        <f>SUMIFS('Awards Summary'!$H:$H,'Awards Summary'!$B:$B,$C91,'Awards Summary'!$J:$J,"SUCF")</f>
        <v>0</v>
      </c>
      <c r="GI91" s="55">
        <f>SUMIFS('Disbursements Summary'!$E:$E,'Disbursements Summary'!$C:$C,$C91,'Disbursements Summary'!$A:$A,"SUCF")</f>
        <v>0</v>
      </c>
      <c r="GJ91" s="55">
        <f>SUMIFS('Awards Summary'!$H:$H,'Awards Summary'!$B:$B,$C91,'Awards Summary'!$J:$J,"SUNY")</f>
        <v>0</v>
      </c>
      <c r="GK91" s="55">
        <f>SUMIFS('Disbursements Summary'!$E:$E,'Disbursements Summary'!$C:$C,$C91,'Disbursements Summary'!$A:$A,"SUNY")</f>
        <v>0</v>
      </c>
      <c r="GL91" s="55">
        <f>SUMIFS('Awards Summary'!$H:$H,'Awards Summary'!$B:$B,$C91,'Awards Summary'!$J:$J,"SRAA")</f>
        <v>0</v>
      </c>
      <c r="GM91" s="55">
        <f>SUMIFS('Disbursements Summary'!$E:$E,'Disbursements Summary'!$C:$C,$C91,'Disbursements Summary'!$A:$A,"SRAA")</f>
        <v>0</v>
      </c>
      <c r="GN91" s="55">
        <f>SUMIFS('Awards Summary'!$H:$H,'Awards Summary'!$B:$B,$C91,'Awards Summary'!$J:$J,"UNDC")</f>
        <v>0</v>
      </c>
      <c r="GO91" s="55">
        <f>SUMIFS('Disbursements Summary'!$E:$E,'Disbursements Summary'!$C:$C,$C91,'Disbursements Summary'!$A:$A,"UNDC")</f>
        <v>0</v>
      </c>
      <c r="GP91" s="55">
        <f>SUMIFS('Awards Summary'!$H:$H,'Awards Summary'!$B:$B,$C91,'Awards Summary'!$J:$J,"MVWA")</f>
        <v>0</v>
      </c>
      <c r="GQ91" s="55">
        <f>SUMIFS('Disbursements Summary'!$E:$E,'Disbursements Summary'!$C:$C,$C91,'Disbursements Summary'!$A:$A,"MVWA")</f>
        <v>0</v>
      </c>
      <c r="GR91" s="55">
        <f>SUMIFS('Awards Summary'!$H:$H,'Awards Summary'!$B:$B,$C91,'Awards Summary'!$J:$J,"WMC")</f>
        <v>0</v>
      </c>
      <c r="GS91" s="55">
        <f>SUMIFS('Disbursements Summary'!$E:$E,'Disbursements Summary'!$C:$C,$C91,'Disbursements Summary'!$A:$A,"WMC")</f>
        <v>0</v>
      </c>
      <c r="GT91" s="55">
        <f>SUMIFS('Awards Summary'!$H:$H,'Awards Summary'!$B:$B,$C91,'Awards Summary'!$J:$J,"WCB")</f>
        <v>0</v>
      </c>
      <c r="GU91" s="55">
        <f>SUMIFS('Disbursements Summary'!$E:$E,'Disbursements Summary'!$C:$C,$C91,'Disbursements Summary'!$A:$A,"WCB")</f>
        <v>0</v>
      </c>
      <c r="GV91" s="32">
        <f t="shared" si="10"/>
        <v>0</v>
      </c>
      <c r="GW91" s="32">
        <f t="shared" si="11"/>
        <v>0</v>
      </c>
      <c r="GX91" s="30" t="b">
        <f t="shared" si="12"/>
        <v>1</v>
      </c>
      <c r="GY91" s="30" t="b">
        <f t="shared" si="13"/>
        <v>1</v>
      </c>
    </row>
    <row r="92" spans="1:207" s="30" customFormat="1">
      <c r="A92" s="22" t="str">
        <f t="shared" si="9"/>
        <v/>
      </c>
      <c r="B92" s="64" t="s">
        <v>463</v>
      </c>
      <c r="C92" s="65">
        <v>151188</v>
      </c>
      <c r="D92" s="66">
        <f>COUNTIF('Awards Summary'!B:B,"151188")</f>
        <v>0</v>
      </c>
      <c r="E92" s="67">
        <f>SUMIFS('Awards Summary'!H:H,'Awards Summary'!B:B,"151188")</f>
        <v>0</v>
      </c>
      <c r="F92" s="68">
        <f>SUMIFS('Disbursements Summary'!E:E,'Disbursements Summary'!C:C, "151188")</f>
        <v>0</v>
      </c>
      <c r="H92" s="55">
        <f>SUMIFS('Awards Summary'!$H:$H,'Awards Summary'!$B:$B,$C92,'Awards Summary'!$J:$J,"APA")</f>
        <v>0</v>
      </c>
      <c r="I92" s="55">
        <f>SUMIFS('Disbursements Summary'!$E:$E,'Disbursements Summary'!$C:$C,$C92,'Disbursements Summary'!$A:$A,"APA")</f>
        <v>0</v>
      </c>
      <c r="J92" s="55">
        <f>SUMIFS('Awards Summary'!$H:$H,'Awards Summary'!$B:$B,$C92,'Awards Summary'!$J:$J,"Ag&amp;Horse")</f>
        <v>0</v>
      </c>
      <c r="K92" s="55">
        <f>SUMIFS('Disbursements Summary'!$E:$E,'Disbursements Summary'!$C:$C,$C92,'Disbursements Summary'!$A:$A,"Ag&amp;Horse")</f>
        <v>0</v>
      </c>
      <c r="L92" s="55">
        <f>SUMIFS('Awards Summary'!$H:$H,'Awards Summary'!$B:$B,$C92,'Awards Summary'!$J:$J,"ACAA")</f>
        <v>0</v>
      </c>
      <c r="M92" s="55">
        <f>SUMIFS('Disbursements Summary'!$E:$E,'Disbursements Summary'!$C:$C,$C92,'Disbursements Summary'!$A:$A,"ACAA")</f>
        <v>0</v>
      </c>
      <c r="N92" s="55">
        <f>SUMIFS('Awards Summary'!$H:$H,'Awards Summary'!$B:$B,$C92,'Awards Summary'!$J:$J,"PortAlbany")</f>
        <v>0</v>
      </c>
      <c r="O92" s="55">
        <f>SUMIFS('Disbursements Summary'!$E:$E,'Disbursements Summary'!$C:$C,$C92,'Disbursements Summary'!$A:$A,"PortAlbany")</f>
        <v>0</v>
      </c>
      <c r="P92" s="55">
        <f>SUMIFS('Awards Summary'!$H:$H,'Awards Summary'!$B:$B,$C92,'Awards Summary'!$J:$J,"SLA")</f>
        <v>0</v>
      </c>
      <c r="Q92" s="55">
        <f>SUMIFS('Disbursements Summary'!$E:$E,'Disbursements Summary'!$C:$C,$C92,'Disbursements Summary'!$A:$A,"SLA")</f>
        <v>0</v>
      </c>
      <c r="R92" s="55">
        <f>SUMIFS('Awards Summary'!$H:$H,'Awards Summary'!$B:$B,$C92,'Awards Summary'!$J:$J,"BPCA")</f>
        <v>0</v>
      </c>
      <c r="S92" s="55">
        <f>SUMIFS('Disbursements Summary'!$E:$E,'Disbursements Summary'!$C:$C,$C92,'Disbursements Summary'!$A:$A,"BPCA")</f>
        <v>0</v>
      </c>
      <c r="T92" s="55">
        <f>SUMIFS('Awards Summary'!$H:$H,'Awards Summary'!$B:$B,$C92,'Awards Summary'!$J:$J,"ELECTIONS")</f>
        <v>0</v>
      </c>
      <c r="U92" s="55">
        <f>SUMIFS('Disbursements Summary'!$E:$E,'Disbursements Summary'!$C:$C,$C92,'Disbursements Summary'!$A:$A,"ELECTIONS")</f>
        <v>0</v>
      </c>
      <c r="V92" s="55">
        <f>SUMIFS('Awards Summary'!$H:$H,'Awards Summary'!$B:$B,$C92,'Awards Summary'!$J:$J,"BFSA")</f>
        <v>0</v>
      </c>
      <c r="W92" s="55">
        <f>SUMIFS('Disbursements Summary'!$E:$E,'Disbursements Summary'!$C:$C,$C92,'Disbursements Summary'!$A:$A,"BFSA")</f>
        <v>0</v>
      </c>
      <c r="X92" s="55">
        <f>SUMIFS('Awards Summary'!$H:$H,'Awards Summary'!$B:$B,$C92,'Awards Summary'!$J:$J,"CDTA")</f>
        <v>0</v>
      </c>
      <c r="Y92" s="55">
        <f>SUMIFS('Disbursements Summary'!$E:$E,'Disbursements Summary'!$C:$C,$C92,'Disbursements Summary'!$A:$A,"CDTA")</f>
        <v>0</v>
      </c>
      <c r="Z92" s="55">
        <f>SUMIFS('Awards Summary'!$H:$H,'Awards Summary'!$B:$B,$C92,'Awards Summary'!$J:$J,"CCWSA")</f>
        <v>0</v>
      </c>
      <c r="AA92" s="55">
        <f>SUMIFS('Disbursements Summary'!$E:$E,'Disbursements Summary'!$C:$C,$C92,'Disbursements Summary'!$A:$A,"CCWSA")</f>
        <v>0</v>
      </c>
      <c r="AB92" s="55">
        <f>SUMIFS('Awards Summary'!$H:$H,'Awards Summary'!$B:$B,$C92,'Awards Summary'!$J:$J,"CNYRTA")</f>
        <v>0</v>
      </c>
      <c r="AC92" s="55">
        <f>SUMIFS('Disbursements Summary'!$E:$E,'Disbursements Summary'!$C:$C,$C92,'Disbursements Summary'!$A:$A,"CNYRTA")</f>
        <v>0</v>
      </c>
      <c r="AD92" s="55">
        <f>SUMIFS('Awards Summary'!$H:$H,'Awards Summary'!$B:$B,$C92,'Awards Summary'!$J:$J,"CUCF")</f>
        <v>0</v>
      </c>
      <c r="AE92" s="55">
        <f>SUMIFS('Disbursements Summary'!$E:$E,'Disbursements Summary'!$C:$C,$C92,'Disbursements Summary'!$A:$A,"CUCF")</f>
        <v>0</v>
      </c>
      <c r="AF92" s="55">
        <f>SUMIFS('Awards Summary'!$H:$H,'Awards Summary'!$B:$B,$C92,'Awards Summary'!$J:$J,"CUNY")</f>
        <v>0</v>
      </c>
      <c r="AG92" s="55">
        <f>SUMIFS('Disbursements Summary'!$E:$E,'Disbursements Summary'!$C:$C,$C92,'Disbursements Summary'!$A:$A,"CUNY")</f>
        <v>0</v>
      </c>
      <c r="AH92" s="55">
        <f>SUMIFS('Awards Summary'!$H:$H,'Awards Summary'!$B:$B,$C92,'Awards Summary'!$J:$J,"ARTS")</f>
        <v>0</v>
      </c>
      <c r="AI92" s="55">
        <f>SUMIFS('Disbursements Summary'!$E:$E,'Disbursements Summary'!$C:$C,$C92,'Disbursements Summary'!$A:$A,"ARTS")</f>
        <v>0</v>
      </c>
      <c r="AJ92" s="55">
        <f>SUMIFS('Awards Summary'!$H:$H,'Awards Summary'!$B:$B,$C92,'Awards Summary'!$J:$J,"AG&amp;MKTS")</f>
        <v>0</v>
      </c>
      <c r="AK92" s="55">
        <f>SUMIFS('Disbursements Summary'!$E:$E,'Disbursements Summary'!$C:$C,$C92,'Disbursements Summary'!$A:$A,"AG&amp;MKTS")</f>
        <v>0</v>
      </c>
      <c r="AL92" s="55">
        <f>SUMIFS('Awards Summary'!$H:$H,'Awards Summary'!$B:$B,$C92,'Awards Summary'!$J:$J,"CS")</f>
        <v>0</v>
      </c>
      <c r="AM92" s="55">
        <f>SUMIFS('Disbursements Summary'!$E:$E,'Disbursements Summary'!$C:$C,$C92,'Disbursements Summary'!$A:$A,"CS")</f>
        <v>0</v>
      </c>
      <c r="AN92" s="55">
        <f>SUMIFS('Awards Summary'!$H:$H,'Awards Summary'!$B:$B,$C92,'Awards Summary'!$J:$J,"DOCCS")</f>
        <v>0</v>
      </c>
      <c r="AO92" s="55">
        <f>SUMIFS('Disbursements Summary'!$E:$E,'Disbursements Summary'!$C:$C,$C92,'Disbursements Summary'!$A:$A,"DOCCS")</f>
        <v>0</v>
      </c>
      <c r="AP92" s="55">
        <f>SUMIFS('Awards Summary'!$H:$H,'Awards Summary'!$B:$B,$C92,'Awards Summary'!$J:$J,"DED")</f>
        <v>0</v>
      </c>
      <c r="AQ92" s="55">
        <f>SUMIFS('Disbursements Summary'!$E:$E,'Disbursements Summary'!$C:$C,$C92,'Disbursements Summary'!$A:$A,"DED")</f>
        <v>0</v>
      </c>
      <c r="AR92" s="55">
        <f>SUMIFS('Awards Summary'!$H:$H,'Awards Summary'!$B:$B,$C92,'Awards Summary'!$J:$J,"DEC")</f>
        <v>0</v>
      </c>
      <c r="AS92" s="55">
        <f>SUMIFS('Disbursements Summary'!$E:$E,'Disbursements Summary'!$C:$C,$C92,'Disbursements Summary'!$A:$A,"DEC")</f>
        <v>0</v>
      </c>
      <c r="AT92" s="55">
        <f>SUMIFS('Awards Summary'!$H:$H,'Awards Summary'!$B:$B,$C92,'Awards Summary'!$J:$J,"DFS")</f>
        <v>0</v>
      </c>
      <c r="AU92" s="55">
        <f>SUMIFS('Disbursements Summary'!$E:$E,'Disbursements Summary'!$C:$C,$C92,'Disbursements Summary'!$A:$A,"DFS")</f>
        <v>0</v>
      </c>
      <c r="AV92" s="55">
        <f>SUMIFS('Awards Summary'!$H:$H,'Awards Summary'!$B:$B,$C92,'Awards Summary'!$J:$J,"DOH")</f>
        <v>0</v>
      </c>
      <c r="AW92" s="55">
        <f>SUMIFS('Disbursements Summary'!$E:$E,'Disbursements Summary'!$C:$C,$C92,'Disbursements Summary'!$A:$A,"DOH")</f>
        <v>0</v>
      </c>
      <c r="AX92" s="55">
        <f>SUMIFS('Awards Summary'!$H:$H,'Awards Summary'!$B:$B,$C92,'Awards Summary'!$J:$J,"DOL")</f>
        <v>0</v>
      </c>
      <c r="AY92" s="55">
        <f>SUMIFS('Disbursements Summary'!$E:$E,'Disbursements Summary'!$C:$C,$C92,'Disbursements Summary'!$A:$A,"DOL")</f>
        <v>0</v>
      </c>
      <c r="AZ92" s="55">
        <f>SUMIFS('Awards Summary'!$H:$H,'Awards Summary'!$B:$B,$C92,'Awards Summary'!$J:$J,"DMV")</f>
        <v>0</v>
      </c>
      <c r="BA92" s="55">
        <f>SUMIFS('Disbursements Summary'!$E:$E,'Disbursements Summary'!$C:$C,$C92,'Disbursements Summary'!$A:$A,"DMV")</f>
        <v>0</v>
      </c>
      <c r="BB92" s="55">
        <f>SUMIFS('Awards Summary'!$H:$H,'Awards Summary'!$B:$B,$C92,'Awards Summary'!$J:$J,"DPS")</f>
        <v>0</v>
      </c>
      <c r="BC92" s="55">
        <f>SUMIFS('Disbursements Summary'!$E:$E,'Disbursements Summary'!$C:$C,$C92,'Disbursements Summary'!$A:$A,"DPS")</f>
        <v>0</v>
      </c>
      <c r="BD92" s="55">
        <f>SUMIFS('Awards Summary'!$H:$H,'Awards Summary'!$B:$B,$C92,'Awards Summary'!$J:$J,"DOS")</f>
        <v>0</v>
      </c>
      <c r="BE92" s="55">
        <f>SUMIFS('Disbursements Summary'!$E:$E,'Disbursements Summary'!$C:$C,$C92,'Disbursements Summary'!$A:$A,"DOS")</f>
        <v>0</v>
      </c>
      <c r="BF92" s="55">
        <f>SUMIFS('Awards Summary'!$H:$H,'Awards Summary'!$B:$B,$C92,'Awards Summary'!$J:$J,"TAX")</f>
        <v>0</v>
      </c>
      <c r="BG92" s="55">
        <f>SUMIFS('Disbursements Summary'!$E:$E,'Disbursements Summary'!$C:$C,$C92,'Disbursements Summary'!$A:$A,"TAX")</f>
        <v>0</v>
      </c>
      <c r="BH92" s="55">
        <f>SUMIFS('Awards Summary'!$H:$H,'Awards Summary'!$B:$B,$C92,'Awards Summary'!$J:$J,"DOT")</f>
        <v>0</v>
      </c>
      <c r="BI92" s="55">
        <f>SUMIFS('Disbursements Summary'!$E:$E,'Disbursements Summary'!$C:$C,$C92,'Disbursements Summary'!$A:$A,"DOT")</f>
        <v>0</v>
      </c>
      <c r="BJ92" s="55">
        <f>SUMIFS('Awards Summary'!$H:$H,'Awards Summary'!$B:$B,$C92,'Awards Summary'!$J:$J,"DANC")</f>
        <v>0</v>
      </c>
      <c r="BK92" s="55">
        <f>SUMIFS('Disbursements Summary'!$E:$E,'Disbursements Summary'!$C:$C,$C92,'Disbursements Summary'!$A:$A,"DANC")</f>
        <v>0</v>
      </c>
      <c r="BL92" s="55">
        <f>SUMIFS('Awards Summary'!$H:$H,'Awards Summary'!$B:$B,$C92,'Awards Summary'!$J:$J,"DOB")</f>
        <v>0</v>
      </c>
      <c r="BM92" s="55">
        <f>SUMIFS('Disbursements Summary'!$E:$E,'Disbursements Summary'!$C:$C,$C92,'Disbursements Summary'!$A:$A,"DOB")</f>
        <v>0</v>
      </c>
      <c r="BN92" s="55">
        <f>SUMIFS('Awards Summary'!$H:$H,'Awards Summary'!$B:$B,$C92,'Awards Summary'!$J:$J,"DCJS")</f>
        <v>0</v>
      </c>
      <c r="BO92" s="55">
        <f>SUMIFS('Disbursements Summary'!$E:$E,'Disbursements Summary'!$C:$C,$C92,'Disbursements Summary'!$A:$A,"DCJS")</f>
        <v>0</v>
      </c>
      <c r="BP92" s="55">
        <f>SUMIFS('Awards Summary'!$H:$H,'Awards Summary'!$B:$B,$C92,'Awards Summary'!$J:$J,"DHSES")</f>
        <v>0</v>
      </c>
      <c r="BQ92" s="55">
        <f>SUMIFS('Disbursements Summary'!$E:$E,'Disbursements Summary'!$C:$C,$C92,'Disbursements Summary'!$A:$A,"DHSES")</f>
        <v>0</v>
      </c>
      <c r="BR92" s="55">
        <f>SUMIFS('Awards Summary'!$H:$H,'Awards Summary'!$B:$B,$C92,'Awards Summary'!$J:$J,"DHR")</f>
        <v>0</v>
      </c>
      <c r="BS92" s="55">
        <f>SUMIFS('Disbursements Summary'!$E:$E,'Disbursements Summary'!$C:$C,$C92,'Disbursements Summary'!$A:$A,"DHR")</f>
        <v>0</v>
      </c>
      <c r="BT92" s="55">
        <f>SUMIFS('Awards Summary'!$H:$H,'Awards Summary'!$B:$B,$C92,'Awards Summary'!$J:$J,"DMNA")</f>
        <v>0</v>
      </c>
      <c r="BU92" s="55">
        <f>SUMIFS('Disbursements Summary'!$E:$E,'Disbursements Summary'!$C:$C,$C92,'Disbursements Summary'!$A:$A,"DMNA")</f>
        <v>0</v>
      </c>
      <c r="BV92" s="55">
        <f>SUMIFS('Awards Summary'!$H:$H,'Awards Summary'!$B:$B,$C92,'Awards Summary'!$J:$J,"TROOPERS")</f>
        <v>0</v>
      </c>
      <c r="BW92" s="55">
        <f>SUMIFS('Disbursements Summary'!$E:$E,'Disbursements Summary'!$C:$C,$C92,'Disbursements Summary'!$A:$A,"TROOPERS")</f>
        <v>0</v>
      </c>
      <c r="BX92" s="55">
        <f>SUMIFS('Awards Summary'!$H:$H,'Awards Summary'!$B:$B,$C92,'Awards Summary'!$J:$J,"DVA")</f>
        <v>0</v>
      </c>
      <c r="BY92" s="55">
        <f>SUMIFS('Disbursements Summary'!$E:$E,'Disbursements Summary'!$C:$C,$C92,'Disbursements Summary'!$A:$A,"DVA")</f>
        <v>0</v>
      </c>
      <c r="BZ92" s="55">
        <f>SUMIFS('Awards Summary'!$H:$H,'Awards Summary'!$B:$B,$C92,'Awards Summary'!$J:$J,"DASNY")</f>
        <v>0</v>
      </c>
      <c r="CA92" s="55">
        <f>SUMIFS('Disbursements Summary'!$E:$E,'Disbursements Summary'!$C:$C,$C92,'Disbursements Summary'!$A:$A,"DASNY")</f>
        <v>0</v>
      </c>
      <c r="CB92" s="55">
        <f>SUMIFS('Awards Summary'!$H:$H,'Awards Summary'!$B:$B,$C92,'Awards Summary'!$J:$J,"EGG")</f>
        <v>0</v>
      </c>
      <c r="CC92" s="55">
        <f>SUMIFS('Disbursements Summary'!$E:$E,'Disbursements Summary'!$C:$C,$C92,'Disbursements Summary'!$A:$A,"EGG")</f>
        <v>0</v>
      </c>
      <c r="CD92" s="55">
        <f>SUMIFS('Awards Summary'!$H:$H,'Awards Summary'!$B:$B,$C92,'Awards Summary'!$J:$J,"ESD")</f>
        <v>0</v>
      </c>
      <c r="CE92" s="55">
        <f>SUMIFS('Disbursements Summary'!$E:$E,'Disbursements Summary'!$C:$C,$C92,'Disbursements Summary'!$A:$A,"ESD")</f>
        <v>0</v>
      </c>
      <c r="CF92" s="55">
        <f>SUMIFS('Awards Summary'!$H:$H,'Awards Summary'!$B:$B,$C92,'Awards Summary'!$J:$J,"EFC")</f>
        <v>0</v>
      </c>
      <c r="CG92" s="55">
        <f>SUMIFS('Disbursements Summary'!$E:$E,'Disbursements Summary'!$C:$C,$C92,'Disbursements Summary'!$A:$A,"EFC")</f>
        <v>0</v>
      </c>
      <c r="CH92" s="55">
        <f>SUMIFS('Awards Summary'!$H:$H,'Awards Summary'!$B:$B,$C92,'Awards Summary'!$J:$J,"ECFSA")</f>
        <v>0</v>
      </c>
      <c r="CI92" s="55">
        <f>SUMIFS('Disbursements Summary'!$E:$E,'Disbursements Summary'!$C:$C,$C92,'Disbursements Summary'!$A:$A,"ECFSA")</f>
        <v>0</v>
      </c>
      <c r="CJ92" s="55">
        <f>SUMIFS('Awards Summary'!$H:$H,'Awards Summary'!$B:$B,$C92,'Awards Summary'!$J:$J,"ECMC")</f>
        <v>0</v>
      </c>
      <c r="CK92" s="55">
        <f>SUMIFS('Disbursements Summary'!$E:$E,'Disbursements Summary'!$C:$C,$C92,'Disbursements Summary'!$A:$A,"ECMC")</f>
        <v>0</v>
      </c>
      <c r="CL92" s="55">
        <f>SUMIFS('Awards Summary'!$H:$H,'Awards Summary'!$B:$B,$C92,'Awards Summary'!$J:$J,"CHAMBER")</f>
        <v>0</v>
      </c>
      <c r="CM92" s="55">
        <f>SUMIFS('Disbursements Summary'!$E:$E,'Disbursements Summary'!$C:$C,$C92,'Disbursements Summary'!$A:$A,"CHAMBER")</f>
        <v>0</v>
      </c>
      <c r="CN92" s="55">
        <f>SUMIFS('Awards Summary'!$H:$H,'Awards Summary'!$B:$B,$C92,'Awards Summary'!$J:$J,"GAMING")</f>
        <v>0</v>
      </c>
      <c r="CO92" s="55">
        <f>SUMIFS('Disbursements Summary'!$E:$E,'Disbursements Summary'!$C:$C,$C92,'Disbursements Summary'!$A:$A,"GAMING")</f>
        <v>0</v>
      </c>
      <c r="CP92" s="55">
        <f>SUMIFS('Awards Summary'!$H:$H,'Awards Summary'!$B:$B,$C92,'Awards Summary'!$J:$J,"GOER")</f>
        <v>0</v>
      </c>
      <c r="CQ92" s="55">
        <f>SUMIFS('Disbursements Summary'!$E:$E,'Disbursements Summary'!$C:$C,$C92,'Disbursements Summary'!$A:$A,"GOER")</f>
        <v>0</v>
      </c>
      <c r="CR92" s="55">
        <f>SUMIFS('Awards Summary'!$H:$H,'Awards Summary'!$B:$B,$C92,'Awards Summary'!$J:$J,"HESC")</f>
        <v>0</v>
      </c>
      <c r="CS92" s="55">
        <f>SUMIFS('Disbursements Summary'!$E:$E,'Disbursements Summary'!$C:$C,$C92,'Disbursements Summary'!$A:$A,"HESC")</f>
        <v>0</v>
      </c>
      <c r="CT92" s="55">
        <f>SUMIFS('Awards Summary'!$H:$H,'Awards Summary'!$B:$B,$C92,'Awards Summary'!$J:$J,"GOSR")</f>
        <v>0</v>
      </c>
      <c r="CU92" s="55">
        <f>SUMIFS('Disbursements Summary'!$E:$E,'Disbursements Summary'!$C:$C,$C92,'Disbursements Summary'!$A:$A,"GOSR")</f>
        <v>0</v>
      </c>
      <c r="CV92" s="55">
        <f>SUMIFS('Awards Summary'!$H:$H,'Awards Summary'!$B:$B,$C92,'Awards Summary'!$J:$J,"HRPT")</f>
        <v>0</v>
      </c>
      <c r="CW92" s="55">
        <f>SUMIFS('Disbursements Summary'!$E:$E,'Disbursements Summary'!$C:$C,$C92,'Disbursements Summary'!$A:$A,"HRPT")</f>
        <v>0</v>
      </c>
      <c r="CX92" s="55">
        <f>SUMIFS('Awards Summary'!$H:$H,'Awards Summary'!$B:$B,$C92,'Awards Summary'!$J:$J,"HRBRRD")</f>
        <v>0</v>
      </c>
      <c r="CY92" s="55">
        <f>SUMIFS('Disbursements Summary'!$E:$E,'Disbursements Summary'!$C:$C,$C92,'Disbursements Summary'!$A:$A,"HRBRRD")</f>
        <v>0</v>
      </c>
      <c r="CZ92" s="55">
        <f>SUMIFS('Awards Summary'!$H:$H,'Awards Summary'!$B:$B,$C92,'Awards Summary'!$J:$J,"ITS")</f>
        <v>0</v>
      </c>
      <c r="DA92" s="55">
        <f>SUMIFS('Disbursements Summary'!$E:$E,'Disbursements Summary'!$C:$C,$C92,'Disbursements Summary'!$A:$A,"ITS")</f>
        <v>0</v>
      </c>
      <c r="DB92" s="55">
        <f>SUMIFS('Awards Summary'!$H:$H,'Awards Summary'!$B:$B,$C92,'Awards Summary'!$J:$J,"JAVITS")</f>
        <v>0</v>
      </c>
      <c r="DC92" s="55">
        <f>SUMIFS('Disbursements Summary'!$E:$E,'Disbursements Summary'!$C:$C,$C92,'Disbursements Summary'!$A:$A,"JAVITS")</f>
        <v>0</v>
      </c>
      <c r="DD92" s="55">
        <f>SUMIFS('Awards Summary'!$H:$H,'Awards Summary'!$B:$B,$C92,'Awards Summary'!$J:$J,"JCOPE")</f>
        <v>0</v>
      </c>
      <c r="DE92" s="55">
        <f>SUMIFS('Disbursements Summary'!$E:$E,'Disbursements Summary'!$C:$C,$C92,'Disbursements Summary'!$A:$A,"JCOPE")</f>
        <v>0</v>
      </c>
      <c r="DF92" s="55">
        <f>SUMIFS('Awards Summary'!$H:$H,'Awards Summary'!$B:$B,$C92,'Awards Summary'!$J:$J,"JUSTICE")</f>
        <v>0</v>
      </c>
      <c r="DG92" s="55">
        <f>SUMIFS('Disbursements Summary'!$E:$E,'Disbursements Summary'!$C:$C,$C92,'Disbursements Summary'!$A:$A,"JUSTICE")</f>
        <v>0</v>
      </c>
      <c r="DH92" s="55">
        <f>SUMIFS('Awards Summary'!$H:$H,'Awards Summary'!$B:$B,$C92,'Awards Summary'!$J:$J,"LCWSA")</f>
        <v>0</v>
      </c>
      <c r="DI92" s="55">
        <f>SUMIFS('Disbursements Summary'!$E:$E,'Disbursements Summary'!$C:$C,$C92,'Disbursements Summary'!$A:$A,"LCWSA")</f>
        <v>0</v>
      </c>
      <c r="DJ92" s="55">
        <f>SUMIFS('Awards Summary'!$H:$H,'Awards Summary'!$B:$B,$C92,'Awards Summary'!$J:$J,"LIPA")</f>
        <v>0</v>
      </c>
      <c r="DK92" s="55">
        <f>SUMIFS('Disbursements Summary'!$E:$E,'Disbursements Summary'!$C:$C,$C92,'Disbursements Summary'!$A:$A,"LIPA")</f>
        <v>0</v>
      </c>
      <c r="DL92" s="55">
        <f>SUMIFS('Awards Summary'!$H:$H,'Awards Summary'!$B:$B,$C92,'Awards Summary'!$J:$J,"MTA")</f>
        <v>0</v>
      </c>
      <c r="DM92" s="55">
        <f>SUMIFS('Disbursements Summary'!$E:$E,'Disbursements Summary'!$C:$C,$C92,'Disbursements Summary'!$A:$A,"MTA")</f>
        <v>0</v>
      </c>
      <c r="DN92" s="55">
        <f>SUMIFS('Awards Summary'!$H:$H,'Awards Summary'!$B:$B,$C92,'Awards Summary'!$J:$J,"NIFA")</f>
        <v>0</v>
      </c>
      <c r="DO92" s="55">
        <f>SUMIFS('Disbursements Summary'!$E:$E,'Disbursements Summary'!$C:$C,$C92,'Disbursements Summary'!$A:$A,"NIFA")</f>
        <v>0</v>
      </c>
      <c r="DP92" s="55">
        <f>SUMIFS('Awards Summary'!$H:$H,'Awards Summary'!$B:$B,$C92,'Awards Summary'!$J:$J,"NHCC")</f>
        <v>0</v>
      </c>
      <c r="DQ92" s="55">
        <f>SUMIFS('Disbursements Summary'!$E:$E,'Disbursements Summary'!$C:$C,$C92,'Disbursements Summary'!$A:$A,"NHCC")</f>
        <v>0</v>
      </c>
      <c r="DR92" s="55">
        <f>SUMIFS('Awards Summary'!$H:$H,'Awards Summary'!$B:$B,$C92,'Awards Summary'!$J:$J,"NHT")</f>
        <v>0</v>
      </c>
      <c r="DS92" s="55">
        <f>SUMIFS('Disbursements Summary'!$E:$E,'Disbursements Summary'!$C:$C,$C92,'Disbursements Summary'!$A:$A,"NHT")</f>
        <v>0</v>
      </c>
      <c r="DT92" s="55">
        <f>SUMIFS('Awards Summary'!$H:$H,'Awards Summary'!$B:$B,$C92,'Awards Summary'!$J:$J,"NYPA")</f>
        <v>0</v>
      </c>
      <c r="DU92" s="55">
        <f>SUMIFS('Disbursements Summary'!$E:$E,'Disbursements Summary'!$C:$C,$C92,'Disbursements Summary'!$A:$A,"NYPA")</f>
        <v>0</v>
      </c>
      <c r="DV92" s="55">
        <f>SUMIFS('Awards Summary'!$H:$H,'Awards Summary'!$B:$B,$C92,'Awards Summary'!$J:$J,"NYSBA")</f>
        <v>0</v>
      </c>
      <c r="DW92" s="55">
        <f>SUMIFS('Disbursements Summary'!$E:$E,'Disbursements Summary'!$C:$C,$C92,'Disbursements Summary'!$A:$A,"NYSBA")</f>
        <v>0</v>
      </c>
      <c r="DX92" s="55">
        <f>SUMIFS('Awards Summary'!$H:$H,'Awards Summary'!$B:$B,$C92,'Awards Summary'!$J:$J,"NYSERDA")</f>
        <v>0</v>
      </c>
      <c r="DY92" s="55">
        <f>SUMIFS('Disbursements Summary'!$E:$E,'Disbursements Summary'!$C:$C,$C92,'Disbursements Summary'!$A:$A,"NYSERDA")</f>
        <v>0</v>
      </c>
      <c r="DZ92" s="55">
        <f>SUMIFS('Awards Summary'!$H:$H,'Awards Summary'!$B:$B,$C92,'Awards Summary'!$J:$J,"DHCR")</f>
        <v>0</v>
      </c>
      <c r="EA92" s="55">
        <f>SUMIFS('Disbursements Summary'!$E:$E,'Disbursements Summary'!$C:$C,$C92,'Disbursements Summary'!$A:$A,"DHCR")</f>
        <v>0</v>
      </c>
      <c r="EB92" s="55">
        <f>SUMIFS('Awards Summary'!$H:$H,'Awards Summary'!$B:$B,$C92,'Awards Summary'!$J:$J,"HFA")</f>
        <v>0</v>
      </c>
      <c r="EC92" s="55">
        <f>SUMIFS('Disbursements Summary'!$E:$E,'Disbursements Summary'!$C:$C,$C92,'Disbursements Summary'!$A:$A,"HFA")</f>
        <v>0</v>
      </c>
      <c r="ED92" s="55">
        <f>SUMIFS('Awards Summary'!$H:$H,'Awards Summary'!$B:$B,$C92,'Awards Summary'!$J:$J,"NYSIF")</f>
        <v>0</v>
      </c>
      <c r="EE92" s="55">
        <f>SUMIFS('Disbursements Summary'!$E:$E,'Disbursements Summary'!$C:$C,$C92,'Disbursements Summary'!$A:$A,"NYSIF")</f>
        <v>0</v>
      </c>
      <c r="EF92" s="55">
        <f>SUMIFS('Awards Summary'!$H:$H,'Awards Summary'!$B:$B,$C92,'Awards Summary'!$J:$J,"NYBREDS")</f>
        <v>0</v>
      </c>
      <c r="EG92" s="55">
        <f>SUMIFS('Disbursements Summary'!$E:$E,'Disbursements Summary'!$C:$C,$C92,'Disbursements Summary'!$A:$A,"NYBREDS")</f>
        <v>0</v>
      </c>
      <c r="EH92" s="55">
        <f>SUMIFS('Awards Summary'!$H:$H,'Awards Summary'!$B:$B,$C92,'Awards Summary'!$J:$J,"NYSTA")</f>
        <v>0</v>
      </c>
      <c r="EI92" s="55">
        <f>SUMIFS('Disbursements Summary'!$E:$E,'Disbursements Summary'!$C:$C,$C92,'Disbursements Summary'!$A:$A,"NYSTA")</f>
        <v>0</v>
      </c>
      <c r="EJ92" s="55">
        <f>SUMIFS('Awards Summary'!$H:$H,'Awards Summary'!$B:$B,$C92,'Awards Summary'!$J:$J,"NFWB")</f>
        <v>0</v>
      </c>
      <c r="EK92" s="55">
        <f>SUMIFS('Disbursements Summary'!$E:$E,'Disbursements Summary'!$C:$C,$C92,'Disbursements Summary'!$A:$A,"NFWB")</f>
        <v>0</v>
      </c>
      <c r="EL92" s="55">
        <f>SUMIFS('Awards Summary'!$H:$H,'Awards Summary'!$B:$B,$C92,'Awards Summary'!$J:$J,"NFTA")</f>
        <v>0</v>
      </c>
      <c r="EM92" s="55">
        <f>SUMIFS('Disbursements Summary'!$E:$E,'Disbursements Summary'!$C:$C,$C92,'Disbursements Summary'!$A:$A,"NFTA")</f>
        <v>0</v>
      </c>
      <c r="EN92" s="55">
        <f>SUMIFS('Awards Summary'!$H:$H,'Awards Summary'!$B:$B,$C92,'Awards Summary'!$J:$J,"OPWDD")</f>
        <v>0</v>
      </c>
      <c r="EO92" s="55">
        <f>SUMIFS('Disbursements Summary'!$E:$E,'Disbursements Summary'!$C:$C,$C92,'Disbursements Summary'!$A:$A,"OPWDD")</f>
        <v>0</v>
      </c>
      <c r="EP92" s="55">
        <f>SUMIFS('Awards Summary'!$H:$H,'Awards Summary'!$B:$B,$C92,'Awards Summary'!$J:$J,"AGING")</f>
        <v>0</v>
      </c>
      <c r="EQ92" s="55">
        <f>SUMIFS('Disbursements Summary'!$E:$E,'Disbursements Summary'!$C:$C,$C92,'Disbursements Summary'!$A:$A,"AGING")</f>
        <v>0</v>
      </c>
      <c r="ER92" s="55">
        <f>SUMIFS('Awards Summary'!$H:$H,'Awards Summary'!$B:$B,$C92,'Awards Summary'!$J:$J,"OPDV")</f>
        <v>0</v>
      </c>
      <c r="ES92" s="55">
        <f>SUMIFS('Disbursements Summary'!$E:$E,'Disbursements Summary'!$C:$C,$C92,'Disbursements Summary'!$A:$A,"OPDV")</f>
        <v>0</v>
      </c>
      <c r="ET92" s="55">
        <f>SUMIFS('Awards Summary'!$H:$H,'Awards Summary'!$B:$B,$C92,'Awards Summary'!$J:$J,"OVS")</f>
        <v>0</v>
      </c>
      <c r="EU92" s="55">
        <f>SUMIFS('Disbursements Summary'!$E:$E,'Disbursements Summary'!$C:$C,$C92,'Disbursements Summary'!$A:$A,"OVS")</f>
        <v>0</v>
      </c>
      <c r="EV92" s="55">
        <f>SUMIFS('Awards Summary'!$H:$H,'Awards Summary'!$B:$B,$C92,'Awards Summary'!$J:$J,"OASAS")</f>
        <v>0</v>
      </c>
      <c r="EW92" s="55">
        <f>SUMIFS('Disbursements Summary'!$E:$E,'Disbursements Summary'!$C:$C,$C92,'Disbursements Summary'!$A:$A,"OASAS")</f>
        <v>0</v>
      </c>
      <c r="EX92" s="55">
        <f>SUMIFS('Awards Summary'!$H:$H,'Awards Summary'!$B:$B,$C92,'Awards Summary'!$J:$J,"OCFS")</f>
        <v>0</v>
      </c>
      <c r="EY92" s="55">
        <f>SUMIFS('Disbursements Summary'!$E:$E,'Disbursements Summary'!$C:$C,$C92,'Disbursements Summary'!$A:$A,"OCFS")</f>
        <v>0</v>
      </c>
      <c r="EZ92" s="55">
        <f>SUMIFS('Awards Summary'!$H:$H,'Awards Summary'!$B:$B,$C92,'Awards Summary'!$J:$J,"OGS")</f>
        <v>0</v>
      </c>
      <c r="FA92" s="55">
        <f>SUMIFS('Disbursements Summary'!$E:$E,'Disbursements Summary'!$C:$C,$C92,'Disbursements Summary'!$A:$A,"OGS")</f>
        <v>0</v>
      </c>
      <c r="FB92" s="55">
        <f>SUMIFS('Awards Summary'!$H:$H,'Awards Summary'!$B:$B,$C92,'Awards Summary'!$J:$J,"OMH")</f>
        <v>0</v>
      </c>
      <c r="FC92" s="55">
        <f>SUMIFS('Disbursements Summary'!$E:$E,'Disbursements Summary'!$C:$C,$C92,'Disbursements Summary'!$A:$A,"OMH")</f>
        <v>0</v>
      </c>
      <c r="FD92" s="55">
        <f>SUMIFS('Awards Summary'!$H:$H,'Awards Summary'!$B:$B,$C92,'Awards Summary'!$J:$J,"PARKS")</f>
        <v>0</v>
      </c>
      <c r="FE92" s="55">
        <f>SUMIFS('Disbursements Summary'!$E:$E,'Disbursements Summary'!$C:$C,$C92,'Disbursements Summary'!$A:$A,"PARKS")</f>
        <v>0</v>
      </c>
      <c r="FF92" s="55">
        <f>SUMIFS('Awards Summary'!$H:$H,'Awards Summary'!$B:$B,$C92,'Awards Summary'!$J:$J,"OTDA")</f>
        <v>0</v>
      </c>
      <c r="FG92" s="55">
        <f>SUMIFS('Disbursements Summary'!$E:$E,'Disbursements Summary'!$C:$C,$C92,'Disbursements Summary'!$A:$A,"OTDA")</f>
        <v>0</v>
      </c>
      <c r="FH92" s="55">
        <f>SUMIFS('Awards Summary'!$H:$H,'Awards Summary'!$B:$B,$C92,'Awards Summary'!$J:$J,"OIG")</f>
        <v>0</v>
      </c>
      <c r="FI92" s="55">
        <f>SUMIFS('Disbursements Summary'!$E:$E,'Disbursements Summary'!$C:$C,$C92,'Disbursements Summary'!$A:$A,"OIG")</f>
        <v>0</v>
      </c>
      <c r="FJ92" s="55">
        <f>SUMIFS('Awards Summary'!$H:$H,'Awards Summary'!$B:$B,$C92,'Awards Summary'!$J:$J,"OMIG")</f>
        <v>0</v>
      </c>
      <c r="FK92" s="55">
        <f>SUMIFS('Disbursements Summary'!$E:$E,'Disbursements Summary'!$C:$C,$C92,'Disbursements Summary'!$A:$A,"OMIG")</f>
        <v>0</v>
      </c>
      <c r="FL92" s="55">
        <f>SUMIFS('Awards Summary'!$H:$H,'Awards Summary'!$B:$B,$C92,'Awards Summary'!$J:$J,"OSC")</f>
        <v>0</v>
      </c>
      <c r="FM92" s="55">
        <f>SUMIFS('Disbursements Summary'!$E:$E,'Disbursements Summary'!$C:$C,$C92,'Disbursements Summary'!$A:$A,"OSC")</f>
        <v>0</v>
      </c>
      <c r="FN92" s="55">
        <f>SUMIFS('Awards Summary'!$H:$H,'Awards Summary'!$B:$B,$C92,'Awards Summary'!$J:$J,"OWIG")</f>
        <v>0</v>
      </c>
      <c r="FO92" s="55">
        <f>SUMIFS('Disbursements Summary'!$E:$E,'Disbursements Summary'!$C:$C,$C92,'Disbursements Summary'!$A:$A,"OWIG")</f>
        <v>0</v>
      </c>
      <c r="FP92" s="55">
        <f>SUMIFS('Awards Summary'!$H:$H,'Awards Summary'!$B:$B,$C92,'Awards Summary'!$J:$J,"OGDEN")</f>
        <v>0</v>
      </c>
      <c r="FQ92" s="55">
        <f>SUMIFS('Disbursements Summary'!$E:$E,'Disbursements Summary'!$C:$C,$C92,'Disbursements Summary'!$A:$A,"OGDEN")</f>
        <v>0</v>
      </c>
      <c r="FR92" s="55">
        <f>SUMIFS('Awards Summary'!$H:$H,'Awards Summary'!$B:$B,$C92,'Awards Summary'!$J:$J,"ORDA")</f>
        <v>0</v>
      </c>
      <c r="FS92" s="55">
        <f>SUMIFS('Disbursements Summary'!$E:$E,'Disbursements Summary'!$C:$C,$C92,'Disbursements Summary'!$A:$A,"ORDA")</f>
        <v>0</v>
      </c>
      <c r="FT92" s="55">
        <f>SUMIFS('Awards Summary'!$H:$H,'Awards Summary'!$B:$B,$C92,'Awards Summary'!$J:$J,"OSWEGO")</f>
        <v>0</v>
      </c>
      <c r="FU92" s="55">
        <f>SUMIFS('Disbursements Summary'!$E:$E,'Disbursements Summary'!$C:$C,$C92,'Disbursements Summary'!$A:$A,"OSWEGO")</f>
        <v>0</v>
      </c>
      <c r="FV92" s="55">
        <f>SUMIFS('Awards Summary'!$H:$H,'Awards Summary'!$B:$B,$C92,'Awards Summary'!$J:$J,"PERB")</f>
        <v>0</v>
      </c>
      <c r="FW92" s="55">
        <f>SUMIFS('Disbursements Summary'!$E:$E,'Disbursements Summary'!$C:$C,$C92,'Disbursements Summary'!$A:$A,"PERB")</f>
        <v>0</v>
      </c>
      <c r="FX92" s="55">
        <f>SUMIFS('Awards Summary'!$H:$H,'Awards Summary'!$B:$B,$C92,'Awards Summary'!$J:$J,"RGRTA")</f>
        <v>0</v>
      </c>
      <c r="FY92" s="55">
        <f>SUMIFS('Disbursements Summary'!$E:$E,'Disbursements Summary'!$C:$C,$C92,'Disbursements Summary'!$A:$A,"RGRTA")</f>
        <v>0</v>
      </c>
      <c r="FZ92" s="55">
        <f>SUMIFS('Awards Summary'!$H:$H,'Awards Summary'!$B:$B,$C92,'Awards Summary'!$J:$J,"RIOC")</f>
        <v>0</v>
      </c>
      <c r="GA92" s="55">
        <f>SUMIFS('Disbursements Summary'!$E:$E,'Disbursements Summary'!$C:$C,$C92,'Disbursements Summary'!$A:$A,"RIOC")</f>
        <v>0</v>
      </c>
      <c r="GB92" s="55">
        <f>SUMIFS('Awards Summary'!$H:$H,'Awards Summary'!$B:$B,$C92,'Awards Summary'!$J:$J,"RPCI")</f>
        <v>0</v>
      </c>
      <c r="GC92" s="55">
        <f>SUMIFS('Disbursements Summary'!$E:$E,'Disbursements Summary'!$C:$C,$C92,'Disbursements Summary'!$A:$A,"RPCI")</f>
        <v>0</v>
      </c>
      <c r="GD92" s="55">
        <f>SUMIFS('Awards Summary'!$H:$H,'Awards Summary'!$B:$B,$C92,'Awards Summary'!$J:$J,"SMDA")</f>
        <v>0</v>
      </c>
      <c r="GE92" s="55">
        <f>SUMIFS('Disbursements Summary'!$E:$E,'Disbursements Summary'!$C:$C,$C92,'Disbursements Summary'!$A:$A,"SMDA")</f>
        <v>0</v>
      </c>
      <c r="GF92" s="55">
        <f>SUMIFS('Awards Summary'!$H:$H,'Awards Summary'!$B:$B,$C92,'Awards Summary'!$J:$J,"SCOC")</f>
        <v>0</v>
      </c>
      <c r="GG92" s="55">
        <f>SUMIFS('Disbursements Summary'!$E:$E,'Disbursements Summary'!$C:$C,$C92,'Disbursements Summary'!$A:$A,"SCOC")</f>
        <v>0</v>
      </c>
      <c r="GH92" s="55">
        <f>SUMIFS('Awards Summary'!$H:$H,'Awards Summary'!$B:$B,$C92,'Awards Summary'!$J:$J,"SUCF")</f>
        <v>0</v>
      </c>
      <c r="GI92" s="55">
        <f>SUMIFS('Disbursements Summary'!$E:$E,'Disbursements Summary'!$C:$C,$C92,'Disbursements Summary'!$A:$A,"SUCF")</f>
        <v>0</v>
      </c>
      <c r="GJ92" s="55">
        <f>SUMIFS('Awards Summary'!$H:$H,'Awards Summary'!$B:$B,$C92,'Awards Summary'!$J:$J,"SUNY")</f>
        <v>0</v>
      </c>
      <c r="GK92" s="55">
        <f>SUMIFS('Disbursements Summary'!$E:$E,'Disbursements Summary'!$C:$C,$C92,'Disbursements Summary'!$A:$A,"SUNY")</f>
        <v>0</v>
      </c>
      <c r="GL92" s="55">
        <f>SUMIFS('Awards Summary'!$H:$H,'Awards Summary'!$B:$B,$C92,'Awards Summary'!$J:$J,"SRAA")</f>
        <v>0</v>
      </c>
      <c r="GM92" s="55">
        <f>SUMIFS('Disbursements Summary'!$E:$E,'Disbursements Summary'!$C:$C,$C92,'Disbursements Summary'!$A:$A,"SRAA")</f>
        <v>0</v>
      </c>
      <c r="GN92" s="55">
        <f>SUMIFS('Awards Summary'!$H:$H,'Awards Summary'!$B:$B,$C92,'Awards Summary'!$J:$J,"UNDC")</f>
        <v>0</v>
      </c>
      <c r="GO92" s="55">
        <f>SUMIFS('Disbursements Summary'!$E:$E,'Disbursements Summary'!$C:$C,$C92,'Disbursements Summary'!$A:$A,"UNDC")</f>
        <v>0</v>
      </c>
      <c r="GP92" s="55">
        <f>SUMIFS('Awards Summary'!$H:$H,'Awards Summary'!$B:$B,$C92,'Awards Summary'!$J:$J,"MVWA")</f>
        <v>0</v>
      </c>
      <c r="GQ92" s="55">
        <f>SUMIFS('Disbursements Summary'!$E:$E,'Disbursements Summary'!$C:$C,$C92,'Disbursements Summary'!$A:$A,"MVWA")</f>
        <v>0</v>
      </c>
      <c r="GR92" s="55">
        <f>SUMIFS('Awards Summary'!$H:$H,'Awards Summary'!$B:$B,$C92,'Awards Summary'!$J:$J,"WMC")</f>
        <v>0</v>
      </c>
      <c r="GS92" s="55">
        <f>SUMIFS('Disbursements Summary'!$E:$E,'Disbursements Summary'!$C:$C,$C92,'Disbursements Summary'!$A:$A,"WMC")</f>
        <v>0</v>
      </c>
      <c r="GT92" s="55">
        <f>SUMIFS('Awards Summary'!$H:$H,'Awards Summary'!$B:$B,$C92,'Awards Summary'!$J:$J,"WCB")</f>
        <v>0</v>
      </c>
      <c r="GU92" s="55">
        <f>SUMIFS('Disbursements Summary'!$E:$E,'Disbursements Summary'!$C:$C,$C92,'Disbursements Summary'!$A:$A,"WCB")</f>
        <v>0</v>
      </c>
      <c r="GV92" s="32">
        <f t="shared" si="10"/>
        <v>0</v>
      </c>
      <c r="GW92" s="32">
        <f t="shared" si="11"/>
        <v>0</v>
      </c>
      <c r="GX92" s="30" t="b">
        <f t="shared" si="12"/>
        <v>1</v>
      </c>
      <c r="GY92" s="30" t="b">
        <f t="shared" si="13"/>
        <v>1</v>
      </c>
    </row>
    <row r="93" spans="1:207" s="30" customFormat="1">
      <c r="A93" s="22" t="str">
        <f t="shared" si="9"/>
        <v/>
      </c>
      <c r="B93" s="40" t="s">
        <v>225</v>
      </c>
      <c r="C93" s="16">
        <v>151192</v>
      </c>
      <c r="D93" s="26">
        <f>COUNTIF('Awards Summary'!B:B,"151192")</f>
        <v>0</v>
      </c>
      <c r="E93" s="45">
        <f>SUMIFS('Awards Summary'!H:H,'Awards Summary'!B:B,"151192")</f>
        <v>0</v>
      </c>
      <c r="F93" s="46">
        <f>SUMIFS('Disbursements Summary'!E:E,'Disbursements Summary'!C:C, "151192")</f>
        <v>0</v>
      </c>
      <c r="H93" s="55">
        <f>SUMIFS('Awards Summary'!$H:$H,'Awards Summary'!$B:$B,$C93,'Awards Summary'!$J:$J,"APA")</f>
        <v>0</v>
      </c>
      <c r="I93" s="55">
        <f>SUMIFS('Disbursements Summary'!$E:$E,'Disbursements Summary'!$C:$C,$C93,'Disbursements Summary'!$A:$A,"APA")</f>
        <v>0</v>
      </c>
      <c r="J93" s="55">
        <f>SUMIFS('Awards Summary'!$H:$H,'Awards Summary'!$B:$B,$C93,'Awards Summary'!$J:$J,"Ag&amp;Horse")</f>
        <v>0</v>
      </c>
      <c r="K93" s="55">
        <f>SUMIFS('Disbursements Summary'!$E:$E,'Disbursements Summary'!$C:$C,$C93,'Disbursements Summary'!$A:$A,"Ag&amp;Horse")</f>
        <v>0</v>
      </c>
      <c r="L93" s="55">
        <f>SUMIFS('Awards Summary'!$H:$H,'Awards Summary'!$B:$B,$C93,'Awards Summary'!$J:$J,"ACAA")</f>
        <v>0</v>
      </c>
      <c r="M93" s="55">
        <f>SUMIFS('Disbursements Summary'!$E:$E,'Disbursements Summary'!$C:$C,$C93,'Disbursements Summary'!$A:$A,"ACAA")</f>
        <v>0</v>
      </c>
      <c r="N93" s="55">
        <f>SUMIFS('Awards Summary'!$H:$H,'Awards Summary'!$B:$B,$C93,'Awards Summary'!$J:$J,"PortAlbany")</f>
        <v>0</v>
      </c>
      <c r="O93" s="55">
        <f>SUMIFS('Disbursements Summary'!$E:$E,'Disbursements Summary'!$C:$C,$C93,'Disbursements Summary'!$A:$A,"PortAlbany")</f>
        <v>0</v>
      </c>
      <c r="P93" s="55">
        <f>SUMIFS('Awards Summary'!$H:$H,'Awards Summary'!$B:$B,$C93,'Awards Summary'!$J:$J,"SLA")</f>
        <v>0</v>
      </c>
      <c r="Q93" s="55">
        <f>SUMIFS('Disbursements Summary'!$E:$E,'Disbursements Summary'!$C:$C,$C93,'Disbursements Summary'!$A:$A,"SLA")</f>
        <v>0</v>
      </c>
      <c r="R93" s="55">
        <f>SUMIFS('Awards Summary'!$H:$H,'Awards Summary'!$B:$B,$C93,'Awards Summary'!$J:$J,"BPCA")</f>
        <v>0</v>
      </c>
      <c r="S93" s="55">
        <f>SUMIFS('Disbursements Summary'!$E:$E,'Disbursements Summary'!$C:$C,$C93,'Disbursements Summary'!$A:$A,"BPCA")</f>
        <v>0</v>
      </c>
      <c r="T93" s="55">
        <f>SUMIFS('Awards Summary'!$H:$H,'Awards Summary'!$B:$B,$C93,'Awards Summary'!$J:$J,"ELECTIONS")</f>
        <v>0</v>
      </c>
      <c r="U93" s="55">
        <f>SUMIFS('Disbursements Summary'!$E:$E,'Disbursements Summary'!$C:$C,$C93,'Disbursements Summary'!$A:$A,"ELECTIONS")</f>
        <v>0</v>
      </c>
      <c r="V93" s="55">
        <f>SUMIFS('Awards Summary'!$H:$H,'Awards Summary'!$B:$B,$C93,'Awards Summary'!$J:$J,"BFSA")</f>
        <v>0</v>
      </c>
      <c r="W93" s="55">
        <f>SUMIFS('Disbursements Summary'!$E:$E,'Disbursements Summary'!$C:$C,$C93,'Disbursements Summary'!$A:$A,"BFSA")</f>
        <v>0</v>
      </c>
      <c r="X93" s="55">
        <f>SUMIFS('Awards Summary'!$H:$H,'Awards Summary'!$B:$B,$C93,'Awards Summary'!$J:$J,"CDTA")</f>
        <v>0</v>
      </c>
      <c r="Y93" s="55">
        <f>SUMIFS('Disbursements Summary'!$E:$E,'Disbursements Summary'!$C:$C,$C93,'Disbursements Summary'!$A:$A,"CDTA")</f>
        <v>0</v>
      </c>
      <c r="Z93" s="55">
        <f>SUMIFS('Awards Summary'!$H:$H,'Awards Summary'!$B:$B,$C93,'Awards Summary'!$J:$J,"CCWSA")</f>
        <v>0</v>
      </c>
      <c r="AA93" s="55">
        <f>SUMIFS('Disbursements Summary'!$E:$E,'Disbursements Summary'!$C:$C,$C93,'Disbursements Summary'!$A:$A,"CCWSA")</f>
        <v>0</v>
      </c>
      <c r="AB93" s="55">
        <f>SUMIFS('Awards Summary'!$H:$H,'Awards Summary'!$B:$B,$C93,'Awards Summary'!$J:$J,"CNYRTA")</f>
        <v>0</v>
      </c>
      <c r="AC93" s="55">
        <f>SUMIFS('Disbursements Summary'!$E:$E,'Disbursements Summary'!$C:$C,$C93,'Disbursements Summary'!$A:$A,"CNYRTA")</f>
        <v>0</v>
      </c>
      <c r="AD93" s="55">
        <f>SUMIFS('Awards Summary'!$H:$H,'Awards Summary'!$B:$B,$C93,'Awards Summary'!$J:$J,"CUCF")</f>
        <v>0</v>
      </c>
      <c r="AE93" s="55">
        <f>SUMIFS('Disbursements Summary'!$E:$E,'Disbursements Summary'!$C:$C,$C93,'Disbursements Summary'!$A:$A,"CUCF")</f>
        <v>0</v>
      </c>
      <c r="AF93" s="55">
        <f>SUMIFS('Awards Summary'!$H:$H,'Awards Summary'!$B:$B,$C93,'Awards Summary'!$J:$J,"CUNY")</f>
        <v>0</v>
      </c>
      <c r="AG93" s="55">
        <f>SUMIFS('Disbursements Summary'!$E:$E,'Disbursements Summary'!$C:$C,$C93,'Disbursements Summary'!$A:$A,"CUNY")</f>
        <v>0</v>
      </c>
      <c r="AH93" s="55">
        <f>SUMIFS('Awards Summary'!$H:$H,'Awards Summary'!$B:$B,$C93,'Awards Summary'!$J:$J,"ARTS")</f>
        <v>0</v>
      </c>
      <c r="AI93" s="55">
        <f>SUMIFS('Disbursements Summary'!$E:$E,'Disbursements Summary'!$C:$C,$C93,'Disbursements Summary'!$A:$A,"ARTS")</f>
        <v>0</v>
      </c>
      <c r="AJ93" s="55">
        <f>SUMIFS('Awards Summary'!$H:$H,'Awards Summary'!$B:$B,$C93,'Awards Summary'!$J:$J,"AG&amp;MKTS")</f>
        <v>0</v>
      </c>
      <c r="AK93" s="55">
        <f>SUMIFS('Disbursements Summary'!$E:$E,'Disbursements Summary'!$C:$C,$C93,'Disbursements Summary'!$A:$A,"AG&amp;MKTS")</f>
        <v>0</v>
      </c>
      <c r="AL93" s="55">
        <f>SUMIFS('Awards Summary'!$H:$H,'Awards Summary'!$B:$B,$C93,'Awards Summary'!$J:$J,"CS")</f>
        <v>0</v>
      </c>
      <c r="AM93" s="55">
        <f>SUMIFS('Disbursements Summary'!$E:$E,'Disbursements Summary'!$C:$C,$C93,'Disbursements Summary'!$A:$A,"CS")</f>
        <v>0</v>
      </c>
      <c r="AN93" s="55">
        <f>SUMIFS('Awards Summary'!$H:$H,'Awards Summary'!$B:$B,$C93,'Awards Summary'!$J:$J,"DOCCS")</f>
        <v>0</v>
      </c>
      <c r="AO93" s="55">
        <f>SUMIFS('Disbursements Summary'!$E:$E,'Disbursements Summary'!$C:$C,$C93,'Disbursements Summary'!$A:$A,"DOCCS")</f>
        <v>0</v>
      </c>
      <c r="AP93" s="55">
        <f>SUMIFS('Awards Summary'!$H:$H,'Awards Summary'!$B:$B,$C93,'Awards Summary'!$J:$J,"DED")</f>
        <v>0</v>
      </c>
      <c r="AQ93" s="55">
        <f>SUMIFS('Disbursements Summary'!$E:$E,'Disbursements Summary'!$C:$C,$C93,'Disbursements Summary'!$A:$A,"DED")</f>
        <v>0</v>
      </c>
      <c r="AR93" s="55">
        <f>SUMIFS('Awards Summary'!$H:$H,'Awards Summary'!$B:$B,$C93,'Awards Summary'!$J:$J,"DEC")</f>
        <v>0</v>
      </c>
      <c r="AS93" s="55">
        <f>SUMIFS('Disbursements Summary'!$E:$E,'Disbursements Summary'!$C:$C,$C93,'Disbursements Summary'!$A:$A,"DEC")</f>
        <v>0</v>
      </c>
      <c r="AT93" s="55">
        <f>SUMIFS('Awards Summary'!$H:$H,'Awards Summary'!$B:$B,$C93,'Awards Summary'!$J:$J,"DFS")</f>
        <v>0</v>
      </c>
      <c r="AU93" s="55">
        <f>SUMIFS('Disbursements Summary'!$E:$E,'Disbursements Summary'!$C:$C,$C93,'Disbursements Summary'!$A:$A,"DFS")</f>
        <v>0</v>
      </c>
      <c r="AV93" s="55">
        <f>SUMIFS('Awards Summary'!$H:$H,'Awards Summary'!$B:$B,$C93,'Awards Summary'!$J:$J,"DOH")</f>
        <v>0</v>
      </c>
      <c r="AW93" s="55">
        <f>SUMIFS('Disbursements Summary'!$E:$E,'Disbursements Summary'!$C:$C,$C93,'Disbursements Summary'!$A:$A,"DOH")</f>
        <v>0</v>
      </c>
      <c r="AX93" s="55">
        <f>SUMIFS('Awards Summary'!$H:$H,'Awards Summary'!$B:$B,$C93,'Awards Summary'!$J:$J,"DOL")</f>
        <v>0</v>
      </c>
      <c r="AY93" s="55">
        <f>SUMIFS('Disbursements Summary'!$E:$E,'Disbursements Summary'!$C:$C,$C93,'Disbursements Summary'!$A:$A,"DOL")</f>
        <v>0</v>
      </c>
      <c r="AZ93" s="55">
        <f>SUMIFS('Awards Summary'!$H:$H,'Awards Summary'!$B:$B,$C93,'Awards Summary'!$J:$J,"DMV")</f>
        <v>0</v>
      </c>
      <c r="BA93" s="55">
        <f>SUMIFS('Disbursements Summary'!$E:$E,'Disbursements Summary'!$C:$C,$C93,'Disbursements Summary'!$A:$A,"DMV")</f>
        <v>0</v>
      </c>
      <c r="BB93" s="55">
        <f>SUMIFS('Awards Summary'!$H:$H,'Awards Summary'!$B:$B,$C93,'Awards Summary'!$J:$J,"DPS")</f>
        <v>0</v>
      </c>
      <c r="BC93" s="55">
        <f>SUMIFS('Disbursements Summary'!$E:$E,'Disbursements Summary'!$C:$C,$C93,'Disbursements Summary'!$A:$A,"DPS")</f>
        <v>0</v>
      </c>
      <c r="BD93" s="55">
        <f>SUMIFS('Awards Summary'!$H:$H,'Awards Summary'!$B:$B,$C93,'Awards Summary'!$J:$J,"DOS")</f>
        <v>0</v>
      </c>
      <c r="BE93" s="55">
        <f>SUMIFS('Disbursements Summary'!$E:$E,'Disbursements Summary'!$C:$C,$C93,'Disbursements Summary'!$A:$A,"DOS")</f>
        <v>0</v>
      </c>
      <c r="BF93" s="55">
        <f>SUMIFS('Awards Summary'!$H:$H,'Awards Summary'!$B:$B,$C93,'Awards Summary'!$J:$J,"TAX")</f>
        <v>0</v>
      </c>
      <c r="BG93" s="55">
        <f>SUMIFS('Disbursements Summary'!$E:$E,'Disbursements Summary'!$C:$C,$C93,'Disbursements Summary'!$A:$A,"TAX")</f>
        <v>0</v>
      </c>
      <c r="BH93" s="55">
        <f>SUMIFS('Awards Summary'!$H:$H,'Awards Summary'!$B:$B,$C93,'Awards Summary'!$J:$J,"DOT")</f>
        <v>0</v>
      </c>
      <c r="BI93" s="55">
        <f>SUMIFS('Disbursements Summary'!$E:$E,'Disbursements Summary'!$C:$C,$C93,'Disbursements Summary'!$A:$A,"DOT")</f>
        <v>0</v>
      </c>
      <c r="BJ93" s="55">
        <f>SUMIFS('Awards Summary'!$H:$H,'Awards Summary'!$B:$B,$C93,'Awards Summary'!$J:$J,"DANC")</f>
        <v>0</v>
      </c>
      <c r="BK93" s="55">
        <f>SUMIFS('Disbursements Summary'!$E:$E,'Disbursements Summary'!$C:$C,$C93,'Disbursements Summary'!$A:$A,"DANC")</f>
        <v>0</v>
      </c>
      <c r="BL93" s="55">
        <f>SUMIFS('Awards Summary'!$H:$H,'Awards Summary'!$B:$B,$C93,'Awards Summary'!$J:$J,"DOB")</f>
        <v>0</v>
      </c>
      <c r="BM93" s="55">
        <f>SUMIFS('Disbursements Summary'!$E:$E,'Disbursements Summary'!$C:$C,$C93,'Disbursements Summary'!$A:$A,"DOB")</f>
        <v>0</v>
      </c>
      <c r="BN93" s="55">
        <f>SUMIFS('Awards Summary'!$H:$H,'Awards Summary'!$B:$B,$C93,'Awards Summary'!$J:$J,"DCJS")</f>
        <v>0</v>
      </c>
      <c r="BO93" s="55">
        <f>SUMIFS('Disbursements Summary'!$E:$E,'Disbursements Summary'!$C:$C,$C93,'Disbursements Summary'!$A:$A,"DCJS")</f>
        <v>0</v>
      </c>
      <c r="BP93" s="55">
        <f>SUMIFS('Awards Summary'!$H:$H,'Awards Summary'!$B:$B,$C93,'Awards Summary'!$J:$J,"DHSES")</f>
        <v>0</v>
      </c>
      <c r="BQ93" s="55">
        <f>SUMIFS('Disbursements Summary'!$E:$E,'Disbursements Summary'!$C:$C,$C93,'Disbursements Summary'!$A:$A,"DHSES")</f>
        <v>0</v>
      </c>
      <c r="BR93" s="55">
        <f>SUMIFS('Awards Summary'!$H:$H,'Awards Summary'!$B:$B,$C93,'Awards Summary'!$J:$J,"DHR")</f>
        <v>0</v>
      </c>
      <c r="BS93" s="55">
        <f>SUMIFS('Disbursements Summary'!$E:$E,'Disbursements Summary'!$C:$C,$C93,'Disbursements Summary'!$A:$A,"DHR")</f>
        <v>0</v>
      </c>
      <c r="BT93" s="55">
        <f>SUMIFS('Awards Summary'!$H:$H,'Awards Summary'!$B:$B,$C93,'Awards Summary'!$J:$J,"DMNA")</f>
        <v>0</v>
      </c>
      <c r="BU93" s="55">
        <f>SUMIFS('Disbursements Summary'!$E:$E,'Disbursements Summary'!$C:$C,$C93,'Disbursements Summary'!$A:$A,"DMNA")</f>
        <v>0</v>
      </c>
      <c r="BV93" s="55">
        <f>SUMIFS('Awards Summary'!$H:$H,'Awards Summary'!$B:$B,$C93,'Awards Summary'!$J:$J,"TROOPERS")</f>
        <v>0</v>
      </c>
      <c r="BW93" s="55">
        <f>SUMIFS('Disbursements Summary'!$E:$E,'Disbursements Summary'!$C:$C,$C93,'Disbursements Summary'!$A:$A,"TROOPERS")</f>
        <v>0</v>
      </c>
      <c r="BX93" s="55">
        <f>SUMIFS('Awards Summary'!$H:$H,'Awards Summary'!$B:$B,$C93,'Awards Summary'!$J:$J,"DVA")</f>
        <v>0</v>
      </c>
      <c r="BY93" s="55">
        <f>SUMIFS('Disbursements Summary'!$E:$E,'Disbursements Summary'!$C:$C,$C93,'Disbursements Summary'!$A:$A,"DVA")</f>
        <v>0</v>
      </c>
      <c r="BZ93" s="55">
        <f>SUMIFS('Awards Summary'!$H:$H,'Awards Summary'!$B:$B,$C93,'Awards Summary'!$J:$J,"DASNY")</f>
        <v>0</v>
      </c>
      <c r="CA93" s="55">
        <f>SUMIFS('Disbursements Summary'!$E:$E,'Disbursements Summary'!$C:$C,$C93,'Disbursements Summary'!$A:$A,"DASNY")</f>
        <v>0</v>
      </c>
      <c r="CB93" s="55">
        <f>SUMIFS('Awards Summary'!$H:$H,'Awards Summary'!$B:$B,$C93,'Awards Summary'!$J:$J,"EGG")</f>
        <v>0</v>
      </c>
      <c r="CC93" s="55">
        <f>SUMIFS('Disbursements Summary'!$E:$E,'Disbursements Summary'!$C:$C,$C93,'Disbursements Summary'!$A:$A,"EGG")</f>
        <v>0</v>
      </c>
      <c r="CD93" s="55">
        <f>SUMIFS('Awards Summary'!$H:$H,'Awards Summary'!$B:$B,$C93,'Awards Summary'!$J:$J,"ESD")</f>
        <v>0</v>
      </c>
      <c r="CE93" s="55">
        <f>SUMIFS('Disbursements Summary'!$E:$E,'Disbursements Summary'!$C:$C,$C93,'Disbursements Summary'!$A:$A,"ESD")</f>
        <v>0</v>
      </c>
      <c r="CF93" s="55">
        <f>SUMIFS('Awards Summary'!$H:$H,'Awards Summary'!$B:$B,$C93,'Awards Summary'!$J:$J,"EFC")</f>
        <v>0</v>
      </c>
      <c r="CG93" s="55">
        <f>SUMIFS('Disbursements Summary'!$E:$E,'Disbursements Summary'!$C:$C,$C93,'Disbursements Summary'!$A:$A,"EFC")</f>
        <v>0</v>
      </c>
      <c r="CH93" s="55">
        <f>SUMIFS('Awards Summary'!$H:$H,'Awards Summary'!$B:$B,$C93,'Awards Summary'!$J:$J,"ECFSA")</f>
        <v>0</v>
      </c>
      <c r="CI93" s="55">
        <f>SUMIFS('Disbursements Summary'!$E:$E,'Disbursements Summary'!$C:$C,$C93,'Disbursements Summary'!$A:$A,"ECFSA")</f>
        <v>0</v>
      </c>
      <c r="CJ93" s="55">
        <f>SUMIFS('Awards Summary'!$H:$H,'Awards Summary'!$B:$B,$C93,'Awards Summary'!$J:$J,"ECMC")</f>
        <v>0</v>
      </c>
      <c r="CK93" s="55">
        <f>SUMIFS('Disbursements Summary'!$E:$E,'Disbursements Summary'!$C:$C,$C93,'Disbursements Summary'!$A:$A,"ECMC")</f>
        <v>0</v>
      </c>
      <c r="CL93" s="55">
        <f>SUMIFS('Awards Summary'!$H:$H,'Awards Summary'!$B:$B,$C93,'Awards Summary'!$J:$J,"CHAMBER")</f>
        <v>0</v>
      </c>
      <c r="CM93" s="55">
        <f>SUMIFS('Disbursements Summary'!$E:$E,'Disbursements Summary'!$C:$C,$C93,'Disbursements Summary'!$A:$A,"CHAMBER")</f>
        <v>0</v>
      </c>
      <c r="CN93" s="55">
        <f>SUMIFS('Awards Summary'!$H:$H,'Awards Summary'!$B:$B,$C93,'Awards Summary'!$J:$J,"GAMING")</f>
        <v>0</v>
      </c>
      <c r="CO93" s="55">
        <f>SUMIFS('Disbursements Summary'!$E:$E,'Disbursements Summary'!$C:$C,$C93,'Disbursements Summary'!$A:$A,"GAMING")</f>
        <v>0</v>
      </c>
      <c r="CP93" s="55">
        <f>SUMIFS('Awards Summary'!$H:$H,'Awards Summary'!$B:$B,$C93,'Awards Summary'!$J:$J,"GOER")</f>
        <v>0</v>
      </c>
      <c r="CQ93" s="55">
        <f>SUMIFS('Disbursements Summary'!$E:$E,'Disbursements Summary'!$C:$C,$C93,'Disbursements Summary'!$A:$A,"GOER")</f>
        <v>0</v>
      </c>
      <c r="CR93" s="55">
        <f>SUMIFS('Awards Summary'!$H:$H,'Awards Summary'!$B:$B,$C93,'Awards Summary'!$J:$J,"HESC")</f>
        <v>0</v>
      </c>
      <c r="CS93" s="55">
        <f>SUMIFS('Disbursements Summary'!$E:$E,'Disbursements Summary'!$C:$C,$C93,'Disbursements Summary'!$A:$A,"HESC")</f>
        <v>0</v>
      </c>
      <c r="CT93" s="55">
        <f>SUMIFS('Awards Summary'!$H:$H,'Awards Summary'!$B:$B,$C93,'Awards Summary'!$J:$J,"GOSR")</f>
        <v>0</v>
      </c>
      <c r="CU93" s="55">
        <f>SUMIFS('Disbursements Summary'!$E:$E,'Disbursements Summary'!$C:$C,$C93,'Disbursements Summary'!$A:$A,"GOSR")</f>
        <v>0</v>
      </c>
      <c r="CV93" s="55">
        <f>SUMIFS('Awards Summary'!$H:$H,'Awards Summary'!$B:$B,$C93,'Awards Summary'!$J:$J,"HRPT")</f>
        <v>0</v>
      </c>
      <c r="CW93" s="55">
        <f>SUMIFS('Disbursements Summary'!$E:$E,'Disbursements Summary'!$C:$C,$C93,'Disbursements Summary'!$A:$A,"HRPT")</f>
        <v>0</v>
      </c>
      <c r="CX93" s="55">
        <f>SUMIFS('Awards Summary'!$H:$H,'Awards Summary'!$B:$B,$C93,'Awards Summary'!$J:$J,"HRBRRD")</f>
        <v>0</v>
      </c>
      <c r="CY93" s="55">
        <f>SUMIFS('Disbursements Summary'!$E:$E,'Disbursements Summary'!$C:$C,$C93,'Disbursements Summary'!$A:$A,"HRBRRD")</f>
        <v>0</v>
      </c>
      <c r="CZ93" s="55">
        <f>SUMIFS('Awards Summary'!$H:$H,'Awards Summary'!$B:$B,$C93,'Awards Summary'!$J:$J,"ITS")</f>
        <v>0</v>
      </c>
      <c r="DA93" s="55">
        <f>SUMIFS('Disbursements Summary'!$E:$E,'Disbursements Summary'!$C:$C,$C93,'Disbursements Summary'!$A:$A,"ITS")</f>
        <v>0</v>
      </c>
      <c r="DB93" s="55">
        <f>SUMIFS('Awards Summary'!$H:$H,'Awards Summary'!$B:$B,$C93,'Awards Summary'!$J:$J,"JAVITS")</f>
        <v>0</v>
      </c>
      <c r="DC93" s="55">
        <f>SUMIFS('Disbursements Summary'!$E:$E,'Disbursements Summary'!$C:$C,$C93,'Disbursements Summary'!$A:$A,"JAVITS")</f>
        <v>0</v>
      </c>
      <c r="DD93" s="55">
        <f>SUMIFS('Awards Summary'!$H:$H,'Awards Summary'!$B:$B,$C93,'Awards Summary'!$J:$J,"JCOPE")</f>
        <v>0</v>
      </c>
      <c r="DE93" s="55">
        <f>SUMIFS('Disbursements Summary'!$E:$E,'Disbursements Summary'!$C:$C,$C93,'Disbursements Summary'!$A:$A,"JCOPE")</f>
        <v>0</v>
      </c>
      <c r="DF93" s="55">
        <f>SUMIFS('Awards Summary'!$H:$H,'Awards Summary'!$B:$B,$C93,'Awards Summary'!$J:$J,"JUSTICE")</f>
        <v>0</v>
      </c>
      <c r="DG93" s="55">
        <f>SUMIFS('Disbursements Summary'!$E:$E,'Disbursements Summary'!$C:$C,$C93,'Disbursements Summary'!$A:$A,"JUSTICE")</f>
        <v>0</v>
      </c>
      <c r="DH93" s="55">
        <f>SUMIFS('Awards Summary'!$H:$H,'Awards Summary'!$B:$B,$C93,'Awards Summary'!$J:$J,"LCWSA")</f>
        <v>0</v>
      </c>
      <c r="DI93" s="55">
        <f>SUMIFS('Disbursements Summary'!$E:$E,'Disbursements Summary'!$C:$C,$C93,'Disbursements Summary'!$A:$A,"LCWSA")</f>
        <v>0</v>
      </c>
      <c r="DJ93" s="55">
        <f>SUMIFS('Awards Summary'!$H:$H,'Awards Summary'!$B:$B,$C93,'Awards Summary'!$J:$J,"LIPA")</f>
        <v>0</v>
      </c>
      <c r="DK93" s="55">
        <f>SUMIFS('Disbursements Summary'!$E:$E,'Disbursements Summary'!$C:$C,$C93,'Disbursements Summary'!$A:$A,"LIPA")</f>
        <v>0</v>
      </c>
      <c r="DL93" s="55">
        <f>SUMIFS('Awards Summary'!$H:$H,'Awards Summary'!$B:$B,$C93,'Awards Summary'!$J:$J,"MTA")</f>
        <v>0</v>
      </c>
      <c r="DM93" s="55">
        <f>SUMIFS('Disbursements Summary'!$E:$E,'Disbursements Summary'!$C:$C,$C93,'Disbursements Summary'!$A:$A,"MTA")</f>
        <v>0</v>
      </c>
      <c r="DN93" s="55">
        <f>SUMIFS('Awards Summary'!$H:$H,'Awards Summary'!$B:$B,$C93,'Awards Summary'!$J:$J,"NIFA")</f>
        <v>0</v>
      </c>
      <c r="DO93" s="55">
        <f>SUMIFS('Disbursements Summary'!$E:$E,'Disbursements Summary'!$C:$C,$C93,'Disbursements Summary'!$A:$A,"NIFA")</f>
        <v>0</v>
      </c>
      <c r="DP93" s="55">
        <f>SUMIFS('Awards Summary'!$H:$H,'Awards Summary'!$B:$B,$C93,'Awards Summary'!$J:$J,"NHCC")</f>
        <v>0</v>
      </c>
      <c r="DQ93" s="55">
        <f>SUMIFS('Disbursements Summary'!$E:$E,'Disbursements Summary'!$C:$C,$C93,'Disbursements Summary'!$A:$A,"NHCC")</f>
        <v>0</v>
      </c>
      <c r="DR93" s="55">
        <f>SUMIFS('Awards Summary'!$H:$H,'Awards Summary'!$B:$B,$C93,'Awards Summary'!$J:$J,"NHT")</f>
        <v>0</v>
      </c>
      <c r="DS93" s="55">
        <f>SUMIFS('Disbursements Summary'!$E:$E,'Disbursements Summary'!$C:$C,$C93,'Disbursements Summary'!$A:$A,"NHT")</f>
        <v>0</v>
      </c>
      <c r="DT93" s="55">
        <f>SUMIFS('Awards Summary'!$H:$H,'Awards Summary'!$B:$B,$C93,'Awards Summary'!$J:$J,"NYPA")</f>
        <v>0</v>
      </c>
      <c r="DU93" s="55">
        <f>SUMIFS('Disbursements Summary'!$E:$E,'Disbursements Summary'!$C:$C,$C93,'Disbursements Summary'!$A:$A,"NYPA")</f>
        <v>0</v>
      </c>
      <c r="DV93" s="55">
        <f>SUMIFS('Awards Summary'!$H:$H,'Awards Summary'!$B:$B,$C93,'Awards Summary'!$J:$J,"NYSBA")</f>
        <v>0</v>
      </c>
      <c r="DW93" s="55">
        <f>SUMIFS('Disbursements Summary'!$E:$E,'Disbursements Summary'!$C:$C,$C93,'Disbursements Summary'!$A:$A,"NYSBA")</f>
        <v>0</v>
      </c>
      <c r="DX93" s="55">
        <f>SUMIFS('Awards Summary'!$H:$H,'Awards Summary'!$B:$B,$C93,'Awards Summary'!$J:$J,"NYSERDA")</f>
        <v>0</v>
      </c>
      <c r="DY93" s="55">
        <f>SUMIFS('Disbursements Summary'!$E:$E,'Disbursements Summary'!$C:$C,$C93,'Disbursements Summary'!$A:$A,"NYSERDA")</f>
        <v>0</v>
      </c>
      <c r="DZ93" s="55">
        <f>SUMIFS('Awards Summary'!$H:$H,'Awards Summary'!$B:$B,$C93,'Awards Summary'!$J:$J,"DHCR")</f>
        <v>0</v>
      </c>
      <c r="EA93" s="55">
        <f>SUMIFS('Disbursements Summary'!$E:$E,'Disbursements Summary'!$C:$C,$C93,'Disbursements Summary'!$A:$A,"DHCR")</f>
        <v>0</v>
      </c>
      <c r="EB93" s="55">
        <f>SUMIFS('Awards Summary'!$H:$H,'Awards Summary'!$B:$B,$C93,'Awards Summary'!$J:$J,"HFA")</f>
        <v>0</v>
      </c>
      <c r="EC93" s="55">
        <f>SUMIFS('Disbursements Summary'!$E:$E,'Disbursements Summary'!$C:$C,$C93,'Disbursements Summary'!$A:$A,"HFA")</f>
        <v>0</v>
      </c>
      <c r="ED93" s="55">
        <f>SUMIFS('Awards Summary'!$H:$H,'Awards Summary'!$B:$B,$C93,'Awards Summary'!$J:$J,"NYSIF")</f>
        <v>0</v>
      </c>
      <c r="EE93" s="55">
        <f>SUMIFS('Disbursements Summary'!$E:$E,'Disbursements Summary'!$C:$C,$C93,'Disbursements Summary'!$A:$A,"NYSIF")</f>
        <v>0</v>
      </c>
      <c r="EF93" s="55">
        <f>SUMIFS('Awards Summary'!$H:$H,'Awards Summary'!$B:$B,$C93,'Awards Summary'!$J:$J,"NYBREDS")</f>
        <v>0</v>
      </c>
      <c r="EG93" s="55">
        <f>SUMIFS('Disbursements Summary'!$E:$E,'Disbursements Summary'!$C:$C,$C93,'Disbursements Summary'!$A:$A,"NYBREDS")</f>
        <v>0</v>
      </c>
      <c r="EH93" s="55">
        <f>SUMIFS('Awards Summary'!$H:$H,'Awards Summary'!$B:$B,$C93,'Awards Summary'!$J:$J,"NYSTA")</f>
        <v>0</v>
      </c>
      <c r="EI93" s="55">
        <f>SUMIFS('Disbursements Summary'!$E:$E,'Disbursements Summary'!$C:$C,$C93,'Disbursements Summary'!$A:$A,"NYSTA")</f>
        <v>0</v>
      </c>
      <c r="EJ93" s="55">
        <f>SUMIFS('Awards Summary'!$H:$H,'Awards Summary'!$B:$B,$C93,'Awards Summary'!$J:$J,"NFWB")</f>
        <v>0</v>
      </c>
      <c r="EK93" s="55">
        <f>SUMIFS('Disbursements Summary'!$E:$E,'Disbursements Summary'!$C:$C,$C93,'Disbursements Summary'!$A:$A,"NFWB")</f>
        <v>0</v>
      </c>
      <c r="EL93" s="55">
        <f>SUMIFS('Awards Summary'!$H:$H,'Awards Summary'!$B:$B,$C93,'Awards Summary'!$J:$J,"NFTA")</f>
        <v>0</v>
      </c>
      <c r="EM93" s="55">
        <f>SUMIFS('Disbursements Summary'!$E:$E,'Disbursements Summary'!$C:$C,$C93,'Disbursements Summary'!$A:$A,"NFTA")</f>
        <v>0</v>
      </c>
      <c r="EN93" s="55">
        <f>SUMIFS('Awards Summary'!$H:$H,'Awards Summary'!$B:$B,$C93,'Awards Summary'!$J:$J,"OPWDD")</f>
        <v>0</v>
      </c>
      <c r="EO93" s="55">
        <f>SUMIFS('Disbursements Summary'!$E:$E,'Disbursements Summary'!$C:$C,$C93,'Disbursements Summary'!$A:$A,"OPWDD")</f>
        <v>0</v>
      </c>
      <c r="EP93" s="55">
        <f>SUMIFS('Awards Summary'!$H:$H,'Awards Summary'!$B:$B,$C93,'Awards Summary'!$J:$J,"AGING")</f>
        <v>0</v>
      </c>
      <c r="EQ93" s="55">
        <f>SUMIFS('Disbursements Summary'!$E:$E,'Disbursements Summary'!$C:$C,$C93,'Disbursements Summary'!$A:$A,"AGING")</f>
        <v>0</v>
      </c>
      <c r="ER93" s="55">
        <f>SUMIFS('Awards Summary'!$H:$H,'Awards Summary'!$B:$B,$C93,'Awards Summary'!$J:$J,"OPDV")</f>
        <v>0</v>
      </c>
      <c r="ES93" s="55">
        <f>SUMIFS('Disbursements Summary'!$E:$E,'Disbursements Summary'!$C:$C,$C93,'Disbursements Summary'!$A:$A,"OPDV")</f>
        <v>0</v>
      </c>
      <c r="ET93" s="55">
        <f>SUMIFS('Awards Summary'!$H:$H,'Awards Summary'!$B:$B,$C93,'Awards Summary'!$J:$J,"OVS")</f>
        <v>0</v>
      </c>
      <c r="EU93" s="55">
        <f>SUMIFS('Disbursements Summary'!$E:$E,'Disbursements Summary'!$C:$C,$C93,'Disbursements Summary'!$A:$A,"OVS")</f>
        <v>0</v>
      </c>
      <c r="EV93" s="55">
        <f>SUMIFS('Awards Summary'!$H:$H,'Awards Summary'!$B:$B,$C93,'Awards Summary'!$J:$J,"OASAS")</f>
        <v>0</v>
      </c>
      <c r="EW93" s="55">
        <f>SUMIFS('Disbursements Summary'!$E:$E,'Disbursements Summary'!$C:$C,$C93,'Disbursements Summary'!$A:$A,"OASAS")</f>
        <v>0</v>
      </c>
      <c r="EX93" s="55">
        <f>SUMIFS('Awards Summary'!$H:$H,'Awards Summary'!$B:$B,$C93,'Awards Summary'!$J:$J,"OCFS")</f>
        <v>0</v>
      </c>
      <c r="EY93" s="55">
        <f>SUMIFS('Disbursements Summary'!$E:$E,'Disbursements Summary'!$C:$C,$C93,'Disbursements Summary'!$A:$A,"OCFS")</f>
        <v>0</v>
      </c>
      <c r="EZ93" s="55">
        <f>SUMIFS('Awards Summary'!$H:$H,'Awards Summary'!$B:$B,$C93,'Awards Summary'!$J:$J,"OGS")</f>
        <v>0</v>
      </c>
      <c r="FA93" s="55">
        <f>SUMIFS('Disbursements Summary'!$E:$E,'Disbursements Summary'!$C:$C,$C93,'Disbursements Summary'!$A:$A,"OGS")</f>
        <v>0</v>
      </c>
      <c r="FB93" s="55">
        <f>SUMIFS('Awards Summary'!$H:$H,'Awards Summary'!$B:$B,$C93,'Awards Summary'!$J:$J,"OMH")</f>
        <v>0</v>
      </c>
      <c r="FC93" s="55">
        <f>SUMIFS('Disbursements Summary'!$E:$E,'Disbursements Summary'!$C:$C,$C93,'Disbursements Summary'!$A:$A,"OMH")</f>
        <v>0</v>
      </c>
      <c r="FD93" s="55">
        <f>SUMIFS('Awards Summary'!$H:$H,'Awards Summary'!$B:$B,$C93,'Awards Summary'!$J:$J,"PARKS")</f>
        <v>0</v>
      </c>
      <c r="FE93" s="55">
        <f>SUMIFS('Disbursements Summary'!$E:$E,'Disbursements Summary'!$C:$C,$C93,'Disbursements Summary'!$A:$A,"PARKS")</f>
        <v>0</v>
      </c>
      <c r="FF93" s="55">
        <f>SUMIFS('Awards Summary'!$H:$H,'Awards Summary'!$B:$B,$C93,'Awards Summary'!$J:$J,"OTDA")</f>
        <v>0</v>
      </c>
      <c r="FG93" s="55">
        <f>SUMIFS('Disbursements Summary'!$E:$E,'Disbursements Summary'!$C:$C,$C93,'Disbursements Summary'!$A:$A,"OTDA")</f>
        <v>0</v>
      </c>
      <c r="FH93" s="55">
        <f>SUMIFS('Awards Summary'!$H:$H,'Awards Summary'!$B:$B,$C93,'Awards Summary'!$J:$J,"OIG")</f>
        <v>0</v>
      </c>
      <c r="FI93" s="55">
        <f>SUMIFS('Disbursements Summary'!$E:$E,'Disbursements Summary'!$C:$C,$C93,'Disbursements Summary'!$A:$A,"OIG")</f>
        <v>0</v>
      </c>
      <c r="FJ93" s="55">
        <f>SUMIFS('Awards Summary'!$H:$H,'Awards Summary'!$B:$B,$C93,'Awards Summary'!$J:$J,"OMIG")</f>
        <v>0</v>
      </c>
      <c r="FK93" s="55">
        <f>SUMIFS('Disbursements Summary'!$E:$E,'Disbursements Summary'!$C:$C,$C93,'Disbursements Summary'!$A:$A,"OMIG")</f>
        <v>0</v>
      </c>
      <c r="FL93" s="55">
        <f>SUMIFS('Awards Summary'!$H:$H,'Awards Summary'!$B:$B,$C93,'Awards Summary'!$J:$J,"OSC")</f>
        <v>0</v>
      </c>
      <c r="FM93" s="55">
        <f>SUMIFS('Disbursements Summary'!$E:$E,'Disbursements Summary'!$C:$C,$C93,'Disbursements Summary'!$A:$A,"OSC")</f>
        <v>0</v>
      </c>
      <c r="FN93" s="55">
        <f>SUMIFS('Awards Summary'!$H:$H,'Awards Summary'!$B:$B,$C93,'Awards Summary'!$J:$J,"OWIG")</f>
        <v>0</v>
      </c>
      <c r="FO93" s="55">
        <f>SUMIFS('Disbursements Summary'!$E:$E,'Disbursements Summary'!$C:$C,$C93,'Disbursements Summary'!$A:$A,"OWIG")</f>
        <v>0</v>
      </c>
      <c r="FP93" s="55">
        <f>SUMIFS('Awards Summary'!$H:$H,'Awards Summary'!$B:$B,$C93,'Awards Summary'!$J:$J,"OGDEN")</f>
        <v>0</v>
      </c>
      <c r="FQ93" s="55">
        <f>SUMIFS('Disbursements Summary'!$E:$E,'Disbursements Summary'!$C:$C,$C93,'Disbursements Summary'!$A:$A,"OGDEN")</f>
        <v>0</v>
      </c>
      <c r="FR93" s="55">
        <f>SUMIFS('Awards Summary'!$H:$H,'Awards Summary'!$B:$B,$C93,'Awards Summary'!$J:$J,"ORDA")</f>
        <v>0</v>
      </c>
      <c r="FS93" s="55">
        <f>SUMIFS('Disbursements Summary'!$E:$E,'Disbursements Summary'!$C:$C,$C93,'Disbursements Summary'!$A:$A,"ORDA")</f>
        <v>0</v>
      </c>
      <c r="FT93" s="55">
        <f>SUMIFS('Awards Summary'!$H:$H,'Awards Summary'!$B:$B,$C93,'Awards Summary'!$J:$J,"OSWEGO")</f>
        <v>0</v>
      </c>
      <c r="FU93" s="55">
        <f>SUMIFS('Disbursements Summary'!$E:$E,'Disbursements Summary'!$C:$C,$C93,'Disbursements Summary'!$A:$A,"OSWEGO")</f>
        <v>0</v>
      </c>
      <c r="FV93" s="55">
        <f>SUMIFS('Awards Summary'!$H:$H,'Awards Summary'!$B:$B,$C93,'Awards Summary'!$J:$J,"PERB")</f>
        <v>0</v>
      </c>
      <c r="FW93" s="55">
        <f>SUMIFS('Disbursements Summary'!$E:$E,'Disbursements Summary'!$C:$C,$C93,'Disbursements Summary'!$A:$A,"PERB")</f>
        <v>0</v>
      </c>
      <c r="FX93" s="55">
        <f>SUMIFS('Awards Summary'!$H:$H,'Awards Summary'!$B:$B,$C93,'Awards Summary'!$J:$J,"RGRTA")</f>
        <v>0</v>
      </c>
      <c r="FY93" s="55">
        <f>SUMIFS('Disbursements Summary'!$E:$E,'Disbursements Summary'!$C:$C,$C93,'Disbursements Summary'!$A:$A,"RGRTA")</f>
        <v>0</v>
      </c>
      <c r="FZ93" s="55">
        <f>SUMIFS('Awards Summary'!$H:$H,'Awards Summary'!$B:$B,$C93,'Awards Summary'!$J:$J,"RIOC")</f>
        <v>0</v>
      </c>
      <c r="GA93" s="55">
        <f>SUMIFS('Disbursements Summary'!$E:$E,'Disbursements Summary'!$C:$C,$C93,'Disbursements Summary'!$A:$A,"RIOC")</f>
        <v>0</v>
      </c>
      <c r="GB93" s="55">
        <f>SUMIFS('Awards Summary'!$H:$H,'Awards Summary'!$B:$B,$C93,'Awards Summary'!$J:$J,"RPCI")</f>
        <v>0</v>
      </c>
      <c r="GC93" s="55">
        <f>SUMIFS('Disbursements Summary'!$E:$E,'Disbursements Summary'!$C:$C,$C93,'Disbursements Summary'!$A:$A,"RPCI")</f>
        <v>0</v>
      </c>
      <c r="GD93" s="55">
        <f>SUMIFS('Awards Summary'!$H:$H,'Awards Summary'!$B:$B,$C93,'Awards Summary'!$J:$J,"SMDA")</f>
        <v>0</v>
      </c>
      <c r="GE93" s="55">
        <f>SUMIFS('Disbursements Summary'!$E:$E,'Disbursements Summary'!$C:$C,$C93,'Disbursements Summary'!$A:$A,"SMDA")</f>
        <v>0</v>
      </c>
      <c r="GF93" s="55">
        <f>SUMIFS('Awards Summary'!$H:$H,'Awards Summary'!$B:$B,$C93,'Awards Summary'!$J:$J,"SCOC")</f>
        <v>0</v>
      </c>
      <c r="GG93" s="55">
        <f>SUMIFS('Disbursements Summary'!$E:$E,'Disbursements Summary'!$C:$C,$C93,'Disbursements Summary'!$A:$A,"SCOC")</f>
        <v>0</v>
      </c>
      <c r="GH93" s="55">
        <f>SUMIFS('Awards Summary'!$H:$H,'Awards Summary'!$B:$B,$C93,'Awards Summary'!$J:$J,"SUCF")</f>
        <v>0</v>
      </c>
      <c r="GI93" s="55">
        <f>SUMIFS('Disbursements Summary'!$E:$E,'Disbursements Summary'!$C:$C,$C93,'Disbursements Summary'!$A:$A,"SUCF")</f>
        <v>0</v>
      </c>
      <c r="GJ93" s="55">
        <f>SUMIFS('Awards Summary'!$H:$H,'Awards Summary'!$B:$B,$C93,'Awards Summary'!$J:$J,"SUNY")</f>
        <v>0</v>
      </c>
      <c r="GK93" s="55">
        <f>SUMIFS('Disbursements Summary'!$E:$E,'Disbursements Summary'!$C:$C,$C93,'Disbursements Summary'!$A:$A,"SUNY")</f>
        <v>0</v>
      </c>
      <c r="GL93" s="55">
        <f>SUMIFS('Awards Summary'!$H:$H,'Awards Summary'!$B:$B,$C93,'Awards Summary'!$J:$J,"SRAA")</f>
        <v>0</v>
      </c>
      <c r="GM93" s="55">
        <f>SUMIFS('Disbursements Summary'!$E:$E,'Disbursements Summary'!$C:$C,$C93,'Disbursements Summary'!$A:$A,"SRAA")</f>
        <v>0</v>
      </c>
      <c r="GN93" s="55">
        <f>SUMIFS('Awards Summary'!$H:$H,'Awards Summary'!$B:$B,$C93,'Awards Summary'!$J:$J,"UNDC")</f>
        <v>0</v>
      </c>
      <c r="GO93" s="55">
        <f>SUMIFS('Disbursements Summary'!$E:$E,'Disbursements Summary'!$C:$C,$C93,'Disbursements Summary'!$A:$A,"UNDC")</f>
        <v>0</v>
      </c>
      <c r="GP93" s="55">
        <f>SUMIFS('Awards Summary'!$H:$H,'Awards Summary'!$B:$B,$C93,'Awards Summary'!$J:$J,"MVWA")</f>
        <v>0</v>
      </c>
      <c r="GQ93" s="55">
        <f>SUMIFS('Disbursements Summary'!$E:$E,'Disbursements Summary'!$C:$C,$C93,'Disbursements Summary'!$A:$A,"MVWA")</f>
        <v>0</v>
      </c>
      <c r="GR93" s="55">
        <f>SUMIFS('Awards Summary'!$H:$H,'Awards Summary'!$B:$B,$C93,'Awards Summary'!$J:$J,"WMC")</f>
        <v>0</v>
      </c>
      <c r="GS93" s="55">
        <f>SUMIFS('Disbursements Summary'!$E:$E,'Disbursements Summary'!$C:$C,$C93,'Disbursements Summary'!$A:$A,"WMC")</f>
        <v>0</v>
      </c>
      <c r="GT93" s="55">
        <f>SUMIFS('Awards Summary'!$H:$H,'Awards Summary'!$B:$B,$C93,'Awards Summary'!$J:$J,"WCB")</f>
        <v>0</v>
      </c>
      <c r="GU93" s="55">
        <f>SUMIFS('Disbursements Summary'!$E:$E,'Disbursements Summary'!$C:$C,$C93,'Disbursements Summary'!$A:$A,"WCB")</f>
        <v>0</v>
      </c>
      <c r="GV93" s="32">
        <f t="shared" si="10"/>
        <v>0</v>
      </c>
      <c r="GW93" s="32">
        <f t="shared" si="11"/>
        <v>0</v>
      </c>
      <c r="GX93" s="30" t="b">
        <f t="shared" si="12"/>
        <v>1</v>
      </c>
      <c r="GY93" s="30" t="b">
        <f t="shared" si="13"/>
        <v>1</v>
      </c>
    </row>
    <row r="94" spans="1:207" s="30" customFormat="1">
      <c r="A94" s="22" t="str">
        <f t="shared" si="9"/>
        <v/>
      </c>
      <c r="B94" s="40" t="s">
        <v>95</v>
      </c>
      <c r="C94" s="16">
        <v>151198</v>
      </c>
      <c r="D94" s="26">
        <f>COUNTIF('Awards Summary'!B:B,"151198")</f>
        <v>0</v>
      </c>
      <c r="E94" s="45">
        <f>SUMIFS('Awards Summary'!H:H,'Awards Summary'!B:B,"151198")</f>
        <v>0</v>
      </c>
      <c r="F94" s="46">
        <f>SUMIFS('Disbursements Summary'!E:E,'Disbursements Summary'!C:C, "151198")</f>
        <v>0</v>
      </c>
      <c r="H94" s="55">
        <f>SUMIFS('Awards Summary'!$H:$H,'Awards Summary'!$B:$B,$C94,'Awards Summary'!$J:$J,"APA")</f>
        <v>0</v>
      </c>
      <c r="I94" s="55">
        <f>SUMIFS('Disbursements Summary'!$E:$E,'Disbursements Summary'!$C:$C,$C94,'Disbursements Summary'!$A:$A,"APA")</f>
        <v>0</v>
      </c>
      <c r="J94" s="55">
        <f>SUMIFS('Awards Summary'!$H:$H,'Awards Summary'!$B:$B,$C94,'Awards Summary'!$J:$J,"Ag&amp;Horse")</f>
        <v>0</v>
      </c>
      <c r="K94" s="55">
        <f>SUMIFS('Disbursements Summary'!$E:$E,'Disbursements Summary'!$C:$C,$C94,'Disbursements Summary'!$A:$A,"Ag&amp;Horse")</f>
        <v>0</v>
      </c>
      <c r="L94" s="55">
        <f>SUMIFS('Awards Summary'!$H:$H,'Awards Summary'!$B:$B,$C94,'Awards Summary'!$J:$J,"ACAA")</f>
        <v>0</v>
      </c>
      <c r="M94" s="55">
        <f>SUMIFS('Disbursements Summary'!$E:$E,'Disbursements Summary'!$C:$C,$C94,'Disbursements Summary'!$A:$A,"ACAA")</f>
        <v>0</v>
      </c>
      <c r="N94" s="55">
        <f>SUMIFS('Awards Summary'!$H:$H,'Awards Summary'!$B:$B,$C94,'Awards Summary'!$J:$J,"PortAlbany")</f>
        <v>0</v>
      </c>
      <c r="O94" s="55">
        <f>SUMIFS('Disbursements Summary'!$E:$E,'Disbursements Summary'!$C:$C,$C94,'Disbursements Summary'!$A:$A,"PortAlbany")</f>
        <v>0</v>
      </c>
      <c r="P94" s="55">
        <f>SUMIFS('Awards Summary'!$H:$H,'Awards Summary'!$B:$B,$C94,'Awards Summary'!$J:$J,"SLA")</f>
        <v>0</v>
      </c>
      <c r="Q94" s="55">
        <f>SUMIFS('Disbursements Summary'!$E:$E,'Disbursements Summary'!$C:$C,$C94,'Disbursements Summary'!$A:$A,"SLA")</f>
        <v>0</v>
      </c>
      <c r="R94" s="55">
        <f>SUMIFS('Awards Summary'!$H:$H,'Awards Summary'!$B:$B,$C94,'Awards Summary'!$J:$J,"BPCA")</f>
        <v>0</v>
      </c>
      <c r="S94" s="55">
        <f>SUMIFS('Disbursements Summary'!$E:$E,'Disbursements Summary'!$C:$C,$C94,'Disbursements Summary'!$A:$A,"BPCA")</f>
        <v>0</v>
      </c>
      <c r="T94" s="55">
        <f>SUMIFS('Awards Summary'!$H:$H,'Awards Summary'!$B:$B,$C94,'Awards Summary'!$J:$J,"ELECTIONS")</f>
        <v>0</v>
      </c>
      <c r="U94" s="55">
        <f>SUMIFS('Disbursements Summary'!$E:$E,'Disbursements Summary'!$C:$C,$C94,'Disbursements Summary'!$A:$A,"ELECTIONS")</f>
        <v>0</v>
      </c>
      <c r="V94" s="55">
        <f>SUMIFS('Awards Summary'!$H:$H,'Awards Summary'!$B:$B,$C94,'Awards Summary'!$J:$J,"BFSA")</f>
        <v>0</v>
      </c>
      <c r="W94" s="55">
        <f>SUMIFS('Disbursements Summary'!$E:$E,'Disbursements Summary'!$C:$C,$C94,'Disbursements Summary'!$A:$A,"BFSA")</f>
        <v>0</v>
      </c>
      <c r="X94" s="55">
        <f>SUMIFS('Awards Summary'!$H:$H,'Awards Summary'!$B:$B,$C94,'Awards Summary'!$J:$J,"CDTA")</f>
        <v>0</v>
      </c>
      <c r="Y94" s="55">
        <f>SUMIFS('Disbursements Summary'!$E:$E,'Disbursements Summary'!$C:$C,$C94,'Disbursements Summary'!$A:$A,"CDTA")</f>
        <v>0</v>
      </c>
      <c r="Z94" s="55">
        <f>SUMIFS('Awards Summary'!$H:$H,'Awards Summary'!$B:$B,$C94,'Awards Summary'!$J:$J,"CCWSA")</f>
        <v>0</v>
      </c>
      <c r="AA94" s="55">
        <f>SUMIFS('Disbursements Summary'!$E:$E,'Disbursements Summary'!$C:$C,$C94,'Disbursements Summary'!$A:$A,"CCWSA")</f>
        <v>0</v>
      </c>
      <c r="AB94" s="55">
        <f>SUMIFS('Awards Summary'!$H:$H,'Awards Summary'!$B:$B,$C94,'Awards Summary'!$J:$J,"CNYRTA")</f>
        <v>0</v>
      </c>
      <c r="AC94" s="55">
        <f>SUMIFS('Disbursements Summary'!$E:$E,'Disbursements Summary'!$C:$C,$C94,'Disbursements Summary'!$A:$A,"CNYRTA")</f>
        <v>0</v>
      </c>
      <c r="AD94" s="55">
        <f>SUMIFS('Awards Summary'!$H:$H,'Awards Summary'!$B:$B,$C94,'Awards Summary'!$J:$J,"CUCF")</f>
        <v>0</v>
      </c>
      <c r="AE94" s="55">
        <f>SUMIFS('Disbursements Summary'!$E:$E,'Disbursements Summary'!$C:$C,$C94,'Disbursements Summary'!$A:$A,"CUCF")</f>
        <v>0</v>
      </c>
      <c r="AF94" s="55">
        <f>SUMIFS('Awards Summary'!$H:$H,'Awards Summary'!$B:$B,$C94,'Awards Summary'!$J:$J,"CUNY")</f>
        <v>0</v>
      </c>
      <c r="AG94" s="55">
        <f>SUMIFS('Disbursements Summary'!$E:$E,'Disbursements Summary'!$C:$C,$C94,'Disbursements Summary'!$A:$A,"CUNY")</f>
        <v>0</v>
      </c>
      <c r="AH94" s="55">
        <f>SUMIFS('Awards Summary'!$H:$H,'Awards Summary'!$B:$B,$C94,'Awards Summary'!$J:$J,"ARTS")</f>
        <v>0</v>
      </c>
      <c r="AI94" s="55">
        <f>SUMIFS('Disbursements Summary'!$E:$E,'Disbursements Summary'!$C:$C,$C94,'Disbursements Summary'!$A:$A,"ARTS")</f>
        <v>0</v>
      </c>
      <c r="AJ94" s="55">
        <f>SUMIFS('Awards Summary'!$H:$H,'Awards Summary'!$B:$B,$C94,'Awards Summary'!$J:$J,"AG&amp;MKTS")</f>
        <v>0</v>
      </c>
      <c r="AK94" s="55">
        <f>SUMIFS('Disbursements Summary'!$E:$E,'Disbursements Summary'!$C:$C,$C94,'Disbursements Summary'!$A:$A,"AG&amp;MKTS")</f>
        <v>0</v>
      </c>
      <c r="AL94" s="55">
        <f>SUMIFS('Awards Summary'!$H:$H,'Awards Summary'!$B:$B,$C94,'Awards Summary'!$J:$J,"CS")</f>
        <v>0</v>
      </c>
      <c r="AM94" s="55">
        <f>SUMIFS('Disbursements Summary'!$E:$E,'Disbursements Summary'!$C:$C,$C94,'Disbursements Summary'!$A:$A,"CS")</f>
        <v>0</v>
      </c>
      <c r="AN94" s="55">
        <f>SUMIFS('Awards Summary'!$H:$H,'Awards Summary'!$B:$B,$C94,'Awards Summary'!$J:$J,"DOCCS")</f>
        <v>0</v>
      </c>
      <c r="AO94" s="55">
        <f>SUMIFS('Disbursements Summary'!$E:$E,'Disbursements Summary'!$C:$C,$C94,'Disbursements Summary'!$A:$A,"DOCCS")</f>
        <v>0</v>
      </c>
      <c r="AP94" s="55">
        <f>SUMIFS('Awards Summary'!$H:$H,'Awards Summary'!$B:$B,$C94,'Awards Summary'!$J:$J,"DED")</f>
        <v>0</v>
      </c>
      <c r="AQ94" s="55">
        <f>SUMIFS('Disbursements Summary'!$E:$E,'Disbursements Summary'!$C:$C,$C94,'Disbursements Summary'!$A:$A,"DED")</f>
        <v>0</v>
      </c>
      <c r="AR94" s="55">
        <f>SUMIFS('Awards Summary'!$H:$H,'Awards Summary'!$B:$B,$C94,'Awards Summary'!$J:$J,"DEC")</f>
        <v>0</v>
      </c>
      <c r="AS94" s="55">
        <f>SUMIFS('Disbursements Summary'!$E:$E,'Disbursements Summary'!$C:$C,$C94,'Disbursements Summary'!$A:$A,"DEC")</f>
        <v>0</v>
      </c>
      <c r="AT94" s="55">
        <f>SUMIFS('Awards Summary'!$H:$H,'Awards Summary'!$B:$B,$C94,'Awards Summary'!$J:$J,"DFS")</f>
        <v>0</v>
      </c>
      <c r="AU94" s="55">
        <f>SUMIFS('Disbursements Summary'!$E:$E,'Disbursements Summary'!$C:$C,$C94,'Disbursements Summary'!$A:$A,"DFS")</f>
        <v>0</v>
      </c>
      <c r="AV94" s="55">
        <f>SUMIFS('Awards Summary'!$H:$H,'Awards Summary'!$B:$B,$C94,'Awards Summary'!$J:$J,"DOH")</f>
        <v>0</v>
      </c>
      <c r="AW94" s="55">
        <f>SUMIFS('Disbursements Summary'!$E:$E,'Disbursements Summary'!$C:$C,$C94,'Disbursements Summary'!$A:$A,"DOH")</f>
        <v>0</v>
      </c>
      <c r="AX94" s="55">
        <f>SUMIFS('Awards Summary'!$H:$H,'Awards Summary'!$B:$B,$C94,'Awards Summary'!$J:$J,"DOL")</f>
        <v>0</v>
      </c>
      <c r="AY94" s="55">
        <f>SUMIFS('Disbursements Summary'!$E:$E,'Disbursements Summary'!$C:$C,$C94,'Disbursements Summary'!$A:$A,"DOL")</f>
        <v>0</v>
      </c>
      <c r="AZ94" s="55">
        <f>SUMIFS('Awards Summary'!$H:$H,'Awards Summary'!$B:$B,$C94,'Awards Summary'!$J:$J,"DMV")</f>
        <v>0</v>
      </c>
      <c r="BA94" s="55">
        <f>SUMIFS('Disbursements Summary'!$E:$E,'Disbursements Summary'!$C:$C,$C94,'Disbursements Summary'!$A:$A,"DMV")</f>
        <v>0</v>
      </c>
      <c r="BB94" s="55">
        <f>SUMIFS('Awards Summary'!$H:$H,'Awards Summary'!$B:$B,$C94,'Awards Summary'!$J:$J,"DPS")</f>
        <v>0</v>
      </c>
      <c r="BC94" s="55">
        <f>SUMIFS('Disbursements Summary'!$E:$E,'Disbursements Summary'!$C:$C,$C94,'Disbursements Summary'!$A:$A,"DPS")</f>
        <v>0</v>
      </c>
      <c r="BD94" s="55">
        <f>SUMIFS('Awards Summary'!$H:$H,'Awards Summary'!$B:$B,$C94,'Awards Summary'!$J:$J,"DOS")</f>
        <v>0</v>
      </c>
      <c r="BE94" s="55">
        <f>SUMIFS('Disbursements Summary'!$E:$E,'Disbursements Summary'!$C:$C,$C94,'Disbursements Summary'!$A:$A,"DOS")</f>
        <v>0</v>
      </c>
      <c r="BF94" s="55">
        <f>SUMIFS('Awards Summary'!$H:$H,'Awards Summary'!$B:$B,$C94,'Awards Summary'!$J:$J,"TAX")</f>
        <v>0</v>
      </c>
      <c r="BG94" s="55">
        <f>SUMIFS('Disbursements Summary'!$E:$E,'Disbursements Summary'!$C:$C,$C94,'Disbursements Summary'!$A:$A,"TAX")</f>
        <v>0</v>
      </c>
      <c r="BH94" s="55">
        <f>SUMIFS('Awards Summary'!$H:$H,'Awards Summary'!$B:$B,$C94,'Awards Summary'!$J:$J,"DOT")</f>
        <v>0</v>
      </c>
      <c r="BI94" s="55">
        <f>SUMIFS('Disbursements Summary'!$E:$E,'Disbursements Summary'!$C:$C,$C94,'Disbursements Summary'!$A:$A,"DOT")</f>
        <v>0</v>
      </c>
      <c r="BJ94" s="55">
        <f>SUMIFS('Awards Summary'!$H:$H,'Awards Summary'!$B:$B,$C94,'Awards Summary'!$J:$J,"DANC")</f>
        <v>0</v>
      </c>
      <c r="BK94" s="55">
        <f>SUMIFS('Disbursements Summary'!$E:$E,'Disbursements Summary'!$C:$C,$C94,'Disbursements Summary'!$A:$A,"DANC")</f>
        <v>0</v>
      </c>
      <c r="BL94" s="55">
        <f>SUMIFS('Awards Summary'!$H:$H,'Awards Summary'!$B:$B,$C94,'Awards Summary'!$J:$J,"DOB")</f>
        <v>0</v>
      </c>
      <c r="BM94" s="55">
        <f>SUMIFS('Disbursements Summary'!$E:$E,'Disbursements Summary'!$C:$C,$C94,'Disbursements Summary'!$A:$A,"DOB")</f>
        <v>0</v>
      </c>
      <c r="BN94" s="55">
        <f>SUMIFS('Awards Summary'!$H:$H,'Awards Summary'!$B:$B,$C94,'Awards Summary'!$J:$J,"DCJS")</f>
        <v>0</v>
      </c>
      <c r="BO94" s="55">
        <f>SUMIFS('Disbursements Summary'!$E:$E,'Disbursements Summary'!$C:$C,$C94,'Disbursements Summary'!$A:$A,"DCJS")</f>
        <v>0</v>
      </c>
      <c r="BP94" s="55">
        <f>SUMIFS('Awards Summary'!$H:$H,'Awards Summary'!$B:$B,$C94,'Awards Summary'!$J:$J,"DHSES")</f>
        <v>0</v>
      </c>
      <c r="BQ94" s="55">
        <f>SUMIFS('Disbursements Summary'!$E:$E,'Disbursements Summary'!$C:$C,$C94,'Disbursements Summary'!$A:$A,"DHSES")</f>
        <v>0</v>
      </c>
      <c r="BR94" s="55">
        <f>SUMIFS('Awards Summary'!$H:$H,'Awards Summary'!$B:$B,$C94,'Awards Summary'!$J:$J,"DHR")</f>
        <v>0</v>
      </c>
      <c r="BS94" s="55">
        <f>SUMIFS('Disbursements Summary'!$E:$E,'Disbursements Summary'!$C:$C,$C94,'Disbursements Summary'!$A:$A,"DHR")</f>
        <v>0</v>
      </c>
      <c r="BT94" s="55">
        <f>SUMIFS('Awards Summary'!$H:$H,'Awards Summary'!$B:$B,$C94,'Awards Summary'!$J:$J,"DMNA")</f>
        <v>0</v>
      </c>
      <c r="BU94" s="55">
        <f>SUMIFS('Disbursements Summary'!$E:$E,'Disbursements Summary'!$C:$C,$C94,'Disbursements Summary'!$A:$A,"DMNA")</f>
        <v>0</v>
      </c>
      <c r="BV94" s="55">
        <f>SUMIFS('Awards Summary'!$H:$H,'Awards Summary'!$B:$B,$C94,'Awards Summary'!$J:$J,"TROOPERS")</f>
        <v>0</v>
      </c>
      <c r="BW94" s="55">
        <f>SUMIFS('Disbursements Summary'!$E:$E,'Disbursements Summary'!$C:$C,$C94,'Disbursements Summary'!$A:$A,"TROOPERS")</f>
        <v>0</v>
      </c>
      <c r="BX94" s="55">
        <f>SUMIFS('Awards Summary'!$H:$H,'Awards Summary'!$B:$B,$C94,'Awards Summary'!$J:$J,"DVA")</f>
        <v>0</v>
      </c>
      <c r="BY94" s="55">
        <f>SUMIFS('Disbursements Summary'!$E:$E,'Disbursements Summary'!$C:$C,$C94,'Disbursements Summary'!$A:$A,"DVA")</f>
        <v>0</v>
      </c>
      <c r="BZ94" s="55">
        <f>SUMIFS('Awards Summary'!$H:$H,'Awards Summary'!$B:$B,$C94,'Awards Summary'!$J:$J,"DASNY")</f>
        <v>0</v>
      </c>
      <c r="CA94" s="55">
        <f>SUMIFS('Disbursements Summary'!$E:$E,'Disbursements Summary'!$C:$C,$C94,'Disbursements Summary'!$A:$A,"DASNY")</f>
        <v>0</v>
      </c>
      <c r="CB94" s="55">
        <f>SUMIFS('Awards Summary'!$H:$H,'Awards Summary'!$B:$B,$C94,'Awards Summary'!$J:$J,"EGG")</f>
        <v>0</v>
      </c>
      <c r="CC94" s="55">
        <f>SUMIFS('Disbursements Summary'!$E:$E,'Disbursements Summary'!$C:$C,$C94,'Disbursements Summary'!$A:$A,"EGG")</f>
        <v>0</v>
      </c>
      <c r="CD94" s="55">
        <f>SUMIFS('Awards Summary'!$H:$H,'Awards Summary'!$B:$B,$C94,'Awards Summary'!$J:$J,"ESD")</f>
        <v>0</v>
      </c>
      <c r="CE94" s="55">
        <f>SUMIFS('Disbursements Summary'!$E:$E,'Disbursements Summary'!$C:$C,$C94,'Disbursements Summary'!$A:$A,"ESD")</f>
        <v>0</v>
      </c>
      <c r="CF94" s="55">
        <f>SUMIFS('Awards Summary'!$H:$H,'Awards Summary'!$B:$B,$C94,'Awards Summary'!$J:$J,"EFC")</f>
        <v>0</v>
      </c>
      <c r="CG94" s="55">
        <f>SUMIFS('Disbursements Summary'!$E:$E,'Disbursements Summary'!$C:$C,$C94,'Disbursements Summary'!$A:$A,"EFC")</f>
        <v>0</v>
      </c>
      <c r="CH94" s="55">
        <f>SUMIFS('Awards Summary'!$H:$H,'Awards Summary'!$B:$B,$C94,'Awards Summary'!$J:$J,"ECFSA")</f>
        <v>0</v>
      </c>
      <c r="CI94" s="55">
        <f>SUMIFS('Disbursements Summary'!$E:$E,'Disbursements Summary'!$C:$C,$C94,'Disbursements Summary'!$A:$A,"ECFSA")</f>
        <v>0</v>
      </c>
      <c r="CJ94" s="55">
        <f>SUMIFS('Awards Summary'!$H:$H,'Awards Summary'!$B:$B,$C94,'Awards Summary'!$J:$J,"ECMC")</f>
        <v>0</v>
      </c>
      <c r="CK94" s="55">
        <f>SUMIFS('Disbursements Summary'!$E:$E,'Disbursements Summary'!$C:$C,$C94,'Disbursements Summary'!$A:$A,"ECMC")</f>
        <v>0</v>
      </c>
      <c r="CL94" s="55">
        <f>SUMIFS('Awards Summary'!$H:$H,'Awards Summary'!$B:$B,$C94,'Awards Summary'!$J:$J,"CHAMBER")</f>
        <v>0</v>
      </c>
      <c r="CM94" s="55">
        <f>SUMIFS('Disbursements Summary'!$E:$E,'Disbursements Summary'!$C:$C,$C94,'Disbursements Summary'!$A:$A,"CHAMBER")</f>
        <v>0</v>
      </c>
      <c r="CN94" s="55">
        <f>SUMIFS('Awards Summary'!$H:$H,'Awards Summary'!$B:$B,$C94,'Awards Summary'!$J:$J,"GAMING")</f>
        <v>0</v>
      </c>
      <c r="CO94" s="55">
        <f>SUMIFS('Disbursements Summary'!$E:$E,'Disbursements Summary'!$C:$C,$C94,'Disbursements Summary'!$A:$A,"GAMING")</f>
        <v>0</v>
      </c>
      <c r="CP94" s="55">
        <f>SUMIFS('Awards Summary'!$H:$H,'Awards Summary'!$B:$B,$C94,'Awards Summary'!$J:$J,"GOER")</f>
        <v>0</v>
      </c>
      <c r="CQ94" s="55">
        <f>SUMIFS('Disbursements Summary'!$E:$E,'Disbursements Summary'!$C:$C,$C94,'Disbursements Summary'!$A:$A,"GOER")</f>
        <v>0</v>
      </c>
      <c r="CR94" s="55">
        <f>SUMIFS('Awards Summary'!$H:$H,'Awards Summary'!$B:$B,$C94,'Awards Summary'!$J:$J,"HESC")</f>
        <v>0</v>
      </c>
      <c r="CS94" s="55">
        <f>SUMIFS('Disbursements Summary'!$E:$E,'Disbursements Summary'!$C:$C,$C94,'Disbursements Summary'!$A:$A,"HESC")</f>
        <v>0</v>
      </c>
      <c r="CT94" s="55">
        <f>SUMIFS('Awards Summary'!$H:$H,'Awards Summary'!$B:$B,$C94,'Awards Summary'!$J:$J,"GOSR")</f>
        <v>0</v>
      </c>
      <c r="CU94" s="55">
        <f>SUMIFS('Disbursements Summary'!$E:$E,'Disbursements Summary'!$C:$C,$C94,'Disbursements Summary'!$A:$A,"GOSR")</f>
        <v>0</v>
      </c>
      <c r="CV94" s="55">
        <f>SUMIFS('Awards Summary'!$H:$H,'Awards Summary'!$B:$B,$C94,'Awards Summary'!$J:$J,"HRPT")</f>
        <v>0</v>
      </c>
      <c r="CW94" s="55">
        <f>SUMIFS('Disbursements Summary'!$E:$E,'Disbursements Summary'!$C:$C,$C94,'Disbursements Summary'!$A:$A,"HRPT")</f>
        <v>0</v>
      </c>
      <c r="CX94" s="55">
        <f>SUMIFS('Awards Summary'!$H:$H,'Awards Summary'!$B:$B,$C94,'Awards Summary'!$J:$J,"HRBRRD")</f>
        <v>0</v>
      </c>
      <c r="CY94" s="55">
        <f>SUMIFS('Disbursements Summary'!$E:$E,'Disbursements Summary'!$C:$C,$C94,'Disbursements Summary'!$A:$A,"HRBRRD")</f>
        <v>0</v>
      </c>
      <c r="CZ94" s="55">
        <f>SUMIFS('Awards Summary'!$H:$H,'Awards Summary'!$B:$B,$C94,'Awards Summary'!$J:$J,"ITS")</f>
        <v>0</v>
      </c>
      <c r="DA94" s="55">
        <f>SUMIFS('Disbursements Summary'!$E:$E,'Disbursements Summary'!$C:$C,$C94,'Disbursements Summary'!$A:$A,"ITS")</f>
        <v>0</v>
      </c>
      <c r="DB94" s="55">
        <f>SUMIFS('Awards Summary'!$H:$H,'Awards Summary'!$B:$B,$C94,'Awards Summary'!$J:$J,"JAVITS")</f>
        <v>0</v>
      </c>
      <c r="DC94" s="55">
        <f>SUMIFS('Disbursements Summary'!$E:$E,'Disbursements Summary'!$C:$C,$C94,'Disbursements Summary'!$A:$A,"JAVITS")</f>
        <v>0</v>
      </c>
      <c r="DD94" s="55">
        <f>SUMIFS('Awards Summary'!$H:$H,'Awards Summary'!$B:$B,$C94,'Awards Summary'!$J:$J,"JCOPE")</f>
        <v>0</v>
      </c>
      <c r="DE94" s="55">
        <f>SUMIFS('Disbursements Summary'!$E:$E,'Disbursements Summary'!$C:$C,$C94,'Disbursements Summary'!$A:$A,"JCOPE")</f>
        <v>0</v>
      </c>
      <c r="DF94" s="55">
        <f>SUMIFS('Awards Summary'!$H:$H,'Awards Summary'!$B:$B,$C94,'Awards Summary'!$J:$J,"JUSTICE")</f>
        <v>0</v>
      </c>
      <c r="DG94" s="55">
        <f>SUMIFS('Disbursements Summary'!$E:$E,'Disbursements Summary'!$C:$C,$C94,'Disbursements Summary'!$A:$A,"JUSTICE")</f>
        <v>0</v>
      </c>
      <c r="DH94" s="55">
        <f>SUMIFS('Awards Summary'!$H:$H,'Awards Summary'!$B:$B,$C94,'Awards Summary'!$J:$J,"LCWSA")</f>
        <v>0</v>
      </c>
      <c r="DI94" s="55">
        <f>SUMIFS('Disbursements Summary'!$E:$E,'Disbursements Summary'!$C:$C,$C94,'Disbursements Summary'!$A:$A,"LCWSA")</f>
        <v>0</v>
      </c>
      <c r="DJ94" s="55">
        <f>SUMIFS('Awards Summary'!$H:$H,'Awards Summary'!$B:$B,$C94,'Awards Summary'!$J:$J,"LIPA")</f>
        <v>0</v>
      </c>
      <c r="DK94" s="55">
        <f>SUMIFS('Disbursements Summary'!$E:$E,'Disbursements Summary'!$C:$C,$C94,'Disbursements Summary'!$A:$A,"LIPA")</f>
        <v>0</v>
      </c>
      <c r="DL94" s="55">
        <f>SUMIFS('Awards Summary'!$H:$H,'Awards Summary'!$B:$B,$C94,'Awards Summary'!$J:$J,"MTA")</f>
        <v>0</v>
      </c>
      <c r="DM94" s="55">
        <f>SUMIFS('Disbursements Summary'!$E:$E,'Disbursements Summary'!$C:$C,$C94,'Disbursements Summary'!$A:$A,"MTA")</f>
        <v>0</v>
      </c>
      <c r="DN94" s="55">
        <f>SUMIFS('Awards Summary'!$H:$H,'Awards Summary'!$B:$B,$C94,'Awards Summary'!$J:$J,"NIFA")</f>
        <v>0</v>
      </c>
      <c r="DO94" s="55">
        <f>SUMIFS('Disbursements Summary'!$E:$E,'Disbursements Summary'!$C:$C,$C94,'Disbursements Summary'!$A:$A,"NIFA")</f>
        <v>0</v>
      </c>
      <c r="DP94" s="55">
        <f>SUMIFS('Awards Summary'!$H:$H,'Awards Summary'!$B:$B,$C94,'Awards Summary'!$J:$J,"NHCC")</f>
        <v>0</v>
      </c>
      <c r="DQ94" s="55">
        <f>SUMIFS('Disbursements Summary'!$E:$E,'Disbursements Summary'!$C:$C,$C94,'Disbursements Summary'!$A:$A,"NHCC")</f>
        <v>0</v>
      </c>
      <c r="DR94" s="55">
        <f>SUMIFS('Awards Summary'!$H:$H,'Awards Summary'!$B:$B,$C94,'Awards Summary'!$J:$J,"NHT")</f>
        <v>0</v>
      </c>
      <c r="DS94" s="55">
        <f>SUMIFS('Disbursements Summary'!$E:$E,'Disbursements Summary'!$C:$C,$C94,'Disbursements Summary'!$A:$A,"NHT")</f>
        <v>0</v>
      </c>
      <c r="DT94" s="55">
        <f>SUMIFS('Awards Summary'!$H:$H,'Awards Summary'!$B:$B,$C94,'Awards Summary'!$J:$J,"NYPA")</f>
        <v>0</v>
      </c>
      <c r="DU94" s="55">
        <f>SUMIFS('Disbursements Summary'!$E:$E,'Disbursements Summary'!$C:$C,$C94,'Disbursements Summary'!$A:$A,"NYPA")</f>
        <v>0</v>
      </c>
      <c r="DV94" s="55">
        <f>SUMIFS('Awards Summary'!$H:$H,'Awards Summary'!$B:$B,$C94,'Awards Summary'!$J:$J,"NYSBA")</f>
        <v>0</v>
      </c>
      <c r="DW94" s="55">
        <f>SUMIFS('Disbursements Summary'!$E:$E,'Disbursements Summary'!$C:$C,$C94,'Disbursements Summary'!$A:$A,"NYSBA")</f>
        <v>0</v>
      </c>
      <c r="DX94" s="55">
        <f>SUMIFS('Awards Summary'!$H:$H,'Awards Summary'!$B:$B,$C94,'Awards Summary'!$J:$J,"NYSERDA")</f>
        <v>0</v>
      </c>
      <c r="DY94" s="55">
        <f>SUMIFS('Disbursements Summary'!$E:$E,'Disbursements Summary'!$C:$C,$C94,'Disbursements Summary'!$A:$A,"NYSERDA")</f>
        <v>0</v>
      </c>
      <c r="DZ94" s="55">
        <f>SUMIFS('Awards Summary'!$H:$H,'Awards Summary'!$B:$B,$C94,'Awards Summary'!$J:$J,"DHCR")</f>
        <v>0</v>
      </c>
      <c r="EA94" s="55">
        <f>SUMIFS('Disbursements Summary'!$E:$E,'Disbursements Summary'!$C:$C,$C94,'Disbursements Summary'!$A:$A,"DHCR")</f>
        <v>0</v>
      </c>
      <c r="EB94" s="55">
        <f>SUMIFS('Awards Summary'!$H:$H,'Awards Summary'!$B:$B,$C94,'Awards Summary'!$J:$J,"HFA")</f>
        <v>0</v>
      </c>
      <c r="EC94" s="55">
        <f>SUMIFS('Disbursements Summary'!$E:$E,'Disbursements Summary'!$C:$C,$C94,'Disbursements Summary'!$A:$A,"HFA")</f>
        <v>0</v>
      </c>
      <c r="ED94" s="55">
        <f>SUMIFS('Awards Summary'!$H:$H,'Awards Summary'!$B:$B,$C94,'Awards Summary'!$J:$J,"NYSIF")</f>
        <v>0</v>
      </c>
      <c r="EE94" s="55">
        <f>SUMIFS('Disbursements Summary'!$E:$E,'Disbursements Summary'!$C:$C,$C94,'Disbursements Summary'!$A:$A,"NYSIF")</f>
        <v>0</v>
      </c>
      <c r="EF94" s="55">
        <f>SUMIFS('Awards Summary'!$H:$H,'Awards Summary'!$B:$B,$C94,'Awards Summary'!$J:$J,"NYBREDS")</f>
        <v>0</v>
      </c>
      <c r="EG94" s="55">
        <f>SUMIFS('Disbursements Summary'!$E:$E,'Disbursements Summary'!$C:$C,$C94,'Disbursements Summary'!$A:$A,"NYBREDS")</f>
        <v>0</v>
      </c>
      <c r="EH94" s="55">
        <f>SUMIFS('Awards Summary'!$H:$H,'Awards Summary'!$B:$B,$C94,'Awards Summary'!$J:$J,"NYSTA")</f>
        <v>0</v>
      </c>
      <c r="EI94" s="55">
        <f>SUMIFS('Disbursements Summary'!$E:$E,'Disbursements Summary'!$C:$C,$C94,'Disbursements Summary'!$A:$A,"NYSTA")</f>
        <v>0</v>
      </c>
      <c r="EJ94" s="55">
        <f>SUMIFS('Awards Summary'!$H:$H,'Awards Summary'!$B:$B,$C94,'Awards Summary'!$J:$J,"NFWB")</f>
        <v>0</v>
      </c>
      <c r="EK94" s="55">
        <f>SUMIFS('Disbursements Summary'!$E:$E,'Disbursements Summary'!$C:$C,$C94,'Disbursements Summary'!$A:$A,"NFWB")</f>
        <v>0</v>
      </c>
      <c r="EL94" s="55">
        <f>SUMIFS('Awards Summary'!$H:$H,'Awards Summary'!$B:$B,$C94,'Awards Summary'!$J:$J,"NFTA")</f>
        <v>0</v>
      </c>
      <c r="EM94" s="55">
        <f>SUMIFS('Disbursements Summary'!$E:$E,'Disbursements Summary'!$C:$C,$C94,'Disbursements Summary'!$A:$A,"NFTA")</f>
        <v>0</v>
      </c>
      <c r="EN94" s="55">
        <f>SUMIFS('Awards Summary'!$H:$H,'Awards Summary'!$B:$B,$C94,'Awards Summary'!$J:$J,"OPWDD")</f>
        <v>0</v>
      </c>
      <c r="EO94" s="55">
        <f>SUMIFS('Disbursements Summary'!$E:$E,'Disbursements Summary'!$C:$C,$C94,'Disbursements Summary'!$A:$A,"OPWDD")</f>
        <v>0</v>
      </c>
      <c r="EP94" s="55">
        <f>SUMIFS('Awards Summary'!$H:$H,'Awards Summary'!$B:$B,$C94,'Awards Summary'!$J:$J,"AGING")</f>
        <v>0</v>
      </c>
      <c r="EQ94" s="55">
        <f>SUMIFS('Disbursements Summary'!$E:$E,'Disbursements Summary'!$C:$C,$C94,'Disbursements Summary'!$A:$A,"AGING")</f>
        <v>0</v>
      </c>
      <c r="ER94" s="55">
        <f>SUMIFS('Awards Summary'!$H:$H,'Awards Summary'!$B:$B,$C94,'Awards Summary'!$J:$J,"OPDV")</f>
        <v>0</v>
      </c>
      <c r="ES94" s="55">
        <f>SUMIFS('Disbursements Summary'!$E:$E,'Disbursements Summary'!$C:$C,$C94,'Disbursements Summary'!$A:$A,"OPDV")</f>
        <v>0</v>
      </c>
      <c r="ET94" s="55">
        <f>SUMIFS('Awards Summary'!$H:$H,'Awards Summary'!$B:$B,$C94,'Awards Summary'!$J:$J,"OVS")</f>
        <v>0</v>
      </c>
      <c r="EU94" s="55">
        <f>SUMIFS('Disbursements Summary'!$E:$E,'Disbursements Summary'!$C:$C,$C94,'Disbursements Summary'!$A:$A,"OVS")</f>
        <v>0</v>
      </c>
      <c r="EV94" s="55">
        <f>SUMIFS('Awards Summary'!$H:$H,'Awards Summary'!$B:$B,$C94,'Awards Summary'!$J:$J,"OASAS")</f>
        <v>0</v>
      </c>
      <c r="EW94" s="55">
        <f>SUMIFS('Disbursements Summary'!$E:$E,'Disbursements Summary'!$C:$C,$C94,'Disbursements Summary'!$A:$A,"OASAS")</f>
        <v>0</v>
      </c>
      <c r="EX94" s="55">
        <f>SUMIFS('Awards Summary'!$H:$H,'Awards Summary'!$B:$B,$C94,'Awards Summary'!$J:$J,"OCFS")</f>
        <v>0</v>
      </c>
      <c r="EY94" s="55">
        <f>SUMIFS('Disbursements Summary'!$E:$E,'Disbursements Summary'!$C:$C,$C94,'Disbursements Summary'!$A:$A,"OCFS")</f>
        <v>0</v>
      </c>
      <c r="EZ94" s="55">
        <f>SUMIFS('Awards Summary'!$H:$H,'Awards Summary'!$B:$B,$C94,'Awards Summary'!$J:$J,"OGS")</f>
        <v>0</v>
      </c>
      <c r="FA94" s="55">
        <f>SUMIFS('Disbursements Summary'!$E:$E,'Disbursements Summary'!$C:$C,$C94,'Disbursements Summary'!$A:$A,"OGS")</f>
        <v>0</v>
      </c>
      <c r="FB94" s="55">
        <f>SUMIFS('Awards Summary'!$H:$H,'Awards Summary'!$B:$B,$C94,'Awards Summary'!$J:$J,"OMH")</f>
        <v>0</v>
      </c>
      <c r="FC94" s="55">
        <f>SUMIFS('Disbursements Summary'!$E:$E,'Disbursements Summary'!$C:$C,$C94,'Disbursements Summary'!$A:$A,"OMH")</f>
        <v>0</v>
      </c>
      <c r="FD94" s="55">
        <f>SUMIFS('Awards Summary'!$H:$H,'Awards Summary'!$B:$B,$C94,'Awards Summary'!$J:$J,"PARKS")</f>
        <v>0</v>
      </c>
      <c r="FE94" s="55">
        <f>SUMIFS('Disbursements Summary'!$E:$E,'Disbursements Summary'!$C:$C,$C94,'Disbursements Summary'!$A:$A,"PARKS")</f>
        <v>0</v>
      </c>
      <c r="FF94" s="55">
        <f>SUMIFS('Awards Summary'!$H:$H,'Awards Summary'!$B:$B,$C94,'Awards Summary'!$J:$J,"OTDA")</f>
        <v>0</v>
      </c>
      <c r="FG94" s="55">
        <f>SUMIFS('Disbursements Summary'!$E:$E,'Disbursements Summary'!$C:$C,$C94,'Disbursements Summary'!$A:$A,"OTDA")</f>
        <v>0</v>
      </c>
      <c r="FH94" s="55">
        <f>SUMIFS('Awards Summary'!$H:$H,'Awards Summary'!$B:$B,$C94,'Awards Summary'!$J:$J,"OIG")</f>
        <v>0</v>
      </c>
      <c r="FI94" s="55">
        <f>SUMIFS('Disbursements Summary'!$E:$E,'Disbursements Summary'!$C:$C,$C94,'Disbursements Summary'!$A:$A,"OIG")</f>
        <v>0</v>
      </c>
      <c r="FJ94" s="55">
        <f>SUMIFS('Awards Summary'!$H:$H,'Awards Summary'!$B:$B,$C94,'Awards Summary'!$J:$J,"OMIG")</f>
        <v>0</v>
      </c>
      <c r="FK94" s="55">
        <f>SUMIFS('Disbursements Summary'!$E:$E,'Disbursements Summary'!$C:$C,$C94,'Disbursements Summary'!$A:$A,"OMIG")</f>
        <v>0</v>
      </c>
      <c r="FL94" s="55">
        <f>SUMIFS('Awards Summary'!$H:$H,'Awards Summary'!$B:$B,$C94,'Awards Summary'!$J:$J,"OSC")</f>
        <v>0</v>
      </c>
      <c r="FM94" s="55">
        <f>SUMIFS('Disbursements Summary'!$E:$E,'Disbursements Summary'!$C:$C,$C94,'Disbursements Summary'!$A:$A,"OSC")</f>
        <v>0</v>
      </c>
      <c r="FN94" s="55">
        <f>SUMIFS('Awards Summary'!$H:$H,'Awards Summary'!$B:$B,$C94,'Awards Summary'!$J:$J,"OWIG")</f>
        <v>0</v>
      </c>
      <c r="FO94" s="55">
        <f>SUMIFS('Disbursements Summary'!$E:$E,'Disbursements Summary'!$C:$C,$C94,'Disbursements Summary'!$A:$A,"OWIG")</f>
        <v>0</v>
      </c>
      <c r="FP94" s="55">
        <f>SUMIFS('Awards Summary'!$H:$H,'Awards Summary'!$B:$B,$C94,'Awards Summary'!$J:$J,"OGDEN")</f>
        <v>0</v>
      </c>
      <c r="FQ94" s="55">
        <f>SUMIFS('Disbursements Summary'!$E:$E,'Disbursements Summary'!$C:$C,$C94,'Disbursements Summary'!$A:$A,"OGDEN")</f>
        <v>0</v>
      </c>
      <c r="FR94" s="55">
        <f>SUMIFS('Awards Summary'!$H:$H,'Awards Summary'!$B:$B,$C94,'Awards Summary'!$J:$J,"ORDA")</f>
        <v>0</v>
      </c>
      <c r="FS94" s="55">
        <f>SUMIFS('Disbursements Summary'!$E:$E,'Disbursements Summary'!$C:$C,$C94,'Disbursements Summary'!$A:$A,"ORDA")</f>
        <v>0</v>
      </c>
      <c r="FT94" s="55">
        <f>SUMIFS('Awards Summary'!$H:$H,'Awards Summary'!$B:$B,$C94,'Awards Summary'!$J:$J,"OSWEGO")</f>
        <v>0</v>
      </c>
      <c r="FU94" s="55">
        <f>SUMIFS('Disbursements Summary'!$E:$E,'Disbursements Summary'!$C:$C,$C94,'Disbursements Summary'!$A:$A,"OSWEGO")</f>
        <v>0</v>
      </c>
      <c r="FV94" s="55">
        <f>SUMIFS('Awards Summary'!$H:$H,'Awards Summary'!$B:$B,$C94,'Awards Summary'!$J:$J,"PERB")</f>
        <v>0</v>
      </c>
      <c r="FW94" s="55">
        <f>SUMIFS('Disbursements Summary'!$E:$E,'Disbursements Summary'!$C:$C,$C94,'Disbursements Summary'!$A:$A,"PERB")</f>
        <v>0</v>
      </c>
      <c r="FX94" s="55">
        <f>SUMIFS('Awards Summary'!$H:$H,'Awards Summary'!$B:$B,$C94,'Awards Summary'!$J:$J,"RGRTA")</f>
        <v>0</v>
      </c>
      <c r="FY94" s="55">
        <f>SUMIFS('Disbursements Summary'!$E:$E,'Disbursements Summary'!$C:$C,$C94,'Disbursements Summary'!$A:$A,"RGRTA")</f>
        <v>0</v>
      </c>
      <c r="FZ94" s="55">
        <f>SUMIFS('Awards Summary'!$H:$H,'Awards Summary'!$B:$B,$C94,'Awards Summary'!$J:$J,"RIOC")</f>
        <v>0</v>
      </c>
      <c r="GA94" s="55">
        <f>SUMIFS('Disbursements Summary'!$E:$E,'Disbursements Summary'!$C:$C,$C94,'Disbursements Summary'!$A:$A,"RIOC")</f>
        <v>0</v>
      </c>
      <c r="GB94" s="55">
        <f>SUMIFS('Awards Summary'!$H:$H,'Awards Summary'!$B:$B,$C94,'Awards Summary'!$J:$J,"RPCI")</f>
        <v>0</v>
      </c>
      <c r="GC94" s="55">
        <f>SUMIFS('Disbursements Summary'!$E:$E,'Disbursements Summary'!$C:$C,$C94,'Disbursements Summary'!$A:$A,"RPCI")</f>
        <v>0</v>
      </c>
      <c r="GD94" s="55">
        <f>SUMIFS('Awards Summary'!$H:$H,'Awards Summary'!$B:$B,$C94,'Awards Summary'!$J:$J,"SMDA")</f>
        <v>0</v>
      </c>
      <c r="GE94" s="55">
        <f>SUMIFS('Disbursements Summary'!$E:$E,'Disbursements Summary'!$C:$C,$C94,'Disbursements Summary'!$A:$A,"SMDA")</f>
        <v>0</v>
      </c>
      <c r="GF94" s="55">
        <f>SUMIFS('Awards Summary'!$H:$H,'Awards Summary'!$B:$B,$C94,'Awards Summary'!$J:$J,"SCOC")</f>
        <v>0</v>
      </c>
      <c r="GG94" s="55">
        <f>SUMIFS('Disbursements Summary'!$E:$E,'Disbursements Summary'!$C:$C,$C94,'Disbursements Summary'!$A:$A,"SCOC")</f>
        <v>0</v>
      </c>
      <c r="GH94" s="55">
        <f>SUMIFS('Awards Summary'!$H:$H,'Awards Summary'!$B:$B,$C94,'Awards Summary'!$J:$J,"SUCF")</f>
        <v>0</v>
      </c>
      <c r="GI94" s="55">
        <f>SUMIFS('Disbursements Summary'!$E:$E,'Disbursements Summary'!$C:$C,$C94,'Disbursements Summary'!$A:$A,"SUCF")</f>
        <v>0</v>
      </c>
      <c r="GJ94" s="55">
        <f>SUMIFS('Awards Summary'!$H:$H,'Awards Summary'!$B:$B,$C94,'Awards Summary'!$J:$J,"SUNY")</f>
        <v>0</v>
      </c>
      <c r="GK94" s="55">
        <f>SUMIFS('Disbursements Summary'!$E:$E,'Disbursements Summary'!$C:$C,$C94,'Disbursements Summary'!$A:$A,"SUNY")</f>
        <v>0</v>
      </c>
      <c r="GL94" s="55">
        <f>SUMIFS('Awards Summary'!$H:$H,'Awards Summary'!$B:$B,$C94,'Awards Summary'!$J:$J,"SRAA")</f>
        <v>0</v>
      </c>
      <c r="GM94" s="55">
        <f>SUMIFS('Disbursements Summary'!$E:$E,'Disbursements Summary'!$C:$C,$C94,'Disbursements Summary'!$A:$A,"SRAA")</f>
        <v>0</v>
      </c>
      <c r="GN94" s="55">
        <f>SUMIFS('Awards Summary'!$H:$H,'Awards Summary'!$B:$B,$C94,'Awards Summary'!$J:$J,"UNDC")</f>
        <v>0</v>
      </c>
      <c r="GO94" s="55">
        <f>SUMIFS('Disbursements Summary'!$E:$E,'Disbursements Summary'!$C:$C,$C94,'Disbursements Summary'!$A:$A,"UNDC")</f>
        <v>0</v>
      </c>
      <c r="GP94" s="55">
        <f>SUMIFS('Awards Summary'!$H:$H,'Awards Summary'!$B:$B,$C94,'Awards Summary'!$J:$J,"MVWA")</f>
        <v>0</v>
      </c>
      <c r="GQ94" s="55">
        <f>SUMIFS('Disbursements Summary'!$E:$E,'Disbursements Summary'!$C:$C,$C94,'Disbursements Summary'!$A:$A,"MVWA")</f>
        <v>0</v>
      </c>
      <c r="GR94" s="55">
        <f>SUMIFS('Awards Summary'!$H:$H,'Awards Summary'!$B:$B,$C94,'Awards Summary'!$J:$J,"WMC")</f>
        <v>0</v>
      </c>
      <c r="GS94" s="55">
        <f>SUMIFS('Disbursements Summary'!$E:$E,'Disbursements Summary'!$C:$C,$C94,'Disbursements Summary'!$A:$A,"WMC")</f>
        <v>0</v>
      </c>
      <c r="GT94" s="55">
        <f>SUMIFS('Awards Summary'!$H:$H,'Awards Summary'!$B:$B,$C94,'Awards Summary'!$J:$J,"WCB")</f>
        <v>0</v>
      </c>
      <c r="GU94" s="55">
        <f>SUMIFS('Disbursements Summary'!$E:$E,'Disbursements Summary'!$C:$C,$C94,'Disbursements Summary'!$A:$A,"WCB")</f>
        <v>0</v>
      </c>
      <c r="GV94" s="32">
        <f t="shared" si="10"/>
        <v>0</v>
      </c>
      <c r="GW94" s="32">
        <f t="shared" si="11"/>
        <v>0</v>
      </c>
      <c r="GX94" s="30" t="b">
        <f t="shared" si="12"/>
        <v>1</v>
      </c>
      <c r="GY94" s="30" t="b">
        <f t="shared" si="13"/>
        <v>1</v>
      </c>
    </row>
    <row r="95" spans="1:207" s="30" customFormat="1">
      <c r="A95" s="22" t="str">
        <f t="shared" si="9"/>
        <v/>
      </c>
      <c r="B95" s="42" t="s">
        <v>250</v>
      </c>
      <c r="C95" s="16">
        <v>151201</v>
      </c>
      <c r="D95" s="26">
        <f>COUNTIF('Awards Summary'!B:B,"151201")</f>
        <v>0</v>
      </c>
      <c r="E95" s="45">
        <f>SUMIFS('Awards Summary'!H:H,'Awards Summary'!B:B,"151201")</f>
        <v>0</v>
      </c>
      <c r="F95" s="46">
        <f>SUMIFS('Disbursements Summary'!E:E,'Disbursements Summary'!C:C, "151201")</f>
        <v>0</v>
      </c>
      <c r="H95" s="55">
        <f>SUMIFS('Awards Summary'!$H:$H,'Awards Summary'!$B:$B,$C95,'Awards Summary'!$J:$J,"APA")</f>
        <v>0</v>
      </c>
      <c r="I95" s="55">
        <f>SUMIFS('Disbursements Summary'!$E:$E,'Disbursements Summary'!$C:$C,$C95,'Disbursements Summary'!$A:$A,"APA")</f>
        <v>0</v>
      </c>
      <c r="J95" s="55">
        <f>SUMIFS('Awards Summary'!$H:$H,'Awards Summary'!$B:$B,$C95,'Awards Summary'!$J:$J,"Ag&amp;Horse")</f>
        <v>0</v>
      </c>
      <c r="K95" s="55">
        <f>SUMIFS('Disbursements Summary'!$E:$E,'Disbursements Summary'!$C:$C,$C95,'Disbursements Summary'!$A:$A,"Ag&amp;Horse")</f>
        <v>0</v>
      </c>
      <c r="L95" s="55">
        <f>SUMIFS('Awards Summary'!$H:$H,'Awards Summary'!$B:$B,$C95,'Awards Summary'!$J:$J,"ACAA")</f>
        <v>0</v>
      </c>
      <c r="M95" s="55">
        <f>SUMIFS('Disbursements Summary'!$E:$E,'Disbursements Summary'!$C:$C,$C95,'Disbursements Summary'!$A:$A,"ACAA")</f>
        <v>0</v>
      </c>
      <c r="N95" s="55">
        <f>SUMIFS('Awards Summary'!$H:$H,'Awards Summary'!$B:$B,$C95,'Awards Summary'!$J:$J,"PortAlbany")</f>
        <v>0</v>
      </c>
      <c r="O95" s="55">
        <f>SUMIFS('Disbursements Summary'!$E:$E,'Disbursements Summary'!$C:$C,$C95,'Disbursements Summary'!$A:$A,"PortAlbany")</f>
        <v>0</v>
      </c>
      <c r="P95" s="55">
        <f>SUMIFS('Awards Summary'!$H:$H,'Awards Summary'!$B:$B,$C95,'Awards Summary'!$J:$J,"SLA")</f>
        <v>0</v>
      </c>
      <c r="Q95" s="55">
        <f>SUMIFS('Disbursements Summary'!$E:$E,'Disbursements Summary'!$C:$C,$C95,'Disbursements Summary'!$A:$A,"SLA")</f>
        <v>0</v>
      </c>
      <c r="R95" s="55">
        <f>SUMIFS('Awards Summary'!$H:$H,'Awards Summary'!$B:$B,$C95,'Awards Summary'!$J:$J,"BPCA")</f>
        <v>0</v>
      </c>
      <c r="S95" s="55">
        <f>SUMIFS('Disbursements Summary'!$E:$E,'Disbursements Summary'!$C:$C,$C95,'Disbursements Summary'!$A:$A,"BPCA")</f>
        <v>0</v>
      </c>
      <c r="T95" s="55">
        <f>SUMIFS('Awards Summary'!$H:$H,'Awards Summary'!$B:$B,$C95,'Awards Summary'!$J:$J,"ELECTIONS")</f>
        <v>0</v>
      </c>
      <c r="U95" s="55">
        <f>SUMIFS('Disbursements Summary'!$E:$E,'Disbursements Summary'!$C:$C,$C95,'Disbursements Summary'!$A:$A,"ELECTIONS")</f>
        <v>0</v>
      </c>
      <c r="V95" s="55">
        <f>SUMIFS('Awards Summary'!$H:$H,'Awards Summary'!$B:$B,$C95,'Awards Summary'!$J:$J,"BFSA")</f>
        <v>0</v>
      </c>
      <c r="W95" s="55">
        <f>SUMIFS('Disbursements Summary'!$E:$E,'Disbursements Summary'!$C:$C,$C95,'Disbursements Summary'!$A:$A,"BFSA")</f>
        <v>0</v>
      </c>
      <c r="X95" s="55">
        <f>SUMIFS('Awards Summary'!$H:$H,'Awards Summary'!$B:$B,$C95,'Awards Summary'!$J:$J,"CDTA")</f>
        <v>0</v>
      </c>
      <c r="Y95" s="55">
        <f>SUMIFS('Disbursements Summary'!$E:$E,'Disbursements Summary'!$C:$C,$C95,'Disbursements Summary'!$A:$A,"CDTA")</f>
        <v>0</v>
      </c>
      <c r="Z95" s="55">
        <f>SUMIFS('Awards Summary'!$H:$H,'Awards Summary'!$B:$B,$C95,'Awards Summary'!$J:$J,"CCWSA")</f>
        <v>0</v>
      </c>
      <c r="AA95" s="55">
        <f>SUMIFS('Disbursements Summary'!$E:$E,'Disbursements Summary'!$C:$C,$C95,'Disbursements Summary'!$A:$A,"CCWSA")</f>
        <v>0</v>
      </c>
      <c r="AB95" s="55">
        <f>SUMIFS('Awards Summary'!$H:$H,'Awards Summary'!$B:$B,$C95,'Awards Summary'!$J:$J,"CNYRTA")</f>
        <v>0</v>
      </c>
      <c r="AC95" s="55">
        <f>SUMIFS('Disbursements Summary'!$E:$E,'Disbursements Summary'!$C:$C,$C95,'Disbursements Summary'!$A:$A,"CNYRTA")</f>
        <v>0</v>
      </c>
      <c r="AD95" s="55">
        <f>SUMIFS('Awards Summary'!$H:$H,'Awards Summary'!$B:$B,$C95,'Awards Summary'!$J:$J,"CUCF")</f>
        <v>0</v>
      </c>
      <c r="AE95" s="55">
        <f>SUMIFS('Disbursements Summary'!$E:$E,'Disbursements Summary'!$C:$C,$C95,'Disbursements Summary'!$A:$A,"CUCF")</f>
        <v>0</v>
      </c>
      <c r="AF95" s="55">
        <f>SUMIFS('Awards Summary'!$H:$H,'Awards Summary'!$B:$B,$C95,'Awards Summary'!$J:$J,"CUNY")</f>
        <v>0</v>
      </c>
      <c r="AG95" s="55">
        <f>SUMIFS('Disbursements Summary'!$E:$E,'Disbursements Summary'!$C:$C,$C95,'Disbursements Summary'!$A:$A,"CUNY")</f>
        <v>0</v>
      </c>
      <c r="AH95" s="55">
        <f>SUMIFS('Awards Summary'!$H:$H,'Awards Summary'!$B:$B,$C95,'Awards Summary'!$J:$J,"ARTS")</f>
        <v>0</v>
      </c>
      <c r="AI95" s="55">
        <f>SUMIFS('Disbursements Summary'!$E:$E,'Disbursements Summary'!$C:$C,$C95,'Disbursements Summary'!$A:$A,"ARTS")</f>
        <v>0</v>
      </c>
      <c r="AJ95" s="55">
        <f>SUMIFS('Awards Summary'!$H:$H,'Awards Summary'!$B:$B,$C95,'Awards Summary'!$J:$J,"AG&amp;MKTS")</f>
        <v>0</v>
      </c>
      <c r="AK95" s="55">
        <f>SUMIFS('Disbursements Summary'!$E:$E,'Disbursements Summary'!$C:$C,$C95,'Disbursements Summary'!$A:$A,"AG&amp;MKTS")</f>
        <v>0</v>
      </c>
      <c r="AL95" s="55">
        <f>SUMIFS('Awards Summary'!$H:$H,'Awards Summary'!$B:$B,$C95,'Awards Summary'!$J:$J,"CS")</f>
        <v>0</v>
      </c>
      <c r="AM95" s="55">
        <f>SUMIFS('Disbursements Summary'!$E:$E,'Disbursements Summary'!$C:$C,$C95,'Disbursements Summary'!$A:$A,"CS")</f>
        <v>0</v>
      </c>
      <c r="AN95" s="55">
        <f>SUMIFS('Awards Summary'!$H:$H,'Awards Summary'!$B:$B,$C95,'Awards Summary'!$J:$J,"DOCCS")</f>
        <v>0</v>
      </c>
      <c r="AO95" s="55">
        <f>SUMIFS('Disbursements Summary'!$E:$E,'Disbursements Summary'!$C:$C,$C95,'Disbursements Summary'!$A:$A,"DOCCS")</f>
        <v>0</v>
      </c>
      <c r="AP95" s="55">
        <f>SUMIFS('Awards Summary'!$H:$H,'Awards Summary'!$B:$B,$C95,'Awards Summary'!$J:$J,"DED")</f>
        <v>0</v>
      </c>
      <c r="AQ95" s="55">
        <f>SUMIFS('Disbursements Summary'!$E:$E,'Disbursements Summary'!$C:$C,$C95,'Disbursements Summary'!$A:$A,"DED")</f>
        <v>0</v>
      </c>
      <c r="AR95" s="55">
        <f>SUMIFS('Awards Summary'!$H:$H,'Awards Summary'!$B:$B,$C95,'Awards Summary'!$J:$J,"DEC")</f>
        <v>0</v>
      </c>
      <c r="AS95" s="55">
        <f>SUMIFS('Disbursements Summary'!$E:$E,'Disbursements Summary'!$C:$C,$C95,'Disbursements Summary'!$A:$A,"DEC")</f>
        <v>0</v>
      </c>
      <c r="AT95" s="55">
        <f>SUMIFS('Awards Summary'!$H:$H,'Awards Summary'!$B:$B,$C95,'Awards Summary'!$J:$J,"DFS")</f>
        <v>0</v>
      </c>
      <c r="AU95" s="55">
        <f>SUMIFS('Disbursements Summary'!$E:$E,'Disbursements Summary'!$C:$C,$C95,'Disbursements Summary'!$A:$A,"DFS")</f>
        <v>0</v>
      </c>
      <c r="AV95" s="55">
        <f>SUMIFS('Awards Summary'!$H:$H,'Awards Summary'!$B:$B,$C95,'Awards Summary'!$J:$J,"DOH")</f>
        <v>0</v>
      </c>
      <c r="AW95" s="55">
        <f>SUMIFS('Disbursements Summary'!$E:$E,'Disbursements Summary'!$C:$C,$C95,'Disbursements Summary'!$A:$A,"DOH")</f>
        <v>0</v>
      </c>
      <c r="AX95" s="55">
        <f>SUMIFS('Awards Summary'!$H:$H,'Awards Summary'!$B:$B,$C95,'Awards Summary'!$J:$J,"DOL")</f>
        <v>0</v>
      </c>
      <c r="AY95" s="55">
        <f>SUMIFS('Disbursements Summary'!$E:$E,'Disbursements Summary'!$C:$C,$C95,'Disbursements Summary'!$A:$A,"DOL")</f>
        <v>0</v>
      </c>
      <c r="AZ95" s="55">
        <f>SUMIFS('Awards Summary'!$H:$H,'Awards Summary'!$B:$B,$C95,'Awards Summary'!$J:$J,"DMV")</f>
        <v>0</v>
      </c>
      <c r="BA95" s="55">
        <f>SUMIFS('Disbursements Summary'!$E:$E,'Disbursements Summary'!$C:$C,$C95,'Disbursements Summary'!$A:$A,"DMV")</f>
        <v>0</v>
      </c>
      <c r="BB95" s="55">
        <f>SUMIFS('Awards Summary'!$H:$H,'Awards Summary'!$B:$B,$C95,'Awards Summary'!$J:$J,"DPS")</f>
        <v>0</v>
      </c>
      <c r="BC95" s="55">
        <f>SUMIFS('Disbursements Summary'!$E:$E,'Disbursements Summary'!$C:$C,$C95,'Disbursements Summary'!$A:$A,"DPS")</f>
        <v>0</v>
      </c>
      <c r="BD95" s="55">
        <f>SUMIFS('Awards Summary'!$H:$H,'Awards Summary'!$B:$B,$C95,'Awards Summary'!$J:$J,"DOS")</f>
        <v>0</v>
      </c>
      <c r="BE95" s="55">
        <f>SUMIFS('Disbursements Summary'!$E:$E,'Disbursements Summary'!$C:$C,$C95,'Disbursements Summary'!$A:$A,"DOS")</f>
        <v>0</v>
      </c>
      <c r="BF95" s="55">
        <f>SUMIFS('Awards Summary'!$H:$H,'Awards Summary'!$B:$B,$C95,'Awards Summary'!$J:$J,"TAX")</f>
        <v>0</v>
      </c>
      <c r="BG95" s="55">
        <f>SUMIFS('Disbursements Summary'!$E:$E,'Disbursements Summary'!$C:$C,$C95,'Disbursements Summary'!$A:$A,"TAX")</f>
        <v>0</v>
      </c>
      <c r="BH95" s="55">
        <f>SUMIFS('Awards Summary'!$H:$H,'Awards Summary'!$B:$B,$C95,'Awards Summary'!$J:$J,"DOT")</f>
        <v>0</v>
      </c>
      <c r="BI95" s="55">
        <f>SUMIFS('Disbursements Summary'!$E:$E,'Disbursements Summary'!$C:$C,$C95,'Disbursements Summary'!$A:$A,"DOT")</f>
        <v>0</v>
      </c>
      <c r="BJ95" s="55">
        <f>SUMIFS('Awards Summary'!$H:$H,'Awards Summary'!$B:$B,$C95,'Awards Summary'!$J:$J,"DANC")</f>
        <v>0</v>
      </c>
      <c r="BK95" s="55">
        <f>SUMIFS('Disbursements Summary'!$E:$E,'Disbursements Summary'!$C:$C,$C95,'Disbursements Summary'!$A:$A,"DANC")</f>
        <v>0</v>
      </c>
      <c r="BL95" s="55">
        <f>SUMIFS('Awards Summary'!$H:$H,'Awards Summary'!$B:$B,$C95,'Awards Summary'!$J:$J,"DOB")</f>
        <v>0</v>
      </c>
      <c r="BM95" s="55">
        <f>SUMIFS('Disbursements Summary'!$E:$E,'Disbursements Summary'!$C:$C,$C95,'Disbursements Summary'!$A:$A,"DOB")</f>
        <v>0</v>
      </c>
      <c r="BN95" s="55">
        <f>SUMIFS('Awards Summary'!$H:$H,'Awards Summary'!$B:$B,$C95,'Awards Summary'!$J:$J,"DCJS")</f>
        <v>0</v>
      </c>
      <c r="BO95" s="55">
        <f>SUMIFS('Disbursements Summary'!$E:$E,'Disbursements Summary'!$C:$C,$C95,'Disbursements Summary'!$A:$A,"DCJS")</f>
        <v>0</v>
      </c>
      <c r="BP95" s="55">
        <f>SUMIFS('Awards Summary'!$H:$H,'Awards Summary'!$B:$B,$C95,'Awards Summary'!$J:$J,"DHSES")</f>
        <v>0</v>
      </c>
      <c r="BQ95" s="55">
        <f>SUMIFS('Disbursements Summary'!$E:$E,'Disbursements Summary'!$C:$C,$C95,'Disbursements Summary'!$A:$A,"DHSES")</f>
        <v>0</v>
      </c>
      <c r="BR95" s="55">
        <f>SUMIFS('Awards Summary'!$H:$H,'Awards Summary'!$B:$B,$C95,'Awards Summary'!$J:$J,"DHR")</f>
        <v>0</v>
      </c>
      <c r="BS95" s="55">
        <f>SUMIFS('Disbursements Summary'!$E:$E,'Disbursements Summary'!$C:$C,$C95,'Disbursements Summary'!$A:$A,"DHR")</f>
        <v>0</v>
      </c>
      <c r="BT95" s="55">
        <f>SUMIFS('Awards Summary'!$H:$H,'Awards Summary'!$B:$B,$C95,'Awards Summary'!$J:$J,"DMNA")</f>
        <v>0</v>
      </c>
      <c r="BU95" s="55">
        <f>SUMIFS('Disbursements Summary'!$E:$E,'Disbursements Summary'!$C:$C,$C95,'Disbursements Summary'!$A:$A,"DMNA")</f>
        <v>0</v>
      </c>
      <c r="BV95" s="55">
        <f>SUMIFS('Awards Summary'!$H:$H,'Awards Summary'!$B:$B,$C95,'Awards Summary'!$J:$J,"TROOPERS")</f>
        <v>0</v>
      </c>
      <c r="BW95" s="55">
        <f>SUMIFS('Disbursements Summary'!$E:$E,'Disbursements Summary'!$C:$C,$C95,'Disbursements Summary'!$A:$A,"TROOPERS")</f>
        <v>0</v>
      </c>
      <c r="BX95" s="55">
        <f>SUMIFS('Awards Summary'!$H:$H,'Awards Summary'!$B:$B,$C95,'Awards Summary'!$J:$J,"DVA")</f>
        <v>0</v>
      </c>
      <c r="BY95" s="55">
        <f>SUMIFS('Disbursements Summary'!$E:$E,'Disbursements Summary'!$C:$C,$C95,'Disbursements Summary'!$A:$A,"DVA")</f>
        <v>0</v>
      </c>
      <c r="BZ95" s="55">
        <f>SUMIFS('Awards Summary'!$H:$H,'Awards Summary'!$B:$B,$C95,'Awards Summary'!$J:$J,"DASNY")</f>
        <v>0</v>
      </c>
      <c r="CA95" s="55">
        <f>SUMIFS('Disbursements Summary'!$E:$E,'Disbursements Summary'!$C:$C,$C95,'Disbursements Summary'!$A:$A,"DASNY")</f>
        <v>0</v>
      </c>
      <c r="CB95" s="55">
        <f>SUMIFS('Awards Summary'!$H:$H,'Awards Summary'!$B:$B,$C95,'Awards Summary'!$J:$J,"EGG")</f>
        <v>0</v>
      </c>
      <c r="CC95" s="55">
        <f>SUMIFS('Disbursements Summary'!$E:$E,'Disbursements Summary'!$C:$C,$C95,'Disbursements Summary'!$A:$A,"EGG")</f>
        <v>0</v>
      </c>
      <c r="CD95" s="55">
        <f>SUMIFS('Awards Summary'!$H:$H,'Awards Summary'!$B:$B,$C95,'Awards Summary'!$J:$J,"ESD")</f>
        <v>0</v>
      </c>
      <c r="CE95" s="55">
        <f>SUMIFS('Disbursements Summary'!$E:$E,'Disbursements Summary'!$C:$C,$C95,'Disbursements Summary'!$A:$A,"ESD")</f>
        <v>0</v>
      </c>
      <c r="CF95" s="55">
        <f>SUMIFS('Awards Summary'!$H:$H,'Awards Summary'!$B:$B,$C95,'Awards Summary'!$J:$J,"EFC")</f>
        <v>0</v>
      </c>
      <c r="CG95" s="55">
        <f>SUMIFS('Disbursements Summary'!$E:$E,'Disbursements Summary'!$C:$C,$C95,'Disbursements Summary'!$A:$A,"EFC")</f>
        <v>0</v>
      </c>
      <c r="CH95" s="55">
        <f>SUMIFS('Awards Summary'!$H:$H,'Awards Summary'!$B:$B,$C95,'Awards Summary'!$J:$J,"ECFSA")</f>
        <v>0</v>
      </c>
      <c r="CI95" s="55">
        <f>SUMIFS('Disbursements Summary'!$E:$E,'Disbursements Summary'!$C:$C,$C95,'Disbursements Summary'!$A:$A,"ECFSA")</f>
        <v>0</v>
      </c>
      <c r="CJ95" s="55">
        <f>SUMIFS('Awards Summary'!$H:$H,'Awards Summary'!$B:$B,$C95,'Awards Summary'!$J:$J,"ECMC")</f>
        <v>0</v>
      </c>
      <c r="CK95" s="55">
        <f>SUMIFS('Disbursements Summary'!$E:$E,'Disbursements Summary'!$C:$C,$C95,'Disbursements Summary'!$A:$A,"ECMC")</f>
        <v>0</v>
      </c>
      <c r="CL95" s="55">
        <f>SUMIFS('Awards Summary'!$H:$H,'Awards Summary'!$B:$B,$C95,'Awards Summary'!$J:$J,"CHAMBER")</f>
        <v>0</v>
      </c>
      <c r="CM95" s="55">
        <f>SUMIFS('Disbursements Summary'!$E:$E,'Disbursements Summary'!$C:$C,$C95,'Disbursements Summary'!$A:$A,"CHAMBER")</f>
        <v>0</v>
      </c>
      <c r="CN95" s="55">
        <f>SUMIFS('Awards Summary'!$H:$H,'Awards Summary'!$B:$B,$C95,'Awards Summary'!$J:$J,"GAMING")</f>
        <v>0</v>
      </c>
      <c r="CO95" s="55">
        <f>SUMIFS('Disbursements Summary'!$E:$E,'Disbursements Summary'!$C:$C,$C95,'Disbursements Summary'!$A:$A,"GAMING")</f>
        <v>0</v>
      </c>
      <c r="CP95" s="55">
        <f>SUMIFS('Awards Summary'!$H:$H,'Awards Summary'!$B:$B,$C95,'Awards Summary'!$J:$J,"GOER")</f>
        <v>0</v>
      </c>
      <c r="CQ95" s="55">
        <f>SUMIFS('Disbursements Summary'!$E:$E,'Disbursements Summary'!$C:$C,$C95,'Disbursements Summary'!$A:$A,"GOER")</f>
        <v>0</v>
      </c>
      <c r="CR95" s="55">
        <f>SUMIFS('Awards Summary'!$H:$H,'Awards Summary'!$B:$B,$C95,'Awards Summary'!$J:$J,"HESC")</f>
        <v>0</v>
      </c>
      <c r="CS95" s="55">
        <f>SUMIFS('Disbursements Summary'!$E:$E,'Disbursements Summary'!$C:$C,$C95,'Disbursements Summary'!$A:$A,"HESC")</f>
        <v>0</v>
      </c>
      <c r="CT95" s="55">
        <f>SUMIFS('Awards Summary'!$H:$H,'Awards Summary'!$B:$B,$C95,'Awards Summary'!$J:$J,"GOSR")</f>
        <v>0</v>
      </c>
      <c r="CU95" s="55">
        <f>SUMIFS('Disbursements Summary'!$E:$E,'Disbursements Summary'!$C:$C,$C95,'Disbursements Summary'!$A:$A,"GOSR")</f>
        <v>0</v>
      </c>
      <c r="CV95" s="55">
        <f>SUMIFS('Awards Summary'!$H:$H,'Awards Summary'!$B:$B,$C95,'Awards Summary'!$J:$J,"HRPT")</f>
        <v>0</v>
      </c>
      <c r="CW95" s="55">
        <f>SUMIFS('Disbursements Summary'!$E:$E,'Disbursements Summary'!$C:$C,$C95,'Disbursements Summary'!$A:$A,"HRPT")</f>
        <v>0</v>
      </c>
      <c r="CX95" s="55">
        <f>SUMIFS('Awards Summary'!$H:$H,'Awards Summary'!$B:$B,$C95,'Awards Summary'!$J:$J,"HRBRRD")</f>
        <v>0</v>
      </c>
      <c r="CY95" s="55">
        <f>SUMIFS('Disbursements Summary'!$E:$E,'Disbursements Summary'!$C:$C,$C95,'Disbursements Summary'!$A:$A,"HRBRRD")</f>
        <v>0</v>
      </c>
      <c r="CZ95" s="55">
        <f>SUMIFS('Awards Summary'!$H:$H,'Awards Summary'!$B:$B,$C95,'Awards Summary'!$J:$J,"ITS")</f>
        <v>0</v>
      </c>
      <c r="DA95" s="55">
        <f>SUMIFS('Disbursements Summary'!$E:$E,'Disbursements Summary'!$C:$C,$C95,'Disbursements Summary'!$A:$A,"ITS")</f>
        <v>0</v>
      </c>
      <c r="DB95" s="55">
        <f>SUMIFS('Awards Summary'!$H:$H,'Awards Summary'!$B:$B,$C95,'Awards Summary'!$J:$J,"JAVITS")</f>
        <v>0</v>
      </c>
      <c r="DC95" s="55">
        <f>SUMIFS('Disbursements Summary'!$E:$E,'Disbursements Summary'!$C:$C,$C95,'Disbursements Summary'!$A:$A,"JAVITS")</f>
        <v>0</v>
      </c>
      <c r="DD95" s="55">
        <f>SUMIFS('Awards Summary'!$H:$H,'Awards Summary'!$B:$B,$C95,'Awards Summary'!$J:$J,"JCOPE")</f>
        <v>0</v>
      </c>
      <c r="DE95" s="55">
        <f>SUMIFS('Disbursements Summary'!$E:$E,'Disbursements Summary'!$C:$C,$C95,'Disbursements Summary'!$A:$A,"JCOPE")</f>
        <v>0</v>
      </c>
      <c r="DF95" s="55">
        <f>SUMIFS('Awards Summary'!$H:$H,'Awards Summary'!$B:$B,$C95,'Awards Summary'!$J:$J,"JUSTICE")</f>
        <v>0</v>
      </c>
      <c r="DG95" s="55">
        <f>SUMIFS('Disbursements Summary'!$E:$E,'Disbursements Summary'!$C:$C,$C95,'Disbursements Summary'!$A:$A,"JUSTICE")</f>
        <v>0</v>
      </c>
      <c r="DH95" s="55">
        <f>SUMIFS('Awards Summary'!$H:$H,'Awards Summary'!$B:$B,$C95,'Awards Summary'!$J:$J,"LCWSA")</f>
        <v>0</v>
      </c>
      <c r="DI95" s="55">
        <f>SUMIFS('Disbursements Summary'!$E:$E,'Disbursements Summary'!$C:$C,$C95,'Disbursements Summary'!$A:$A,"LCWSA")</f>
        <v>0</v>
      </c>
      <c r="DJ95" s="55">
        <f>SUMIFS('Awards Summary'!$H:$H,'Awards Summary'!$B:$B,$C95,'Awards Summary'!$J:$J,"LIPA")</f>
        <v>0</v>
      </c>
      <c r="DK95" s="55">
        <f>SUMIFS('Disbursements Summary'!$E:$E,'Disbursements Summary'!$C:$C,$C95,'Disbursements Summary'!$A:$A,"LIPA")</f>
        <v>0</v>
      </c>
      <c r="DL95" s="55">
        <f>SUMIFS('Awards Summary'!$H:$H,'Awards Summary'!$B:$B,$C95,'Awards Summary'!$J:$J,"MTA")</f>
        <v>0</v>
      </c>
      <c r="DM95" s="55">
        <f>SUMIFS('Disbursements Summary'!$E:$E,'Disbursements Summary'!$C:$C,$C95,'Disbursements Summary'!$A:$A,"MTA")</f>
        <v>0</v>
      </c>
      <c r="DN95" s="55">
        <f>SUMIFS('Awards Summary'!$H:$H,'Awards Summary'!$B:$B,$C95,'Awards Summary'!$J:$J,"NIFA")</f>
        <v>0</v>
      </c>
      <c r="DO95" s="55">
        <f>SUMIFS('Disbursements Summary'!$E:$E,'Disbursements Summary'!$C:$C,$C95,'Disbursements Summary'!$A:$A,"NIFA")</f>
        <v>0</v>
      </c>
      <c r="DP95" s="55">
        <f>SUMIFS('Awards Summary'!$H:$H,'Awards Summary'!$B:$B,$C95,'Awards Summary'!$J:$J,"NHCC")</f>
        <v>0</v>
      </c>
      <c r="DQ95" s="55">
        <f>SUMIFS('Disbursements Summary'!$E:$E,'Disbursements Summary'!$C:$C,$C95,'Disbursements Summary'!$A:$A,"NHCC")</f>
        <v>0</v>
      </c>
      <c r="DR95" s="55">
        <f>SUMIFS('Awards Summary'!$H:$H,'Awards Summary'!$B:$B,$C95,'Awards Summary'!$J:$J,"NHT")</f>
        <v>0</v>
      </c>
      <c r="DS95" s="55">
        <f>SUMIFS('Disbursements Summary'!$E:$E,'Disbursements Summary'!$C:$C,$C95,'Disbursements Summary'!$A:$A,"NHT")</f>
        <v>0</v>
      </c>
      <c r="DT95" s="55">
        <f>SUMIFS('Awards Summary'!$H:$H,'Awards Summary'!$B:$B,$C95,'Awards Summary'!$J:$J,"NYPA")</f>
        <v>0</v>
      </c>
      <c r="DU95" s="55">
        <f>SUMIFS('Disbursements Summary'!$E:$E,'Disbursements Summary'!$C:$C,$C95,'Disbursements Summary'!$A:$A,"NYPA")</f>
        <v>0</v>
      </c>
      <c r="DV95" s="55">
        <f>SUMIFS('Awards Summary'!$H:$H,'Awards Summary'!$B:$B,$C95,'Awards Summary'!$J:$J,"NYSBA")</f>
        <v>0</v>
      </c>
      <c r="DW95" s="55">
        <f>SUMIFS('Disbursements Summary'!$E:$E,'Disbursements Summary'!$C:$C,$C95,'Disbursements Summary'!$A:$A,"NYSBA")</f>
        <v>0</v>
      </c>
      <c r="DX95" s="55">
        <f>SUMIFS('Awards Summary'!$H:$H,'Awards Summary'!$B:$B,$C95,'Awards Summary'!$J:$J,"NYSERDA")</f>
        <v>0</v>
      </c>
      <c r="DY95" s="55">
        <f>SUMIFS('Disbursements Summary'!$E:$E,'Disbursements Summary'!$C:$C,$C95,'Disbursements Summary'!$A:$A,"NYSERDA")</f>
        <v>0</v>
      </c>
      <c r="DZ95" s="55">
        <f>SUMIFS('Awards Summary'!$H:$H,'Awards Summary'!$B:$B,$C95,'Awards Summary'!$J:$J,"DHCR")</f>
        <v>0</v>
      </c>
      <c r="EA95" s="55">
        <f>SUMIFS('Disbursements Summary'!$E:$E,'Disbursements Summary'!$C:$C,$C95,'Disbursements Summary'!$A:$A,"DHCR")</f>
        <v>0</v>
      </c>
      <c r="EB95" s="55">
        <f>SUMIFS('Awards Summary'!$H:$H,'Awards Summary'!$B:$B,$C95,'Awards Summary'!$J:$J,"HFA")</f>
        <v>0</v>
      </c>
      <c r="EC95" s="55">
        <f>SUMIFS('Disbursements Summary'!$E:$E,'Disbursements Summary'!$C:$C,$C95,'Disbursements Summary'!$A:$A,"HFA")</f>
        <v>0</v>
      </c>
      <c r="ED95" s="55">
        <f>SUMIFS('Awards Summary'!$H:$H,'Awards Summary'!$B:$B,$C95,'Awards Summary'!$J:$J,"NYSIF")</f>
        <v>0</v>
      </c>
      <c r="EE95" s="55">
        <f>SUMIFS('Disbursements Summary'!$E:$E,'Disbursements Summary'!$C:$C,$C95,'Disbursements Summary'!$A:$A,"NYSIF")</f>
        <v>0</v>
      </c>
      <c r="EF95" s="55">
        <f>SUMIFS('Awards Summary'!$H:$H,'Awards Summary'!$B:$B,$C95,'Awards Summary'!$J:$J,"NYBREDS")</f>
        <v>0</v>
      </c>
      <c r="EG95" s="55">
        <f>SUMIFS('Disbursements Summary'!$E:$E,'Disbursements Summary'!$C:$C,$C95,'Disbursements Summary'!$A:$A,"NYBREDS")</f>
        <v>0</v>
      </c>
      <c r="EH95" s="55">
        <f>SUMIFS('Awards Summary'!$H:$H,'Awards Summary'!$B:$B,$C95,'Awards Summary'!$J:$J,"NYSTA")</f>
        <v>0</v>
      </c>
      <c r="EI95" s="55">
        <f>SUMIFS('Disbursements Summary'!$E:$E,'Disbursements Summary'!$C:$C,$C95,'Disbursements Summary'!$A:$A,"NYSTA")</f>
        <v>0</v>
      </c>
      <c r="EJ95" s="55">
        <f>SUMIFS('Awards Summary'!$H:$H,'Awards Summary'!$B:$B,$C95,'Awards Summary'!$J:$J,"NFWB")</f>
        <v>0</v>
      </c>
      <c r="EK95" s="55">
        <f>SUMIFS('Disbursements Summary'!$E:$E,'Disbursements Summary'!$C:$C,$C95,'Disbursements Summary'!$A:$A,"NFWB")</f>
        <v>0</v>
      </c>
      <c r="EL95" s="55">
        <f>SUMIFS('Awards Summary'!$H:$H,'Awards Summary'!$B:$B,$C95,'Awards Summary'!$J:$J,"NFTA")</f>
        <v>0</v>
      </c>
      <c r="EM95" s="55">
        <f>SUMIFS('Disbursements Summary'!$E:$E,'Disbursements Summary'!$C:$C,$C95,'Disbursements Summary'!$A:$A,"NFTA")</f>
        <v>0</v>
      </c>
      <c r="EN95" s="55">
        <f>SUMIFS('Awards Summary'!$H:$H,'Awards Summary'!$B:$B,$C95,'Awards Summary'!$J:$J,"OPWDD")</f>
        <v>0</v>
      </c>
      <c r="EO95" s="55">
        <f>SUMIFS('Disbursements Summary'!$E:$E,'Disbursements Summary'!$C:$C,$C95,'Disbursements Summary'!$A:$A,"OPWDD")</f>
        <v>0</v>
      </c>
      <c r="EP95" s="55">
        <f>SUMIFS('Awards Summary'!$H:$H,'Awards Summary'!$B:$B,$C95,'Awards Summary'!$J:$J,"AGING")</f>
        <v>0</v>
      </c>
      <c r="EQ95" s="55">
        <f>SUMIFS('Disbursements Summary'!$E:$E,'Disbursements Summary'!$C:$C,$C95,'Disbursements Summary'!$A:$A,"AGING")</f>
        <v>0</v>
      </c>
      <c r="ER95" s="55">
        <f>SUMIFS('Awards Summary'!$H:$H,'Awards Summary'!$B:$B,$C95,'Awards Summary'!$J:$J,"OPDV")</f>
        <v>0</v>
      </c>
      <c r="ES95" s="55">
        <f>SUMIFS('Disbursements Summary'!$E:$E,'Disbursements Summary'!$C:$C,$C95,'Disbursements Summary'!$A:$A,"OPDV")</f>
        <v>0</v>
      </c>
      <c r="ET95" s="55">
        <f>SUMIFS('Awards Summary'!$H:$H,'Awards Summary'!$B:$B,$C95,'Awards Summary'!$J:$J,"OVS")</f>
        <v>0</v>
      </c>
      <c r="EU95" s="55">
        <f>SUMIFS('Disbursements Summary'!$E:$E,'Disbursements Summary'!$C:$C,$C95,'Disbursements Summary'!$A:$A,"OVS")</f>
        <v>0</v>
      </c>
      <c r="EV95" s="55">
        <f>SUMIFS('Awards Summary'!$H:$H,'Awards Summary'!$B:$B,$C95,'Awards Summary'!$J:$J,"OASAS")</f>
        <v>0</v>
      </c>
      <c r="EW95" s="55">
        <f>SUMIFS('Disbursements Summary'!$E:$E,'Disbursements Summary'!$C:$C,$C95,'Disbursements Summary'!$A:$A,"OASAS")</f>
        <v>0</v>
      </c>
      <c r="EX95" s="55">
        <f>SUMIFS('Awards Summary'!$H:$H,'Awards Summary'!$B:$B,$C95,'Awards Summary'!$J:$J,"OCFS")</f>
        <v>0</v>
      </c>
      <c r="EY95" s="55">
        <f>SUMIFS('Disbursements Summary'!$E:$E,'Disbursements Summary'!$C:$C,$C95,'Disbursements Summary'!$A:$A,"OCFS")</f>
        <v>0</v>
      </c>
      <c r="EZ95" s="55">
        <f>SUMIFS('Awards Summary'!$H:$H,'Awards Summary'!$B:$B,$C95,'Awards Summary'!$J:$J,"OGS")</f>
        <v>0</v>
      </c>
      <c r="FA95" s="55">
        <f>SUMIFS('Disbursements Summary'!$E:$E,'Disbursements Summary'!$C:$C,$C95,'Disbursements Summary'!$A:$A,"OGS")</f>
        <v>0</v>
      </c>
      <c r="FB95" s="55">
        <f>SUMIFS('Awards Summary'!$H:$H,'Awards Summary'!$B:$B,$C95,'Awards Summary'!$J:$J,"OMH")</f>
        <v>0</v>
      </c>
      <c r="FC95" s="55">
        <f>SUMIFS('Disbursements Summary'!$E:$E,'Disbursements Summary'!$C:$C,$C95,'Disbursements Summary'!$A:$A,"OMH")</f>
        <v>0</v>
      </c>
      <c r="FD95" s="55">
        <f>SUMIFS('Awards Summary'!$H:$H,'Awards Summary'!$B:$B,$C95,'Awards Summary'!$J:$J,"PARKS")</f>
        <v>0</v>
      </c>
      <c r="FE95" s="55">
        <f>SUMIFS('Disbursements Summary'!$E:$E,'Disbursements Summary'!$C:$C,$C95,'Disbursements Summary'!$A:$A,"PARKS")</f>
        <v>0</v>
      </c>
      <c r="FF95" s="55">
        <f>SUMIFS('Awards Summary'!$H:$H,'Awards Summary'!$B:$B,$C95,'Awards Summary'!$J:$J,"OTDA")</f>
        <v>0</v>
      </c>
      <c r="FG95" s="55">
        <f>SUMIFS('Disbursements Summary'!$E:$E,'Disbursements Summary'!$C:$C,$C95,'Disbursements Summary'!$A:$A,"OTDA")</f>
        <v>0</v>
      </c>
      <c r="FH95" s="55">
        <f>SUMIFS('Awards Summary'!$H:$H,'Awards Summary'!$B:$B,$C95,'Awards Summary'!$J:$J,"OIG")</f>
        <v>0</v>
      </c>
      <c r="FI95" s="55">
        <f>SUMIFS('Disbursements Summary'!$E:$E,'Disbursements Summary'!$C:$C,$C95,'Disbursements Summary'!$A:$A,"OIG")</f>
        <v>0</v>
      </c>
      <c r="FJ95" s="55">
        <f>SUMIFS('Awards Summary'!$H:$H,'Awards Summary'!$B:$B,$C95,'Awards Summary'!$J:$J,"OMIG")</f>
        <v>0</v>
      </c>
      <c r="FK95" s="55">
        <f>SUMIFS('Disbursements Summary'!$E:$E,'Disbursements Summary'!$C:$C,$C95,'Disbursements Summary'!$A:$A,"OMIG")</f>
        <v>0</v>
      </c>
      <c r="FL95" s="55">
        <f>SUMIFS('Awards Summary'!$H:$H,'Awards Summary'!$B:$B,$C95,'Awards Summary'!$J:$J,"OSC")</f>
        <v>0</v>
      </c>
      <c r="FM95" s="55">
        <f>SUMIFS('Disbursements Summary'!$E:$E,'Disbursements Summary'!$C:$C,$C95,'Disbursements Summary'!$A:$A,"OSC")</f>
        <v>0</v>
      </c>
      <c r="FN95" s="55">
        <f>SUMIFS('Awards Summary'!$H:$H,'Awards Summary'!$B:$B,$C95,'Awards Summary'!$J:$J,"OWIG")</f>
        <v>0</v>
      </c>
      <c r="FO95" s="55">
        <f>SUMIFS('Disbursements Summary'!$E:$E,'Disbursements Summary'!$C:$C,$C95,'Disbursements Summary'!$A:$A,"OWIG")</f>
        <v>0</v>
      </c>
      <c r="FP95" s="55">
        <f>SUMIFS('Awards Summary'!$H:$H,'Awards Summary'!$B:$B,$C95,'Awards Summary'!$J:$J,"OGDEN")</f>
        <v>0</v>
      </c>
      <c r="FQ95" s="55">
        <f>SUMIFS('Disbursements Summary'!$E:$E,'Disbursements Summary'!$C:$C,$C95,'Disbursements Summary'!$A:$A,"OGDEN")</f>
        <v>0</v>
      </c>
      <c r="FR95" s="55">
        <f>SUMIFS('Awards Summary'!$H:$H,'Awards Summary'!$B:$B,$C95,'Awards Summary'!$J:$J,"ORDA")</f>
        <v>0</v>
      </c>
      <c r="FS95" s="55">
        <f>SUMIFS('Disbursements Summary'!$E:$E,'Disbursements Summary'!$C:$C,$C95,'Disbursements Summary'!$A:$A,"ORDA")</f>
        <v>0</v>
      </c>
      <c r="FT95" s="55">
        <f>SUMIFS('Awards Summary'!$H:$H,'Awards Summary'!$B:$B,$C95,'Awards Summary'!$J:$J,"OSWEGO")</f>
        <v>0</v>
      </c>
      <c r="FU95" s="55">
        <f>SUMIFS('Disbursements Summary'!$E:$E,'Disbursements Summary'!$C:$C,$C95,'Disbursements Summary'!$A:$A,"OSWEGO")</f>
        <v>0</v>
      </c>
      <c r="FV95" s="55">
        <f>SUMIFS('Awards Summary'!$H:$H,'Awards Summary'!$B:$B,$C95,'Awards Summary'!$J:$J,"PERB")</f>
        <v>0</v>
      </c>
      <c r="FW95" s="55">
        <f>SUMIFS('Disbursements Summary'!$E:$E,'Disbursements Summary'!$C:$C,$C95,'Disbursements Summary'!$A:$A,"PERB")</f>
        <v>0</v>
      </c>
      <c r="FX95" s="55">
        <f>SUMIFS('Awards Summary'!$H:$H,'Awards Summary'!$B:$B,$C95,'Awards Summary'!$J:$J,"RGRTA")</f>
        <v>0</v>
      </c>
      <c r="FY95" s="55">
        <f>SUMIFS('Disbursements Summary'!$E:$E,'Disbursements Summary'!$C:$C,$C95,'Disbursements Summary'!$A:$A,"RGRTA")</f>
        <v>0</v>
      </c>
      <c r="FZ95" s="55">
        <f>SUMIFS('Awards Summary'!$H:$H,'Awards Summary'!$B:$B,$C95,'Awards Summary'!$J:$J,"RIOC")</f>
        <v>0</v>
      </c>
      <c r="GA95" s="55">
        <f>SUMIFS('Disbursements Summary'!$E:$E,'Disbursements Summary'!$C:$C,$C95,'Disbursements Summary'!$A:$A,"RIOC")</f>
        <v>0</v>
      </c>
      <c r="GB95" s="55">
        <f>SUMIFS('Awards Summary'!$H:$H,'Awards Summary'!$B:$B,$C95,'Awards Summary'!$J:$J,"RPCI")</f>
        <v>0</v>
      </c>
      <c r="GC95" s="55">
        <f>SUMIFS('Disbursements Summary'!$E:$E,'Disbursements Summary'!$C:$C,$C95,'Disbursements Summary'!$A:$A,"RPCI")</f>
        <v>0</v>
      </c>
      <c r="GD95" s="55">
        <f>SUMIFS('Awards Summary'!$H:$H,'Awards Summary'!$B:$B,$C95,'Awards Summary'!$J:$J,"SMDA")</f>
        <v>0</v>
      </c>
      <c r="GE95" s="55">
        <f>SUMIFS('Disbursements Summary'!$E:$E,'Disbursements Summary'!$C:$C,$C95,'Disbursements Summary'!$A:$A,"SMDA")</f>
        <v>0</v>
      </c>
      <c r="GF95" s="55">
        <f>SUMIFS('Awards Summary'!$H:$H,'Awards Summary'!$B:$B,$C95,'Awards Summary'!$J:$J,"SCOC")</f>
        <v>0</v>
      </c>
      <c r="GG95" s="55">
        <f>SUMIFS('Disbursements Summary'!$E:$E,'Disbursements Summary'!$C:$C,$C95,'Disbursements Summary'!$A:$A,"SCOC")</f>
        <v>0</v>
      </c>
      <c r="GH95" s="55">
        <f>SUMIFS('Awards Summary'!$H:$H,'Awards Summary'!$B:$B,$C95,'Awards Summary'!$J:$J,"SUCF")</f>
        <v>0</v>
      </c>
      <c r="GI95" s="55">
        <f>SUMIFS('Disbursements Summary'!$E:$E,'Disbursements Summary'!$C:$C,$C95,'Disbursements Summary'!$A:$A,"SUCF")</f>
        <v>0</v>
      </c>
      <c r="GJ95" s="55">
        <f>SUMIFS('Awards Summary'!$H:$H,'Awards Summary'!$B:$B,$C95,'Awards Summary'!$J:$J,"SUNY")</f>
        <v>0</v>
      </c>
      <c r="GK95" s="55">
        <f>SUMIFS('Disbursements Summary'!$E:$E,'Disbursements Summary'!$C:$C,$C95,'Disbursements Summary'!$A:$A,"SUNY")</f>
        <v>0</v>
      </c>
      <c r="GL95" s="55">
        <f>SUMIFS('Awards Summary'!$H:$H,'Awards Summary'!$B:$B,$C95,'Awards Summary'!$J:$J,"SRAA")</f>
        <v>0</v>
      </c>
      <c r="GM95" s="55">
        <f>SUMIFS('Disbursements Summary'!$E:$E,'Disbursements Summary'!$C:$C,$C95,'Disbursements Summary'!$A:$A,"SRAA")</f>
        <v>0</v>
      </c>
      <c r="GN95" s="55">
        <f>SUMIFS('Awards Summary'!$H:$H,'Awards Summary'!$B:$B,$C95,'Awards Summary'!$J:$J,"UNDC")</f>
        <v>0</v>
      </c>
      <c r="GO95" s="55">
        <f>SUMIFS('Disbursements Summary'!$E:$E,'Disbursements Summary'!$C:$C,$C95,'Disbursements Summary'!$A:$A,"UNDC")</f>
        <v>0</v>
      </c>
      <c r="GP95" s="55">
        <f>SUMIFS('Awards Summary'!$H:$H,'Awards Summary'!$B:$B,$C95,'Awards Summary'!$J:$J,"MVWA")</f>
        <v>0</v>
      </c>
      <c r="GQ95" s="55">
        <f>SUMIFS('Disbursements Summary'!$E:$E,'Disbursements Summary'!$C:$C,$C95,'Disbursements Summary'!$A:$A,"MVWA")</f>
        <v>0</v>
      </c>
      <c r="GR95" s="55">
        <f>SUMIFS('Awards Summary'!$H:$H,'Awards Summary'!$B:$B,$C95,'Awards Summary'!$J:$J,"WMC")</f>
        <v>0</v>
      </c>
      <c r="GS95" s="55">
        <f>SUMIFS('Disbursements Summary'!$E:$E,'Disbursements Summary'!$C:$C,$C95,'Disbursements Summary'!$A:$A,"WMC")</f>
        <v>0</v>
      </c>
      <c r="GT95" s="55">
        <f>SUMIFS('Awards Summary'!$H:$H,'Awards Summary'!$B:$B,$C95,'Awards Summary'!$J:$J,"WCB")</f>
        <v>0</v>
      </c>
      <c r="GU95" s="55">
        <f>SUMIFS('Disbursements Summary'!$E:$E,'Disbursements Summary'!$C:$C,$C95,'Disbursements Summary'!$A:$A,"WCB")</f>
        <v>0</v>
      </c>
      <c r="GV95" s="32">
        <f t="shared" si="10"/>
        <v>0</v>
      </c>
      <c r="GW95" s="32">
        <f t="shared" si="11"/>
        <v>0</v>
      </c>
      <c r="GX95" s="30" t="b">
        <f t="shared" si="12"/>
        <v>1</v>
      </c>
      <c r="GY95" s="30" t="b">
        <f t="shared" si="13"/>
        <v>1</v>
      </c>
    </row>
    <row r="96" spans="1:207" s="30" customFormat="1">
      <c r="A96" s="22" t="str">
        <f t="shared" si="9"/>
        <v/>
      </c>
      <c r="B96" s="63" t="s">
        <v>464</v>
      </c>
      <c r="C96" s="65">
        <v>151208</v>
      </c>
      <c r="D96" s="66">
        <f>COUNTIF('Awards Summary'!B:B,"151208")</f>
        <v>0</v>
      </c>
      <c r="E96" s="67">
        <f>SUMIFS('Awards Summary'!H:H,'Awards Summary'!B:B,"151208")</f>
        <v>0</v>
      </c>
      <c r="F96" s="68">
        <f>SUMIFS('Disbursements Summary'!E:E,'Disbursements Summary'!C:C, "151208")</f>
        <v>0</v>
      </c>
      <c r="H96" s="55">
        <f>SUMIFS('Awards Summary'!$H:$H,'Awards Summary'!$B:$B,$C96,'Awards Summary'!$J:$J,"APA")</f>
        <v>0</v>
      </c>
      <c r="I96" s="55">
        <f>SUMIFS('Disbursements Summary'!$E:$E,'Disbursements Summary'!$C:$C,$C96,'Disbursements Summary'!$A:$A,"APA")</f>
        <v>0</v>
      </c>
      <c r="J96" s="55">
        <f>SUMIFS('Awards Summary'!$H:$H,'Awards Summary'!$B:$B,$C96,'Awards Summary'!$J:$J,"Ag&amp;Horse")</f>
        <v>0</v>
      </c>
      <c r="K96" s="55">
        <f>SUMIFS('Disbursements Summary'!$E:$E,'Disbursements Summary'!$C:$C,$C96,'Disbursements Summary'!$A:$A,"Ag&amp;Horse")</f>
        <v>0</v>
      </c>
      <c r="L96" s="55">
        <f>SUMIFS('Awards Summary'!$H:$H,'Awards Summary'!$B:$B,$C96,'Awards Summary'!$J:$J,"ACAA")</f>
        <v>0</v>
      </c>
      <c r="M96" s="55">
        <f>SUMIFS('Disbursements Summary'!$E:$E,'Disbursements Summary'!$C:$C,$C96,'Disbursements Summary'!$A:$A,"ACAA")</f>
        <v>0</v>
      </c>
      <c r="N96" s="55">
        <f>SUMIFS('Awards Summary'!$H:$H,'Awards Summary'!$B:$B,$C96,'Awards Summary'!$J:$J,"PortAlbany")</f>
        <v>0</v>
      </c>
      <c r="O96" s="55">
        <f>SUMIFS('Disbursements Summary'!$E:$E,'Disbursements Summary'!$C:$C,$C96,'Disbursements Summary'!$A:$A,"PortAlbany")</f>
        <v>0</v>
      </c>
      <c r="P96" s="55">
        <f>SUMIFS('Awards Summary'!$H:$H,'Awards Summary'!$B:$B,$C96,'Awards Summary'!$J:$J,"SLA")</f>
        <v>0</v>
      </c>
      <c r="Q96" s="55">
        <f>SUMIFS('Disbursements Summary'!$E:$E,'Disbursements Summary'!$C:$C,$C96,'Disbursements Summary'!$A:$A,"SLA")</f>
        <v>0</v>
      </c>
      <c r="R96" s="55">
        <f>SUMIFS('Awards Summary'!$H:$H,'Awards Summary'!$B:$B,$C96,'Awards Summary'!$J:$J,"BPCA")</f>
        <v>0</v>
      </c>
      <c r="S96" s="55">
        <f>SUMIFS('Disbursements Summary'!$E:$E,'Disbursements Summary'!$C:$C,$C96,'Disbursements Summary'!$A:$A,"BPCA")</f>
        <v>0</v>
      </c>
      <c r="T96" s="55">
        <f>SUMIFS('Awards Summary'!$H:$H,'Awards Summary'!$B:$B,$C96,'Awards Summary'!$J:$J,"ELECTIONS")</f>
        <v>0</v>
      </c>
      <c r="U96" s="55">
        <f>SUMIFS('Disbursements Summary'!$E:$E,'Disbursements Summary'!$C:$C,$C96,'Disbursements Summary'!$A:$A,"ELECTIONS")</f>
        <v>0</v>
      </c>
      <c r="V96" s="55">
        <f>SUMIFS('Awards Summary'!$H:$H,'Awards Summary'!$B:$B,$C96,'Awards Summary'!$J:$J,"BFSA")</f>
        <v>0</v>
      </c>
      <c r="W96" s="55">
        <f>SUMIFS('Disbursements Summary'!$E:$E,'Disbursements Summary'!$C:$C,$C96,'Disbursements Summary'!$A:$A,"BFSA")</f>
        <v>0</v>
      </c>
      <c r="X96" s="55">
        <f>SUMIFS('Awards Summary'!$H:$H,'Awards Summary'!$B:$B,$C96,'Awards Summary'!$J:$J,"CDTA")</f>
        <v>0</v>
      </c>
      <c r="Y96" s="55">
        <f>SUMIFS('Disbursements Summary'!$E:$E,'Disbursements Summary'!$C:$C,$C96,'Disbursements Summary'!$A:$A,"CDTA")</f>
        <v>0</v>
      </c>
      <c r="Z96" s="55">
        <f>SUMIFS('Awards Summary'!$H:$H,'Awards Summary'!$B:$B,$C96,'Awards Summary'!$J:$J,"CCWSA")</f>
        <v>0</v>
      </c>
      <c r="AA96" s="55">
        <f>SUMIFS('Disbursements Summary'!$E:$E,'Disbursements Summary'!$C:$C,$C96,'Disbursements Summary'!$A:$A,"CCWSA")</f>
        <v>0</v>
      </c>
      <c r="AB96" s="55">
        <f>SUMIFS('Awards Summary'!$H:$H,'Awards Summary'!$B:$B,$C96,'Awards Summary'!$J:$J,"CNYRTA")</f>
        <v>0</v>
      </c>
      <c r="AC96" s="55">
        <f>SUMIFS('Disbursements Summary'!$E:$E,'Disbursements Summary'!$C:$C,$C96,'Disbursements Summary'!$A:$A,"CNYRTA")</f>
        <v>0</v>
      </c>
      <c r="AD96" s="55">
        <f>SUMIFS('Awards Summary'!$H:$H,'Awards Summary'!$B:$B,$C96,'Awards Summary'!$J:$J,"CUCF")</f>
        <v>0</v>
      </c>
      <c r="AE96" s="55">
        <f>SUMIFS('Disbursements Summary'!$E:$E,'Disbursements Summary'!$C:$C,$C96,'Disbursements Summary'!$A:$A,"CUCF")</f>
        <v>0</v>
      </c>
      <c r="AF96" s="55">
        <f>SUMIFS('Awards Summary'!$H:$H,'Awards Summary'!$B:$B,$C96,'Awards Summary'!$J:$J,"CUNY")</f>
        <v>0</v>
      </c>
      <c r="AG96" s="55">
        <f>SUMIFS('Disbursements Summary'!$E:$E,'Disbursements Summary'!$C:$C,$C96,'Disbursements Summary'!$A:$A,"CUNY")</f>
        <v>0</v>
      </c>
      <c r="AH96" s="55">
        <f>SUMIFS('Awards Summary'!$H:$H,'Awards Summary'!$B:$B,$C96,'Awards Summary'!$J:$J,"ARTS")</f>
        <v>0</v>
      </c>
      <c r="AI96" s="55">
        <f>SUMIFS('Disbursements Summary'!$E:$E,'Disbursements Summary'!$C:$C,$C96,'Disbursements Summary'!$A:$A,"ARTS")</f>
        <v>0</v>
      </c>
      <c r="AJ96" s="55">
        <f>SUMIFS('Awards Summary'!$H:$H,'Awards Summary'!$B:$B,$C96,'Awards Summary'!$J:$J,"AG&amp;MKTS")</f>
        <v>0</v>
      </c>
      <c r="AK96" s="55">
        <f>SUMIFS('Disbursements Summary'!$E:$E,'Disbursements Summary'!$C:$C,$C96,'Disbursements Summary'!$A:$A,"AG&amp;MKTS")</f>
        <v>0</v>
      </c>
      <c r="AL96" s="55">
        <f>SUMIFS('Awards Summary'!$H:$H,'Awards Summary'!$B:$B,$C96,'Awards Summary'!$J:$J,"CS")</f>
        <v>0</v>
      </c>
      <c r="AM96" s="55">
        <f>SUMIFS('Disbursements Summary'!$E:$E,'Disbursements Summary'!$C:$C,$C96,'Disbursements Summary'!$A:$A,"CS")</f>
        <v>0</v>
      </c>
      <c r="AN96" s="55">
        <f>SUMIFS('Awards Summary'!$H:$H,'Awards Summary'!$B:$B,$C96,'Awards Summary'!$J:$J,"DOCCS")</f>
        <v>0</v>
      </c>
      <c r="AO96" s="55">
        <f>SUMIFS('Disbursements Summary'!$E:$E,'Disbursements Summary'!$C:$C,$C96,'Disbursements Summary'!$A:$A,"DOCCS")</f>
        <v>0</v>
      </c>
      <c r="AP96" s="55">
        <f>SUMIFS('Awards Summary'!$H:$H,'Awards Summary'!$B:$B,$C96,'Awards Summary'!$J:$J,"DED")</f>
        <v>0</v>
      </c>
      <c r="AQ96" s="55">
        <f>SUMIFS('Disbursements Summary'!$E:$E,'Disbursements Summary'!$C:$C,$C96,'Disbursements Summary'!$A:$A,"DED")</f>
        <v>0</v>
      </c>
      <c r="AR96" s="55">
        <f>SUMIFS('Awards Summary'!$H:$H,'Awards Summary'!$B:$B,$C96,'Awards Summary'!$J:$J,"DEC")</f>
        <v>0</v>
      </c>
      <c r="AS96" s="55">
        <f>SUMIFS('Disbursements Summary'!$E:$E,'Disbursements Summary'!$C:$C,$C96,'Disbursements Summary'!$A:$A,"DEC")</f>
        <v>0</v>
      </c>
      <c r="AT96" s="55">
        <f>SUMIFS('Awards Summary'!$H:$H,'Awards Summary'!$B:$B,$C96,'Awards Summary'!$J:$J,"DFS")</f>
        <v>0</v>
      </c>
      <c r="AU96" s="55">
        <f>SUMIFS('Disbursements Summary'!$E:$E,'Disbursements Summary'!$C:$C,$C96,'Disbursements Summary'!$A:$A,"DFS")</f>
        <v>0</v>
      </c>
      <c r="AV96" s="55">
        <f>SUMIFS('Awards Summary'!$H:$H,'Awards Summary'!$B:$B,$C96,'Awards Summary'!$J:$J,"DOH")</f>
        <v>0</v>
      </c>
      <c r="AW96" s="55">
        <f>SUMIFS('Disbursements Summary'!$E:$E,'Disbursements Summary'!$C:$C,$C96,'Disbursements Summary'!$A:$A,"DOH")</f>
        <v>0</v>
      </c>
      <c r="AX96" s="55">
        <f>SUMIFS('Awards Summary'!$H:$H,'Awards Summary'!$B:$B,$C96,'Awards Summary'!$J:$J,"DOL")</f>
        <v>0</v>
      </c>
      <c r="AY96" s="55">
        <f>SUMIFS('Disbursements Summary'!$E:$E,'Disbursements Summary'!$C:$C,$C96,'Disbursements Summary'!$A:$A,"DOL")</f>
        <v>0</v>
      </c>
      <c r="AZ96" s="55">
        <f>SUMIFS('Awards Summary'!$H:$H,'Awards Summary'!$B:$B,$C96,'Awards Summary'!$J:$J,"DMV")</f>
        <v>0</v>
      </c>
      <c r="BA96" s="55">
        <f>SUMIFS('Disbursements Summary'!$E:$E,'Disbursements Summary'!$C:$C,$C96,'Disbursements Summary'!$A:$A,"DMV")</f>
        <v>0</v>
      </c>
      <c r="BB96" s="55">
        <f>SUMIFS('Awards Summary'!$H:$H,'Awards Summary'!$B:$B,$C96,'Awards Summary'!$J:$J,"DPS")</f>
        <v>0</v>
      </c>
      <c r="BC96" s="55">
        <f>SUMIFS('Disbursements Summary'!$E:$E,'Disbursements Summary'!$C:$C,$C96,'Disbursements Summary'!$A:$A,"DPS")</f>
        <v>0</v>
      </c>
      <c r="BD96" s="55">
        <f>SUMIFS('Awards Summary'!$H:$H,'Awards Summary'!$B:$B,$C96,'Awards Summary'!$J:$J,"DOS")</f>
        <v>0</v>
      </c>
      <c r="BE96" s="55">
        <f>SUMIFS('Disbursements Summary'!$E:$E,'Disbursements Summary'!$C:$C,$C96,'Disbursements Summary'!$A:$A,"DOS")</f>
        <v>0</v>
      </c>
      <c r="BF96" s="55">
        <f>SUMIFS('Awards Summary'!$H:$H,'Awards Summary'!$B:$B,$C96,'Awards Summary'!$J:$J,"TAX")</f>
        <v>0</v>
      </c>
      <c r="BG96" s="55">
        <f>SUMIFS('Disbursements Summary'!$E:$E,'Disbursements Summary'!$C:$C,$C96,'Disbursements Summary'!$A:$A,"TAX")</f>
        <v>0</v>
      </c>
      <c r="BH96" s="55">
        <f>SUMIFS('Awards Summary'!$H:$H,'Awards Summary'!$B:$B,$C96,'Awards Summary'!$J:$J,"DOT")</f>
        <v>0</v>
      </c>
      <c r="BI96" s="55">
        <f>SUMIFS('Disbursements Summary'!$E:$E,'Disbursements Summary'!$C:$C,$C96,'Disbursements Summary'!$A:$A,"DOT")</f>
        <v>0</v>
      </c>
      <c r="BJ96" s="55">
        <f>SUMIFS('Awards Summary'!$H:$H,'Awards Summary'!$B:$B,$C96,'Awards Summary'!$J:$J,"DANC")</f>
        <v>0</v>
      </c>
      <c r="BK96" s="55">
        <f>SUMIFS('Disbursements Summary'!$E:$E,'Disbursements Summary'!$C:$C,$C96,'Disbursements Summary'!$A:$A,"DANC")</f>
        <v>0</v>
      </c>
      <c r="BL96" s="55">
        <f>SUMIFS('Awards Summary'!$H:$H,'Awards Summary'!$B:$B,$C96,'Awards Summary'!$J:$J,"DOB")</f>
        <v>0</v>
      </c>
      <c r="BM96" s="55">
        <f>SUMIFS('Disbursements Summary'!$E:$E,'Disbursements Summary'!$C:$C,$C96,'Disbursements Summary'!$A:$A,"DOB")</f>
        <v>0</v>
      </c>
      <c r="BN96" s="55">
        <f>SUMIFS('Awards Summary'!$H:$H,'Awards Summary'!$B:$B,$C96,'Awards Summary'!$J:$J,"DCJS")</f>
        <v>0</v>
      </c>
      <c r="BO96" s="55">
        <f>SUMIFS('Disbursements Summary'!$E:$E,'Disbursements Summary'!$C:$C,$C96,'Disbursements Summary'!$A:$A,"DCJS")</f>
        <v>0</v>
      </c>
      <c r="BP96" s="55">
        <f>SUMIFS('Awards Summary'!$H:$H,'Awards Summary'!$B:$B,$C96,'Awards Summary'!$J:$J,"DHSES")</f>
        <v>0</v>
      </c>
      <c r="BQ96" s="55">
        <f>SUMIFS('Disbursements Summary'!$E:$E,'Disbursements Summary'!$C:$C,$C96,'Disbursements Summary'!$A:$A,"DHSES")</f>
        <v>0</v>
      </c>
      <c r="BR96" s="55">
        <f>SUMIFS('Awards Summary'!$H:$H,'Awards Summary'!$B:$B,$C96,'Awards Summary'!$J:$J,"DHR")</f>
        <v>0</v>
      </c>
      <c r="BS96" s="55">
        <f>SUMIFS('Disbursements Summary'!$E:$E,'Disbursements Summary'!$C:$C,$C96,'Disbursements Summary'!$A:$A,"DHR")</f>
        <v>0</v>
      </c>
      <c r="BT96" s="55">
        <f>SUMIFS('Awards Summary'!$H:$H,'Awards Summary'!$B:$B,$C96,'Awards Summary'!$J:$J,"DMNA")</f>
        <v>0</v>
      </c>
      <c r="BU96" s="55">
        <f>SUMIFS('Disbursements Summary'!$E:$E,'Disbursements Summary'!$C:$C,$C96,'Disbursements Summary'!$A:$A,"DMNA")</f>
        <v>0</v>
      </c>
      <c r="BV96" s="55">
        <f>SUMIFS('Awards Summary'!$H:$H,'Awards Summary'!$B:$B,$C96,'Awards Summary'!$J:$J,"TROOPERS")</f>
        <v>0</v>
      </c>
      <c r="BW96" s="55">
        <f>SUMIFS('Disbursements Summary'!$E:$E,'Disbursements Summary'!$C:$C,$C96,'Disbursements Summary'!$A:$A,"TROOPERS")</f>
        <v>0</v>
      </c>
      <c r="BX96" s="55">
        <f>SUMIFS('Awards Summary'!$H:$H,'Awards Summary'!$B:$B,$C96,'Awards Summary'!$J:$J,"DVA")</f>
        <v>0</v>
      </c>
      <c r="BY96" s="55">
        <f>SUMIFS('Disbursements Summary'!$E:$E,'Disbursements Summary'!$C:$C,$C96,'Disbursements Summary'!$A:$A,"DVA")</f>
        <v>0</v>
      </c>
      <c r="BZ96" s="55">
        <f>SUMIFS('Awards Summary'!$H:$H,'Awards Summary'!$B:$B,$C96,'Awards Summary'!$J:$J,"DASNY")</f>
        <v>0</v>
      </c>
      <c r="CA96" s="55">
        <f>SUMIFS('Disbursements Summary'!$E:$E,'Disbursements Summary'!$C:$C,$C96,'Disbursements Summary'!$A:$A,"DASNY")</f>
        <v>0</v>
      </c>
      <c r="CB96" s="55">
        <f>SUMIFS('Awards Summary'!$H:$H,'Awards Summary'!$B:$B,$C96,'Awards Summary'!$J:$J,"EGG")</f>
        <v>0</v>
      </c>
      <c r="CC96" s="55">
        <f>SUMIFS('Disbursements Summary'!$E:$E,'Disbursements Summary'!$C:$C,$C96,'Disbursements Summary'!$A:$A,"EGG")</f>
        <v>0</v>
      </c>
      <c r="CD96" s="55">
        <f>SUMIFS('Awards Summary'!$H:$H,'Awards Summary'!$B:$B,$C96,'Awards Summary'!$J:$J,"ESD")</f>
        <v>0</v>
      </c>
      <c r="CE96" s="55">
        <f>SUMIFS('Disbursements Summary'!$E:$E,'Disbursements Summary'!$C:$C,$C96,'Disbursements Summary'!$A:$A,"ESD")</f>
        <v>0</v>
      </c>
      <c r="CF96" s="55">
        <f>SUMIFS('Awards Summary'!$H:$H,'Awards Summary'!$B:$B,$C96,'Awards Summary'!$J:$J,"EFC")</f>
        <v>0</v>
      </c>
      <c r="CG96" s="55">
        <f>SUMIFS('Disbursements Summary'!$E:$E,'Disbursements Summary'!$C:$C,$C96,'Disbursements Summary'!$A:$A,"EFC")</f>
        <v>0</v>
      </c>
      <c r="CH96" s="55">
        <f>SUMIFS('Awards Summary'!$H:$H,'Awards Summary'!$B:$B,$C96,'Awards Summary'!$J:$J,"ECFSA")</f>
        <v>0</v>
      </c>
      <c r="CI96" s="55">
        <f>SUMIFS('Disbursements Summary'!$E:$E,'Disbursements Summary'!$C:$C,$C96,'Disbursements Summary'!$A:$A,"ECFSA")</f>
        <v>0</v>
      </c>
      <c r="CJ96" s="55">
        <f>SUMIFS('Awards Summary'!$H:$H,'Awards Summary'!$B:$B,$C96,'Awards Summary'!$J:$J,"ECMC")</f>
        <v>0</v>
      </c>
      <c r="CK96" s="55">
        <f>SUMIFS('Disbursements Summary'!$E:$E,'Disbursements Summary'!$C:$C,$C96,'Disbursements Summary'!$A:$A,"ECMC")</f>
        <v>0</v>
      </c>
      <c r="CL96" s="55">
        <f>SUMIFS('Awards Summary'!$H:$H,'Awards Summary'!$B:$B,$C96,'Awards Summary'!$J:$J,"CHAMBER")</f>
        <v>0</v>
      </c>
      <c r="CM96" s="55">
        <f>SUMIFS('Disbursements Summary'!$E:$E,'Disbursements Summary'!$C:$C,$C96,'Disbursements Summary'!$A:$A,"CHAMBER")</f>
        <v>0</v>
      </c>
      <c r="CN96" s="55">
        <f>SUMIFS('Awards Summary'!$H:$H,'Awards Summary'!$B:$B,$C96,'Awards Summary'!$J:$J,"GAMING")</f>
        <v>0</v>
      </c>
      <c r="CO96" s="55">
        <f>SUMIFS('Disbursements Summary'!$E:$E,'Disbursements Summary'!$C:$C,$C96,'Disbursements Summary'!$A:$A,"GAMING")</f>
        <v>0</v>
      </c>
      <c r="CP96" s="55">
        <f>SUMIFS('Awards Summary'!$H:$H,'Awards Summary'!$B:$B,$C96,'Awards Summary'!$J:$J,"GOER")</f>
        <v>0</v>
      </c>
      <c r="CQ96" s="55">
        <f>SUMIFS('Disbursements Summary'!$E:$E,'Disbursements Summary'!$C:$C,$C96,'Disbursements Summary'!$A:$A,"GOER")</f>
        <v>0</v>
      </c>
      <c r="CR96" s="55">
        <f>SUMIFS('Awards Summary'!$H:$H,'Awards Summary'!$B:$B,$C96,'Awards Summary'!$J:$J,"HESC")</f>
        <v>0</v>
      </c>
      <c r="CS96" s="55">
        <f>SUMIFS('Disbursements Summary'!$E:$E,'Disbursements Summary'!$C:$C,$C96,'Disbursements Summary'!$A:$A,"HESC")</f>
        <v>0</v>
      </c>
      <c r="CT96" s="55">
        <f>SUMIFS('Awards Summary'!$H:$H,'Awards Summary'!$B:$B,$C96,'Awards Summary'!$J:$J,"GOSR")</f>
        <v>0</v>
      </c>
      <c r="CU96" s="55">
        <f>SUMIFS('Disbursements Summary'!$E:$E,'Disbursements Summary'!$C:$C,$C96,'Disbursements Summary'!$A:$A,"GOSR")</f>
        <v>0</v>
      </c>
      <c r="CV96" s="55">
        <f>SUMIFS('Awards Summary'!$H:$H,'Awards Summary'!$B:$B,$C96,'Awards Summary'!$J:$J,"HRPT")</f>
        <v>0</v>
      </c>
      <c r="CW96" s="55">
        <f>SUMIFS('Disbursements Summary'!$E:$E,'Disbursements Summary'!$C:$C,$C96,'Disbursements Summary'!$A:$A,"HRPT")</f>
        <v>0</v>
      </c>
      <c r="CX96" s="55">
        <f>SUMIFS('Awards Summary'!$H:$H,'Awards Summary'!$B:$B,$C96,'Awards Summary'!$J:$J,"HRBRRD")</f>
        <v>0</v>
      </c>
      <c r="CY96" s="55">
        <f>SUMIFS('Disbursements Summary'!$E:$E,'Disbursements Summary'!$C:$C,$C96,'Disbursements Summary'!$A:$A,"HRBRRD")</f>
        <v>0</v>
      </c>
      <c r="CZ96" s="55">
        <f>SUMIFS('Awards Summary'!$H:$H,'Awards Summary'!$B:$B,$C96,'Awards Summary'!$J:$J,"ITS")</f>
        <v>0</v>
      </c>
      <c r="DA96" s="55">
        <f>SUMIFS('Disbursements Summary'!$E:$E,'Disbursements Summary'!$C:$C,$C96,'Disbursements Summary'!$A:$A,"ITS")</f>
        <v>0</v>
      </c>
      <c r="DB96" s="55">
        <f>SUMIFS('Awards Summary'!$H:$H,'Awards Summary'!$B:$B,$C96,'Awards Summary'!$J:$J,"JAVITS")</f>
        <v>0</v>
      </c>
      <c r="DC96" s="55">
        <f>SUMIFS('Disbursements Summary'!$E:$E,'Disbursements Summary'!$C:$C,$C96,'Disbursements Summary'!$A:$A,"JAVITS")</f>
        <v>0</v>
      </c>
      <c r="DD96" s="55">
        <f>SUMIFS('Awards Summary'!$H:$H,'Awards Summary'!$B:$B,$C96,'Awards Summary'!$J:$J,"JCOPE")</f>
        <v>0</v>
      </c>
      <c r="DE96" s="55">
        <f>SUMIFS('Disbursements Summary'!$E:$E,'Disbursements Summary'!$C:$C,$C96,'Disbursements Summary'!$A:$A,"JCOPE")</f>
        <v>0</v>
      </c>
      <c r="DF96" s="55">
        <f>SUMIFS('Awards Summary'!$H:$H,'Awards Summary'!$B:$B,$C96,'Awards Summary'!$J:$J,"JUSTICE")</f>
        <v>0</v>
      </c>
      <c r="DG96" s="55">
        <f>SUMIFS('Disbursements Summary'!$E:$E,'Disbursements Summary'!$C:$C,$C96,'Disbursements Summary'!$A:$A,"JUSTICE")</f>
        <v>0</v>
      </c>
      <c r="DH96" s="55">
        <f>SUMIFS('Awards Summary'!$H:$H,'Awards Summary'!$B:$B,$C96,'Awards Summary'!$J:$J,"LCWSA")</f>
        <v>0</v>
      </c>
      <c r="DI96" s="55">
        <f>SUMIFS('Disbursements Summary'!$E:$E,'Disbursements Summary'!$C:$C,$C96,'Disbursements Summary'!$A:$A,"LCWSA")</f>
        <v>0</v>
      </c>
      <c r="DJ96" s="55">
        <f>SUMIFS('Awards Summary'!$H:$H,'Awards Summary'!$B:$B,$C96,'Awards Summary'!$J:$J,"LIPA")</f>
        <v>0</v>
      </c>
      <c r="DK96" s="55">
        <f>SUMIFS('Disbursements Summary'!$E:$E,'Disbursements Summary'!$C:$C,$C96,'Disbursements Summary'!$A:$A,"LIPA")</f>
        <v>0</v>
      </c>
      <c r="DL96" s="55">
        <f>SUMIFS('Awards Summary'!$H:$H,'Awards Summary'!$B:$B,$C96,'Awards Summary'!$J:$J,"MTA")</f>
        <v>0</v>
      </c>
      <c r="DM96" s="55">
        <f>SUMIFS('Disbursements Summary'!$E:$E,'Disbursements Summary'!$C:$C,$C96,'Disbursements Summary'!$A:$A,"MTA")</f>
        <v>0</v>
      </c>
      <c r="DN96" s="55">
        <f>SUMIFS('Awards Summary'!$H:$H,'Awards Summary'!$B:$B,$C96,'Awards Summary'!$J:$J,"NIFA")</f>
        <v>0</v>
      </c>
      <c r="DO96" s="55">
        <f>SUMIFS('Disbursements Summary'!$E:$E,'Disbursements Summary'!$C:$C,$C96,'Disbursements Summary'!$A:$A,"NIFA")</f>
        <v>0</v>
      </c>
      <c r="DP96" s="55">
        <f>SUMIFS('Awards Summary'!$H:$H,'Awards Summary'!$B:$B,$C96,'Awards Summary'!$J:$J,"NHCC")</f>
        <v>0</v>
      </c>
      <c r="DQ96" s="55">
        <f>SUMIFS('Disbursements Summary'!$E:$E,'Disbursements Summary'!$C:$C,$C96,'Disbursements Summary'!$A:$A,"NHCC")</f>
        <v>0</v>
      </c>
      <c r="DR96" s="55">
        <f>SUMIFS('Awards Summary'!$H:$H,'Awards Summary'!$B:$B,$C96,'Awards Summary'!$J:$J,"NHT")</f>
        <v>0</v>
      </c>
      <c r="DS96" s="55">
        <f>SUMIFS('Disbursements Summary'!$E:$E,'Disbursements Summary'!$C:$C,$C96,'Disbursements Summary'!$A:$A,"NHT")</f>
        <v>0</v>
      </c>
      <c r="DT96" s="55">
        <f>SUMIFS('Awards Summary'!$H:$H,'Awards Summary'!$B:$B,$C96,'Awards Summary'!$J:$J,"NYPA")</f>
        <v>0</v>
      </c>
      <c r="DU96" s="55">
        <f>SUMIFS('Disbursements Summary'!$E:$E,'Disbursements Summary'!$C:$C,$C96,'Disbursements Summary'!$A:$A,"NYPA")</f>
        <v>0</v>
      </c>
      <c r="DV96" s="55">
        <f>SUMIFS('Awards Summary'!$H:$H,'Awards Summary'!$B:$B,$C96,'Awards Summary'!$J:$J,"NYSBA")</f>
        <v>0</v>
      </c>
      <c r="DW96" s="55">
        <f>SUMIFS('Disbursements Summary'!$E:$E,'Disbursements Summary'!$C:$C,$C96,'Disbursements Summary'!$A:$A,"NYSBA")</f>
        <v>0</v>
      </c>
      <c r="DX96" s="55">
        <f>SUMIFS('Awards Summary'!$H:$H,'Awards Summary'!$B:$B,$C96,'Awards Summary'!$J:$J,"NYSERDA")</f>
        <v>0</v>
      </c>
      <c r="DY96" s="55">
        <f>SUMIFS('Disbursements Summary'!$E:$E,'Disbursements Summary'!$C:$C,$C96,'Disbursements Summary'!$A:$A,"NYSERDA")</f>
        <v>0</v>
      </c>
      <c r="DZ96" s="55">
        <f>SUMIFS('Awards Summary'!$H:$H,'Awards Summary'!$B:$B,$C96,'Awards Summary'!$J:$J,"DHCR")</f>
        <v>0</v>
      </c>
      <c r="EA96" s="55">
        <f>SUMIFS('Disbursements Summary'!$E:$E,'Disbursements Summary'!$C:$C,$C96,'Disbursements Summary'!$A:$A,"DHCR")</f>
        <v>0</v>
      </c>
      <c r="EB96" s="55">
        <f>SUMIFS('Awards Summary'!$H:$H,'Awards Summary'!$B:$B,$C96,'Awards Summary'!$J:$J,"HFA")</f>
        <v>0</v>
      </c>
      <c r="EC96" s="55">
        <f>SUMIFS('Disbursements Summary'!$E:$E,'Disbursements Summary'!$C:$C,$C96,'Disbursements Summary'!$A:$A,"HFA")</f>
        <v>0</v>
      </c>
      <c r="ED96" s="55">
        <f>SUMIFS('Awards Summary'!$H:$H,'Awards Summary'!$B:$B,$C96,'Awards Summary'!$J:$J,"NYSIF")</f>
        <v>0</v>
      </c>
      <c r="EE96" s="55">
        <f>SUMIFS('Disbursements Summary'!$E:$E,'Disbursements Summary'!$C:$C,$C96,'Disbursements Summary'!$A:$A,"NYSIF")</f>
        <v>0</v>
      </c>
      <c r="EF96" s="55">
        <f>SUMIFS('Awards Summary'!$H:$H,'Awards Summary'!$B:$B,$C96,'Awards Summary'!$J:$J,"NYBREDS")</f>
        <v>0</v>
      </c>
      <c r="EG96" s="55">
        <f>SUMIFS('Disbursements Summary'!$E:$E,'Disbursements Summary'!$C:$C,$C96,'Disbursements Summary'!$A:$A,"NYBREDS")</f>
        <v>0</v>
      </c>
      <c r="EH96" s="55">
        <f>SUMIFS('Awards Summary'!$H:$H,'Awards Summary'!$B:$B,$C96,'Awards Summary'!$J:$J,"NYSTA")</f>
        <v>0</v>
      </c>
      <c r="EI96" s="55">
        <f>SUMIFS('Disbursements Summary'!$E:$E,'Disbursements Summary'!$C:$C,$C96,'Disbursements Summary'!$A:$A,"NYSTA")</f>
        <v>0</v>
      </c>
      <c r="EJ96" s="55">
        <f>SUMIFS('Awards Summary'!$H:$H,'Awards Summary'!$B:$B,$C96,'Awards Summary'!$J:$J,"NFWB")</f>
        <v>0</v>
      </c>
      <c r="EK96" s="55">
        <f>SUMIFS('Disbursements Summary'!$E:$E,'Disbursements Summary'!$C:$C,$C96,'Disbursements Summary'!$A:$A,"NFWB")</f>
        <v>0</v>
      </c>
      <c r="EL96" s="55">
        <f>SUMIFS('Awards Summary'!$H:$H,'Awards Summary'!$B:$B,$C96,'Awards Summary'!$J:$J,"NFTA")</f>
        <v>0</v>
      </c>
      <c r="EM96" s="55">
        <f>SUMIFS('Disbursements Summary'!$E:$E,'Disbursements Summary'!$C:$C,$C96,'Disbursements Summary'!$A:$A,"NFTA")</f>
        <v>0</v>
      </c>
      <c r="EN96" s="55">
        <f>SUMIFS('Awards Summary'!$H:$H,'Awards Summary'!$B:$B,$C96,'Awards Summary'!$J:$J,"OPWDD")</f>
        <v>0</v>
      </c>
      <c r="EO96" s="55">
        <f>SUMIFS('Disbursements Summary'!$E:$E,'Disbursements Summary'!$C:$C,$C96,'Disbursements Summary'!$A:$A,"OPWDD")</f>
        <v>0</v>
      </c>
      <c r="EP96" s="55">
        <f>SUMIFS('Awards Summary'!$H:$H,'Awards Summary'!$B:$B,$C96,'Awards Summary'!$J:$J,"AGING")</f>
        <v>0</v>
      </c>
      <c r="EQ96" s="55">
        <f>SUMIFS('Disbursements Summary'!$E:$E,'Disbursements Summary'!$C:$C,$C96,'Disbursements Summary'!$A:$A,"AGING")</f>
        <v>0</v>
      </c>
      <c r="ER96" s="55">
        <f>SUMIFS('Awards Summary'!$H:$H,'Awards Summary'!$B:$B,$C96,'Awards Summary'!$J:$J,"OPDV")</f>
        <v>0</v>
      </c>
      <c r="ES96" s="55">
        <f>SUMIFS('Disbursements Summary'!$E:$E,'Disbursements Summary'!$C:$C,$C96,'Disbursements Summary'!$A:$A,"OPDV")</f>
        <v>0</v>
      </c>
      <c r="ET96" s="55">
        <f>SUMIFS('Awards Summary'!$H:$H,'Awards Summary'!$B:$B,$C96,'Awards Summary'!$J:$J,"OVS")</f>
        <v>0</v>
      </c>
      <c r="EU96" s="55">
        <f>SUMIFS('Disbursements Summary'!$E:$E,'Disbursements Summary'!$C:$C,$C96,'Disbursements Summary'!$A:$A,"OVS")</f>
        <v>0</v>
      </c>
      <c r="EV96" s="55">
        <f>SUMIFS('Awards Summary'!$H:$H,'Awards Summary'!$B:$B,$C96,'Awards Summary'!$J:$J,"OASAS")</f>
        <v>0</v>
      </c>
      <c r="EW96" s="55">
        <f>SUMIFS('Disbursements Summary'!$E:$E,'Disbursements Summary'!$C:$C,$C96,'Disbursements Summary'!$A:$A,"OASAS")</f>
        <v>0</v>
      </c>
      <c r="EX96" s="55">
        <f>SUMIFS('Awards Summary'!$H:$H,'Awards Summary'!$B:$B,$C96,'Awards Summary'!$J:$J,"OCFS")</f>
        <v>0</v>
      </c>
      <c r="EY96" s="55">
        <f>SUMIFS('Disbursements Summary'!$E:$E,'Disbursements Summary'!$C:$C,$C96,'Disbursements Summary'!$A:$A,"OCFS")</f>
        <v>0</v>
      </c>
      <c r="EZ96" s="55">
        <f>SUMIFS('Awards Summary'!$H:$H,'Awards Summary'!$B:$B,$C96,'Awards Summary'!$J:$J,"OGS")</f>
        <v>0</v>
      </c>
      <c r="FA96" s="55">
        <f>SUMIFS('Disbursements Summary'!$E:$E,'Disbursements Summary'!$C:$C,$C96,'Disbursements Summary'!$A:$A,"OGS")</f>
        <v>0</v>
      </c>
      <c r="FB96" s="55">
        <f>SUMIFS('Awards Summary'!$H:$H,'Awards Summary'!$B:$B,$C96,'Awards Summary'!$J:$J,"OMH")</f>
        <v>0</v>
      </c>
      <c r="FC96" s="55">
        <f>SUMIFS('Disbursements Summary'!$E:$E,'Disbursements Summary'!$C:$C,$C96,'Disbursements Summary'!$A:$A,"OMH")</f>
        <v>0</v>
      </c>
      <c r="FD96" s="55">
        <f>SUMIFS('Awards Summary'!$H:$H,'Awards Summary'!$B:$B,$C96,'Awards Summary'!$J:$J,"PARKS")</f>
        <v>0</v>
      </c>
      <c r="FE96" s="55">
        <f>SUMIFS('Disbursements Summary'!$E:$E,'Disbursements Summary'!$C:$C,$C96,'Disbursements Summary'!$A:$A,"PARKS")</f>
        <v>0</v>
      </c>
      <c r="FF96" s="55">
        <f>SUMIFS('Awards Summary'!$H:$H,'Awards Summary'!$B:$B,$C96,'Awards Summary'!$J:$J,"OTDA")</f>
        <v>0</v>
      </c>
      <c r="FG96" s="55">
        <f>SUMIFS('Disbursements Summary'!$E:$E,'Disbursements Summary'!$C:$C,$C96,'Disbursements Summary'!$A:$A,"OTDA")</f>
        <v>0</v>
      </c>
      <c r="FH96" s="55">
        <f>SUMIFS('Awards Summary'!$H:$H,'Awards Summary'!$B:$B,$C96,'Awards Summary'!$J:$J,"OIG")</f>
        <v>0</v>
      </c>
      <c r="FI96" s="55">
        <f>SUMIFS('Disbursements Summary'!$E:$E,'Disbursements Summary'!$C:$C,$C96,'Disbursements Summary'!$A:$A,"OIG")</f>
        <v>0</v>
      </c>
      <c r="FJ96" s="55">
        <f>SUMIFS('Awards Summary'!$H:$H,'Awards Summary'!$B:$B,$C96,'Awards Summary'!$J:$J,"OMIG")</f>
        <v>0</v>
      </c>
      <c r="FK96" s="55">
        <f>SUMIFS('Disbursements Summary'!$E:$E,'Disbursements Summary'!$C:$C,$C96,'Disbursements Summary'!$A:$A,"OMIG")</f>
        <v>0</v>
      </c>
      <c r="FL96" s="55">
        <f>SUMIFS('Awards Summary'!$H:$H,'Awards Summary'!$B:$B,$C96,'Awards Summary'!$J:$J,"OSC")</f>
        <v>0</v>
      </c>
      <c r="FM96" s="55">
        <f>SUMIFS('Disbursements Summary'!$E:$E,'Disbursements Summary'!$C:$C,$C96,'Disbursements Summary'!$A:$A,"OSC")</f>
        <v>0</v>
      </c>
      <c r="FN96" s="55">
        <f>SUMIFS('Awards Summary'!$H:$H,'Awards Summary'!$B:$B,$C96,'Awards Summary'!$J:$J,"OWIG")</f>
        <v>0</v>
      </c>
      <c r="FO96" s="55">
        <f>SUMIFS('Disbursements Summary'!$E:$E,'Disbursements Summary'!$C:$C,$C96,'Disbursements Summary'!$A:$A,"OWIG")</f>
        <v>0</v>
      </c>
      <c r="FP96" s="55">
        <f>SUMIFS('Awards Summary'!$H:$H,'Awards Summary'!$B:$B,$C96,'Awards Summary'!$J:$J,"OGDEN")</f>
        <v>0</v>
      </c>
      <c r="FQ96" s="55">
        <f>SUMIFS('Disbursements Summary'!$E:$E,'Disbursements Summary'!$C:$C,$C96,'Disbursements Summary'!$A:$A,"OGDEN")</f>
        <v>0</v>
      </c>
      <c r="FR96" s="55">
        <f>SUMIFS('Awards Summary'!$H:$H,'Awards Summary'!$B:$B,$C96,'Awards Summary'!$J:$J,"ORDA")</f>
        <v>0</v>
      </c>
      <c r="FS96" s="55">
        <f>SUMIFS('Disbursements Summary'!$E:$E,'Disbursements Summary'!$C:$C,$C96,'Disbursements Summary'!$A:$A,"ORDA")</f>
        <v>0</v>
      </c>
      <c r="FT96" s="55">
        <f>SUMIFS('Awards Summary'!$H:$H,'Awards Summary'!$B:$B,$C96,'Awards Summary'!$J:$J,"OSWEGO")</f>
        <v>0</v>
      </c>
      <c r="FU96" s="55">
        <f>SUMIFS('Disbursements Summary'!$E:$E,'Disbursements Summary'!$C:$C,$C96,'Disbursements Summary'!$A:$A,"OSWEGO")</f>
        <v>0</v>
      </c>
      <c r="FV96" s="55">
        <f>SUMIFS('Awards Summary'!$H:$H,'Awards Summary'!$B:$B,$C96,'Awards Summary'!$J:$J,"PERB")</f>
        <v>0</v>
      </c>
      <c r="FW96" s="55">
        <f>SUMIFS('Disbursements Summary'!$E:$E,'Disbursements Summary'!$C:$C,$C96,'Disbursements Summary'!$A:$A,"PERB")</f>
        <v>0</v>
      </c>
      <c r="FX96" s="55">
        <f>SUMIFS('Awards Summary'!$H:$H,'Awards Summary'!$B:$B,$C96,'Awards Summary'!$J:$J,"RGRTA")</f>
        <v>0</v>
      </c>
      <c r="FY96" s="55">
        <f>SUMIFS('Disbursements Summary'!$E:$E,'Disbursements Summary'!$C:$C,$C96,'Disbursements Summary'!$A:$A,"RGRTA")</f>
        <v>0</v>
      </c>
      <c r="FZ96" s="55">
        <f>SUMIFS('Awards Summary'!$H:$H,'Awards Summary'!$B:$B,$C96,'Awards Summary'!$J:$J,"RIOC")</f>
        <v>0</v>
      </c>
      <c r="GA96" s="55">
        <f>SUMIFS('Disbursements Summary'!$E:$E,'Disbursements Summary'!$C:$C,$C96,'Disbursements Summary'!$A:$A,"RIOC")</f>
        <v>0</v>
      </c>
      <c r="GB96" s="55">
        <f>SUMIFS('Awards Summary'!$H:$H,'Awards Summary'!$B:$B,$C96,'Awards Summary'!$J:$J,"RPCI")</f>
        <v>0</v>
      </c>
      <c r="GC96" s="55">
        <f>SUMIFS('Disbursements Summary'!$E:$E,'Disbursements Summary'!$C:$C,$C96,'Disbursements Summary'!$A:$A,"RPCI")</f>
        <v>0</v>
      </c>
      <c r="GD96" s="55">
        <f>SUMIFS('Awards Summary'!$H:$H,'Awards Summary'!$B:$B,$C96,'Awards Summary'!$J:$J,"SMDA")</f>
        <v>0</v>
      </c>
      <c r="GE96" s="55">
        <f>SUMIFS('Disbursements Summary'!$E:$E,'Disbursements Summary'!$C:$C,$C96,'Disbursements Summary'!$A:$A,"SMDA")</f>
        <v>0</v>
      </c>
      <c r="GF96" s="55">
        <f>SUMIFS('Awards Summary'!$H:$H,'Awards Summary'!$B:$B,$C96,'Awards Summary'!$J:$J,"SCOC")</f>
        <v>0</v>
      </c>
      <c r="GG96" s="55">
        <f>SUMIFS('Disbursements Summary'!$E:$E,'Disbursements Summary'!$C:$C,$C96,'Disbursements Summary'!$A:$A,"SCOC")</f>
        <v>0</v>
      </c>
      <c r="GH96" s="55">
        <f>SUMIFS('Awards Summary'!$H:$H,'Awards Summary'!$B:$B,$C96,'Awards Summary'!$J:$J,"SUCF")</f>
        <v>0</v>
      </c>
      <c r="GI96" s="55">
        <f>SUMIFS('Disbursements Summary'!$E:$E,'Disbursements Summary'!$C:$C,$C96,'Disbursements Summary'!$A:$A,"SUCF")</f>
        <v>0</v>
      </c>
      <c r="GJ96" s="55">
        <f>SUMIFS('Awards Summary'!$H:$H,'Awards Summary'!$B:$B,$C96,'Awards Summary'!$J:$J,"SUNY")</f>
        <v>0</v>
      </c>
      <c r="GK96" s="55">
        <f>SUMIFS('Disbursements Summary'!$E:$E,'Disbursements Summary'!$C:$C,$C96,'Disbursements Summary'!$A:$A,"SUNY")</f>
        <v>0</v>
      </c>
      <c r="GL96" s="55">
        <f>SUMIFS('Awards Summary'!$H:$H,'Awards Summary'!$B:$B,$C96,'Awards Summary'!$J:$J,"SRAA")</f>
        <v>0</v>
      </c>
      <c r="GM96" s="55">
        <f>SUMIFS('Disbursements Summary'!$E:$E,'Disbursements Summary'!$C:$C,$C96,'Disbursements Summary'!$A:$A,"SRAA")</f>
        <v>0</v>
      </c>
      <c r="GN96" s="55">
        <f>SUMIFS('Awards Summary'!$H:$H,'Awards Summary'!$B:$B,$C96,'Awards Summary'!$J:$J,"UNDC")</f>
        <v>0</v>
      </c>
      <c r="GO96" s="55">
        <f>SUMIFS('Disbursements Summary'!$E:$E,'Disbursements Summary'!$C:$C,$C96,'Disbursements Summary'!$A:$A,"UNDC")</f>
        <v>0</v>
      </c>
      <c r="GP96" s="55">
        <f>SUMIFS('Awards Summary'!$H:$H,'Awards Summary'!$B:$B,$C96,'Awards Summary'!$J:$J,"MVWA")</f>
        <v>0</v>
      </c>
      <c r="GQ96" s="55">
        <f>SUMIFS('Disbursements Summary'!$E:$E,'Disbursements Summary'!$C:$C,$C96,'Disbursements Summary'!$A:$A,"MVWA")</f>
        <v>0</v>
      </c>
      <c r="GR96" s="55">
        <f>SUMIFS('Awards Summary'!$H:$H,'Awards Summary'!$B:$B,$C96,'Awards Summary'!$J:$J,"WMC")</f>
        <v>0</v>
      </c>
      <c r="GS96" s="55">
        <f>SUMIFS('Disbursements Summary'!$E:$E,'Disbursements Summary'!$C:$C,$C96,'Disbursements Summary'!$A:$A,"WMC")</f>
        <v>0</v>
      </c>
      <c r="GT96" s="55">
        <f>SUMIFS('Awards Summary'!$H:$H,'Awards Summary'!$B:$B,$C96,'Awards Summary'!$J:$J,"WCB")</f>
        <v>0</v>
      </c>
      <c r="GU96" s="55">
        <f>SUMIFS('Disbursements Summary'!$E:$E,'Disbursements Summary'!$C:$C,$C96,'Disbursements Summary'!$A:$A,"WCB")</f>
        <v>0</v>
      </c>
      <c r="GV96" s="32">
        <f t="shared" si="10"/>
        <v>0</v>
      </c>
      <c r="GW96" s="32">
        <f t="shared" si="11"/>
        <v>0</v>
      </c>
      <c r="GX96" s="30" t="b">
        <f t="shared" si="12"/>
        <v>1</v>
      </c>
      <c r="GY96" s="30" t="b">
        <f t="shared" si="13"/>
        <v>1</v>
      </c>
    </row>
    <row r="97" spans="1:207" s="30" customFormat="1">
      <c r="A97" s="22" t="str">
        <f t="shared" si="9"/>
        <v/>
      </c>
      <c r="B97" s="40" t="s">
        <v>108</v>
      </c>
      <c r="C97" s="16">
        <v>151209</v>
      </c>
      <c r="D97" s="26">
        <f>COUNTIF('Awards Summary'!B:B,"151209")</f>
        <v>0</v>
      </c>
      <c r="E97" s="45">
        <f>SUMIFS('Awards Summary'!H:H,'Awards Summary'!B:B,"151209")</f>
        <v>0</v>
      </c>
      <c r="F97" s="46">
        <f>SUMIFS('Disbursements Summary'!E:E,'Disbursements Summary'!C:C, "151209")</f>
        <v>0</v>
      </c>
      <c r="H97" s="55">
        <f>SUMIFS('Awards Summary'!$H:$H,'Awards Summary'!$B:$B,$C97,'Awards Summary'!$J:$J,"APA")</f>
        <v>0</v>
      </c>
      <c r="I97" s="55">
        <f>SUMIFS('Disbursements Summary'!$E:$E,'Disbursements Summary'!$C:$C,$C97,'Disbursements Summary'!$A:$A,"APA")</f>
        <v>0</v>
      </c>
      <c r="J97" s="55">
        <f>SUMIFS('Awards Summary'!$H:$H,'Awards Summary'!$B:$B,$C97,'Awards Summary'!$J:$J,"Ag&amp;Horse")</f>
        <v>0</v>
      </c>
      <c r="K97" s="55">
        <f>SUMIFS('Disbursements Summary'!$E:$E,'Disbursements Summary'!$C:$C,$C97,'Disbursements Summary'!$A:$A,"Ag&amp;Horse")</f>
        <v>0</v>
      </c>
      <c r="L97" s="55">
        <f>SUMIFS('Awards Summary'!$H:$H,'Awards Summary'!$B:$B,$C97,'Awards Summary'!$J:$J,"ACAA")</f>
        <v>0</v>
      </c>
      <c r="M97" s="55">
        <f>SUMIFS('Disbursements Summary'!$E:$E,'Disbursements Summary'!$C:$C,$C97,'Disbursements Summary'!$A:$A,"ACAA")</f>
        <v>0</v>
      </c>
      <c r="N97" s="55">
        <f>SUMIFS('Awards Summary'!$H:$H,'Awards Summary'!$B:$B,$C97,'Awards Summary'!$J:$J,"PortAlbany")</f>
        <v>0</v>
      </c>
      <c r="O97" s="55">
        <f>SUMIFS('Disbursements Summary'!$E:$E,'Disbursements Summary'!$C:$C,$C97,'Disbursements Summary'!$A:$A,"PortAlbany")</f>
        <v>0</v>
      </c>
      <c r="P97" s="55">
        <f>SUMIFS('Awards Summary'!$H:$H,'Awards Summary'!$B:$B,$C97,'Awards Summary'!$J:$J,"SLA")</f>
        <v>0</v>
      </c>
      <c r="Q97" s="55">
        <f>SUMIFS('Disbursements Summary'!$E:$E,'Disbursements Summary'!$C:$C,$C97,'Disbursements Summary'!$A:$A,"SLA")</f>
        <v>0</v>
      </c>
      <c r="R97" s="55">
        <f>SUMIFS('Awards Summary'!$H:$H,'Awards Summary'!$B:$B,$C97,'Awards Summary'!$J:$J,"BPCA")</f>
        <v>0</v>
      </c>
      <c r="S97" s="55">
        <f>SUMIFS('Disbursements Summary'!$E:$E,'Disbursements Summary'!$C:$C,$C97,'Disbursements Summary'!$A:$A,"BPCA")</f>
        <v>0</v>
      </c>
      <c r="T97" s="55">
        <f>SUMIFS('Awards Summary'!$H:$H,'Awards Summary'!$B:$B,$C97,'Awards Summary'!$J:$J,"ELECTIONS")</f>
        <v>0</v>
      </c>
      <c r="U97" s="55">
        <f>SUMIFS('Disbursements Summary'!$E:$E,'Disbursements Summary'!$C:$C,$C97,'Disbursements Summary'!$A:$A,"ELECTIONS")</f>
        <v>0</v>
      </c>
      <c r="V97" s="55">
        <f>SUMIFS('Awards Summary'!$H:$H,'Awards Summary'!$B:$B,$C97,'Awards Summary'!$J:$J,"BFSA")</f>
        <v>0</v>
      </c>
      <c r="W97" s="55">
        <f>SUMIFS('Disbursements Summary'!$E:$E,'Disbursements Summary'!$C:$C,$C97,'Disbursements Summary'!$A:$A,"BFSA")</f>
        <v>0</v>
      </c>
      <c r="X97" s="55">
        <f>SUMIFS('Awards Summary'!$H:$H,'Awards Summary'!$B:$B,$C97,'Awards Summary'!$J:$J,"CDTA")</f>
        <v>0</v>
      </c>
      <c r="Y97" s="55">
        <f>SUMIFS('Disbursements Summary'!$E:$E,'Disbursements Summary'!$C:$C,$C97,'Disbursements Summary'!$A:$A,"CDTA")</f>
        <v>0</v>
      </c>
      <c r="Z97" s="55">
        <f>SUMIFS('Awards Summary'!$H:$H,'Awards Summary'!$B:$B,$C97,'Awards Summary'!$J:$J,"CCWSA")</f>
        <v>0</v>
      </c>
      <c r="AA97" s="55">
        <f>SUMIFS('Disbursements Summary'!$E:$E,'Disbursements Summary'!$C:$C,$C97,'Disbursements Summary'!$A:$A,"CCWSA")</f>
        <v>0</v>
      </c>
      <c r="AB97" s="55">
        <f>SUMIFS('Awards Summary'!$H:$H,'Awards Summary'!$B:$B,$C97,'Awards Summary'!$J:$J,"CNYRTA")</f>
        <v>0</v>
      </c>
      <c r="AC97" s="55">
        <f>SUMIFS('Disbursements Summary'!$E:$E,'Disbursements Summary'!$C:$C,$C97,'Disbursements Summary'!$A:$A,"CNYRTA")</f>
        <v>0</v>
      </c>
      <c r="AD97" s="55">
        <f>SUMIFS('Awards Summary'!$H:$H,'Awards Summary'!$B:$B,$C97,'Awards Summary'!$J:$J,"CUCF")</f>
        <v>0</v>
      </c>
      <c r="AE97" s="55">
        <f>SUMIFS('Disbursements Summary'!$E:$E,'Disbursements Summary'!$C:$C,$C97,'Disbursements Summary'!$A:$A,"CUCF")</f>
        <v>0</v>
      </c>
      <c r="AF97" s="55">
        <f>SUMIFS('Awards Summary'!$H:$H,'Awards Summary'!$B:$B,$C97,'Awards Summary'!$J:$J,"CUNY")</f>
        <v>0</v>
      </c>
      <c r="AG97" s="55">
        <f>SUMIFS('Disbursements Summary'!$E:$E,'Disbursements Summary'!$C:$C,$C97,'Disbursements Summary'!$A:$A,"CUNY")</f>
        <v>0</v>
      </c>
      <c r="AH97" s="55">
        <f>SUMIFS('Awards Summary'!$H:$H,'Awards Summary'!$B:$B,$C97,'Awards Summary'!$J:$J,"ARTS")</f>
        <v>0</v>
      </c>
      <c r="AI97" s="55">
        <f>SUMIFS('Disbursements Summary'!$E:$E,'Disbursements Summary'!$C:$C,$C97,'Disbursements Summary'!$A:$A,"ARTS")</f>
        <v>0</v>
      </c>
      <c r="AJ97" s="55">
        <f>SUMIFS('Awards Summary'!$H:$H,'Awards Summary'!$B:$B,$C97,'Awards Summary'!$J:$J,"AG&amp;MKTS")</f>
        <v>0</v>
      </c>
      <c r="AK97" s="55">
        <f>SUMIFS('Disbursements Summary'!$E:$E,'Disbursements Summary'!$C:$C,$C97,'Disbursements Summary'!$A:$A,"AG&amp;MKTS")</f>
        <v>0</v>
      </c>
      <c r="AL97" s="55">
        <f>SUMIFS('Awards Summary'!$H:$H,'Awards Summary'!$B:$B,$C97,'Awards Summary'!$J:$J,"CS")</f>
        <v>0</v>
      </c>
      <c r="AM97" s="55">
        <f>SUMIFS('Disbursements Summary'!$E:$E,'Disbursements Summary'!$C:$C,$C97,'Disbursements Summary'!$A:$A,"CS")</f>
        <v>0</v>
      </c>
      <c r="AN97" s="55">
        <f>SUMIFS('Awards Summary'!$H:$H,'Awards Summary'!$B:$B,$C97,'Awards Summary'!$J:$J,"DOCCS")</f>
        <v>0</v>
      </c>
      <c r="AO97" s="55">
        <f>SUMIFS('Disbursements Summary'!$E:$E,'Disbursements Summary'!$C:$C,$C97,'Disbursements Summary'!$A:$A,"DOCCS")</f>
        <v>0</v>
      </c>
      <c r="AP97" s="55">
        <f>SUMIFS('Awards Summary'!$H:$H,'Awards Summary'!$B:$B,$C97,'Awards Summary'!$J:$J,"DED")</f>
        <v>0</v>
      </c>
      <c r="AQ97" s="55">
        <f>SUMIFS('Disbursements Summary'!$E:$E,'Disbursements Summary'!$C:$C,$C97,'Disbursements Summary'!$A:$A,"DED")</f>
        <v>0</v>
      </c>
      <c r="AR97" s="55">
        <f>SUMIFS('Awards Summary'!$H:$H,'Awards Summary'!$B:$B,$C97,'Awards Summary'!$J:$J,"DEC")</f>
        <v>0</v>
      </c>
      <c r="AS97" s="55">
        <f>SUMIFS('Disbursements Summary'!$E:$E,'Disbursements Summary'!$C:$C,$C97,'Disbursements Summary'!$A:$A,"DEC")</f>
        <v>0</v>
      </c>
      <c r="AT97" s="55">
        <f>SUMIFS('Awards Summary'!$H:$H,'Awards Summary'!$B:$B,$C97,'Awards Summary'!$J:$J,"DFS")</f>
        <v>0</v>
      </c>
      <c r="AU97" s="55">
        <f>SUMIFS('Disbursements Summary'!$E:$E,'Disbursements Summary'!$C:$C,$C97,'Disbursements Summary'!$A:$A,"DFS")</f>
        <v>0</v>
      </c>
      <c r="AV97" s="55">
        <f>SUMIFS('Awards Summary'!$H:$H,'Awards Summary'!$B:$B,$C97,'Awards Summary'!$J:$J,"DOH")</f>
        <v>0</v>
      </c>
      <c r="AW97" s="55">
        <f>SUMIFS('Disbursements Summary'!$E:$E,'Disbursements Summary'!$C:$C,$C97,'Disbursements Summary'!$A:$A,"DOH")</f>
        <v>0</v>
      </c>
      <c r="AX97" s="55">
        <f>SUMIFS('Awards Summary'!$H:$H,'Awards Summary'!$B:$B,$C97,'Awards Summary'!$J:$J,"DOL")</f>
        <v>0</v>
      </c>
      <c r="AY97" s="55">
        <f>SUMIFS('Disbursements Summary'!$E:$E,'Disbursements Summary'!$C:$C,$C97,'Disbursements Summary'!$A:$A,"DOL")</f>
        <v>0</v>
      </c>
      <c r="AZ97" s="55">
        <f>SUMIFS('Awards Summary'!$H:$H,'Awards Summary'!$B:$B,$C97,'Awards Summary'!$J:$J,"DMV")</f>
        <v>0</v>
      </c>
      <c r="BA97" s="55">
        <f>SUMIFS('Disbursements Summary'!$E:$E,'Disbursements Summary'!$C:$C,$C97,'Disbursements Summary'!$A:$A,"DMV")</f>
        <v>0</v>
      </c>
      <c r="BB97" s="55">
        <f>SUMIFS('Awards Summary'!$H:$H,'Awards Summary'!$B:$B,$C97,'Awards Summary'!$J:$J,"DPS")</f>
        <v>0</v>
      </c>
      <c r="BC97" s="55">
        <f>SUMIFS('Disbursements Summary'!$E:$E,'Disbursements Summary'!$C:$C,$C97,'Disbursements Summary'!$A:$A,"DPS")</f>
        <v>0</v>
      </c>
      <c r="BD97" s="55">
        <f>SUMIFS('Awards Summary'!$H:$H,'Awards Summary'!$B:$B,$C97,'Awards Summary'!$J:$J,"DOS")</f>
        <v>0</v>
      </c>
      <c r="BE97" s="55">
        <f>SUMIFS('Disbursements Summary'!$E:$E,'Disbursements Summary'!$C:$C,$C97,'Disbursements Summary'!$A:$A,"DOS")</f>
        <v>0</v>
      </c>
      <c r="BF97" s="55">
        <f>SUMIFS('Awards Summary'!$H:$H,'Awards Summary'!$B:$B,$C97,'Awards Summary'!$J:$J,"TAX")</f>
        <v>0</v>
      </c>
      <c r="BG97" s="55">
        <f>SUMIFS('Disbursements Summary'!$E:$E,'Disbursements Summary'!$C:$C,$C97,'Disbursements Summary'!$A:$A,"TAX")</f>
        <v>0</v>
      </c>
      <c r="BH97" s="55">
        <f>SUMIFS('Awards Summary'!$H:$H,'Awards Summary'!$B:$B,$C97,'Awards Summary'!$J:$J,"DOT")</f>
        <v>0</v>
      </c>
      <c r="BI97" s="55">
        <f>SUMIFS('Disbursements Summary'!$E:$E,'Disbursements Summary'!$C:$C,$C97,'Disbursements Summary'!$A:$A,"DOT")</f>
        <v>0</v>
      </c>
      <c r="BJ97" s="55">
        <f>SUMIFS('Awards Summary'!$H:$H,'Awards Summary'!$B:$B,$C97,'Awards Summary'!$J:$J,"DANC")</f>
        <v>0</v>
      </c>
      <c r="BK97" s="55">
        <f>SUMIFS('Disbursements Summary'!$E:$E,'Disbursements Summary'!$C:$C,$C97,'Disbursements Summary'!$A:$A,"DANC")</f>
        <v>0</v>
      </c>
      <c r="BL97" s="55">
        <f>SUMIFS('Awards Summary'!$H:$H,'Awards Summary'!$B:$B,$C97,'Awards Summary'!$J:$J,"DOB")</f>
        <v>0</v>
      </c>
      <c r="BM97" s="55">
        <f>SUMIFS('Disbursements Summary'!$E:$E,'Disbursements Summary'!$C:$C,$C97,'Disbursements Summary'!$A:$A,"DOB")</f>
        <v>0</v>
      </c>
      <c r="BN97" s="55">
        <f>SUMIFS('Awards Summary'!$H:$H,'Awards Summary'!$B:$B,$C97,'Awards Summary'!$J:$J,"DCJS")</f>
        <v>0</v>
      </c>
      <c r="BO97" s="55">
        <f>SUMIFS('Disbursements Summary'!$E:$E,'Disbursements Summary'!$C:$C,$C97,'Disbursements Summary'!$A:$A,"DCJS")</f>
        <v>0</v>
      </c>
      <c r="BP97" s="55">
        <f>SUMIFS('Awards Summary'!$H:$H,'Awards Summary'!$B:$B,$C97,'Awards Summary'!$J:$J,"DHSES")</f>
        <v>0</v>
      </c>
      <c r="BQ97" s="55">
        <f>SUMIFS('Disbursements Summary'!$E:$E,'Disbursements Summary'!$C:$C,$C97,'Disbursements Summary'!$A:$A,"DHSES")</f>
        <v>0</v>
      </c>
      <c r="BR97" s="55">
        <f>SUMIFS('Awards Summary'!$H:$H,'Awards Summary'!$B:$B,$C97,'Awards Summary'!$J:$J,"DHR")</f>
        <v>0</v>
      </c>
      <c r="BS97" s="55">
        <f>SUMIFS('Disbursements Summary'!$E:$E,'Disbursements Summary'!$C:$C,$C97,'Disbursements Summary'!$A:$A,"DHR")</f>
        <v>0</v>
      </c>
      <c r="BT97" s="55">
        <f>SUMIFS('Awards Summary'!$H:$H,'Awards Summary'!$B:$B,$C97,'Awards Summary'!$J:$J,"DMNA")</f>
        <v>0</v>
      </c>
      <c r="BU97" s="55">
        <f>SUMIFS('Disbursements Summary'!$E:$E,'Disbursements Summary'!$C:$C,$C97,'Disbursements Summary'!$A:$A,"DMNA")</f>
        <v>0</v>
      </c>
      <c r="BV97" s="55">
        <f>SUMIFS('Awards Summary'!$H:$H,'Awards Summary'!$B:$B,$C97,'Awards Summary'!$J:$J,"TROOPERS")</f>
        <v>0</v>
      </c>
      <c r="BW97" s="55">
        <f>SUMIFS('Disbursements Summary'!$E:$E,'Disbursements Summary'!$C:$C,$C97,'Disbursements Summary'!$A:$A,"TROOPERS")</f>
        <v>0</v>
      </c>
      <c r="BX97" s="55">
        <f>SUMIFS('Awards Summary'!$H:$H,'Awards Summary'!$B:$B,$C97,'Awards Summary'!$J:$J,"DVA")</f>
        <v>0</v>
      </c>
      <c r="BY97" s="55">
        <f>SUMIFS('Disbursements Summary'!$E:$E,'Disbursements Summary'!$C:$C,$C97,'Disbursements Summary'!$A:$A,"DVA")</f>
        <v>0</v>
      </c>
      <c r="BZ97" s="55">
        <f>SUMIFS('Awards Summary'!$H:$H,'Awards Summary'!$B:$B,$C97,'Awards Summary'!$J:$J,"DASNY")</f>
        <v>0</v>
      </c>
      <c r="CA97" s="55">
        <f>SUMIFS('Disbursements Summary'!$E:$E,'Disbursements Summary'!$C:$C,$C97,'Disbursements Summary'!$A:$A,"DASNY")</f>
        <v>0</v>
      </c>
      <c r="CB97" s="55">
        <f>SUMIFS('Awards Summary'!$H:$H,'Awards Summary'!$B:$B,$C97,'Awards Summary'!$J:$J,"EGG")</f>
        <v>0</v>
      </c>
      <c r="CC97" s="55">
        <f>SUMIFS('Disbursements Summary'!$E:$E,'Disbursements Summary'!$C:$C,$C97,'Disbursements Summary'!$A:$A,"EGG")</f>
        <v>0</v>
      </c>
      <c r="CD97" s="55">
        <f>SUMIFS('Awards Summary'!$H:$H,'Awards Summary'!$B:$B,$C97,'Awards Summary'!$J:$J,"ESD")</f>
        <v>0</v>
      </c>
      <c r="CE97" s="55">
        <f>SUMIFS('Disbursements Summary'!$E:$E,'Disbursements Summary'!$C:$C,$C97,'Disbursements Summary'!$A:$A,"ESD")</f>
        <v>0</v>
      </c>
      <c r="CF97" s="55">
        <f>SUMIFS('Awards Summary'!$H:$H,'Awards Summary'!$B:$B,$C97,'Awards Summary'!$J:$J,"EFC")</f>
        <v>0</v>
      </c>
      <c r="CG97" s="55">
        <f>SUMIFS('Disbursements Summary'!$E:$E,'Disbursements Summary'!$C:$C,$C97,'Disbursements Summary'!$A:$A,"EFC")</f>
        <v>0</v>
      </c>
      <c r="CH97" s="55">
        <f>SUMIFS('Awards Summary'!$H:$H,'Awards Summary'!$B:$B,$C97,'Awards Summary'!$J:$J,"ECFSA")</f>
        <v>0</v>
      </c>
      <c r="CI97" s="55">
        <f>SUMIFS('Disbursements Summary'!$E:$E,'Disbursements Summary'!$C:$C,$C97,'Disbursements Summary'!$A:$A,"ECFSA")</f>
        <v>0</v>
      </c>
      <c r="CJ97" s="55">
        <f>SUMIFS('Awards Summary'!$H:$H,'Awards Summary'!$B:$B,$C97,'Awards Summary'!$J:$J,"ECMC")</f>
        <v>0</v>
      </c>
      <c r="CK97" s="55">
        <f>SUMIFS('Disbursements Summary'!$E:$E,'Disbursements Summary'!$C:$C,$C97,'Disbursements Summary'!$A:$A,"ECMC")</f>
        <v>0</v>
      </c>
      <c r="CL97" s="55">
        <f>SUMIFS('Awards Summary'!$H:$H,'Awards Summary'!$B:$B,$C97,'Awards Summary'!$J:$J,"CHAMBER")</f>
        <v>0</v>
      </c>
      <c r="CM97" s="55">
        <f>SUMIFS('Disbursements Summary'!$E:$E,'Disbursements Summary'!$C:$C,$C97,'Disbursements Summary'!$A:$A,"CHAMBER")</f>
        <v>0</v>
      </c>
      <c r="CN97" s="55">
        <f>SUMIFS('Awards Summary'!$H:$H,'Awards Summary'!$B:$B,$C97,'Awards Summary'!$J:$J,"GAMING")</f>
        <v>0</v>
      </c>
      <c r="CO97" s="55">
        <f>SUMIFS('Disbursements Summary'!$E:$E,'Disbursements Summary'!$C:$C,$C97,'Disbursements Summary'!$A:$A,"GAMING")</f>
        <v>0</v>
      </c>
      <c r="CP97" s="55">
        <f>SUMIFS('Awards Summary'!$H:$H,'Awards Summary'!$B:$B,$C97,'Awards Summary'!$J:$J,"GOER")</f>
        <v>0</v>
      </c>
      <c r="CQ97" s="55">
        <f>SUMIFS('Disbursements Summary'!$E:$E,'Disbursements Summary'!$C:$C,$C97,'Disbursements Summary'!$A:$A,"GOER")</f>
        <v>0</v>
      </c>
      <c r="CR97" s="55">
        <f>SUMIFS('Awards Summary'!$H:$H,'Awards Summary'!$B:$B,$C97,'Awards Summary'!$J:$J,"HESC")</f>
        <v>0</v>
      </c>
      <c r="CS97" s="55">
        <f>SUMIFS('Disbursements Summary'!$E:$E,'Disbursements Summary'!$C:$C,$C97,'Disbursements Summary'!$A:$A,"HESC")</f>
        <v>0</v>
      </c>
      <c r="CT97" s="55">
        <f>SUMIFS('Awards Summary'!$H:$H,'Awards Summary'!$B:$B,$C97,'Awards Summary'!$J:$J,"GOSR")</f>
        <v>0</v>
      </c>
      <c r="CU97" s="55">
        <f>SUMIFS('Disbursements Summary'!$E:$E,'Disbursements Summary'!$C:$C,$C97,'Disbursements Summary'!$A:$A,"GOSR")</f>
        <v>0</v>
      </c>
      <c r="CV97" s="55">
        <f>SUMIFS('Awards Summary'!$H:$H,'Awards Summary'!$B:$B,$C97,'Awards Summary'!$J:$J,"HRPT")</f>
        <v>0</v>
      </c>
      <c r="CW97" s="55">
        <f>SUMIFS('Disbursements Summary'!$E:$E,'Disbursements Summary'!$C:$C,$C97,'Disbursements Summary'!$A:$A,"HRPT")</f>
        <v>0</v>
      </c>
      <c r="CX97" s="55">
        <f>SUMIFS('Awards Summary'!$H:$H,'Awards Summary'!$B:$B,$C97,'Awards Summary'!$J:$J,"HRBRRD")</f>
        <v>0</v>
      </c>
      <c r="CY97" s="55">
        <f>SUMIFS('Disbursements Summary'!$E:$E,'Disbursements Summary'!$C:$C,$C97,'Disbursements Summary'!$A:$A,"HRBRRD")</f>
        <v>0</v>
      </c>
      <c r="CZ97" s="55">
        <f>SUMIFS('Awards Summary'!$H:$H,'Awards Summary'!$B:$B,$C97,'Awards Summary'!$J:$J,"ITS")</f>
        <v>0</v>
      </c>
      <c r="DA97" s="55">
        <f>SUMIFS('Disbursements Summary'!$E:$E,'Disbursements Summary'!$C:$C,$C97,'Disbursements Summary'!$A:$A,"ITS")</f>
        <v>0</v>
      </c>
      <c r="DB97" s="55">
        <f>SUMIFS('Awards Summary'!$H:$H,'Awards Summary'!$B:$B,$C97,'Awards Summary'!$J:$J,"JAVITS")</f>
        <v>0</v>
      </c>
      <c r="DC97" s="55">
        <f>SUMIFS('Disbursements Summary'!$E:$E,'Disbursements Summary'!$C:$C,$C97,'Disbursements Summary'!$A:$A,"JAVITS")</f>
        <v>0</v>
      </c>
      <c r="DD97" s="55">
        <f>SUMIFS('Awards Summary'!$H:$H,'Awards Summary'!$B:$B,$C97,'Awards Summary'!$J:$J,"JCOPE")</f>
        <v>0</v>
      </c>
      <c r="DE97" s="55">
        <f>SUMIFS('Disbursements Summary'!$E:$E,'Disbursements Summary'!$C:$C,$C97,'Disbursements Summary'!$A:$A,"JCOPE")</f>
        <v>0</v>
      </c>
      <c r="DF97" s="55">
        <f>SUMIFS('Awards Summary'!$H:$H,'Awards Summary'!$B:$B,$C97,'Awards Summary'!$J:$J,"JUSTICE")</f>
        <v>0</v>
      </c>
      <c r="DG97" s="55">
        <f>SUMIFS('Disbursements Summary'!$E:$E,'Disbursements Summary'!$C:$C,$C97,'Disbursements Summary'!$A:$A,"JUSTICE")</f>
        <v>0</v>
      </c>
      <c r="DH97" s="55">
        <f>SUMIFS('Awards Summary'!$H:$H,'Awards Summary'!$B:$B,$C97,'Awards Summary'!$J:$J,"LCWSA")</f>
        <v>0</v>
      </c>
      <c r="DI97" s="55">
        <f>SUMIFS('Disbursements Summary'!$E:$E,'Disbursements Summary'!$C:$C,$C97,'Disbursements Summary'!$A:$A,"LCWSA")</f>
        <v>0</v>
      </c>
      <c r="DJ97" s="55">
        <f>SUMIFS('Awards Summary'!$H:$H,'Awards Summary'!$B:$B,$C97,'Awards Summary'!$J:$J,"LIPA")</f>
        <v>0</v>
      </c>
      <c r="DK97" s="55">
        <f>SUMIFS('Disbursements Summary'!$E:$E,'Disbursements Summary'!$C:$C,$C97,'Disbursements Summary'!$A:$A,"LIPA")</f>
        <v>0</v>
      </c>
      <c r="DL97" s="55">
        <f>SUMIFS('Awards Summary'!$H:$H,'Awards Summary'!$B:$B,$C97,'Awards Summary'!$J:$J,"MTA")</f>
        <v>0</v>
      </c>
      <c r="DM97" s="55">
        <f>SUMIFS('Disbursements Summary'!$E:$E,'Disbursements Summary'!$C:$C,$C97,'Disbursements Summary'!$A:$A,"MTA")</f>
        <v>0</v>
      </c>
      <c r="DN97" s="55">
        <f>SUMIFS('Awards Summary'!$H:$H,'Awards Summary'!$B:$B,$C97,'Awards Summary'!$J:$J,"NIFA")</f>
        <v>0</v>
      </c>
      <c r="DO97" s="55">
        <f>SUMIFS('Disbursements Summary'!$E:$E,'Disbursements Summary'!$C:$C,$C97,'Disbursements Summary'!$A:$A,"NIFA")</f>
        <v>0</v>
      </c>
      <c r="DP97" s="55">
        <f>SUMIFS('Awards Summary'!$H:$H,'Awards Summary'!$B:$B,$C97,'Awards Summary'!$J:$J,"NHCC")</f>
        <v>0</v>
      </c>
      <c r="DQ97" s="55">
        <f>SUMIFS('Disbursements Summary'!$E:$E,'Disbursements Summary'!$C:$C,$C97,'Disbursements Summary'!$A:$A,"NHCC")</f>
        <v>0</v>
      </c>
      <c r="DR97" s="55">
        <f>SUMIFS('Awards Summary'!$H:$H,'Awards Summary'!$B:$B,$C97,'Awards Summary'!$J:$J,"NHT")</f>
        <v>0</v>
      </c>
      <c r="DS97" s="55">
        <f>SUMIFS('Disbursements Summary'!$E:$E,'Disbursements Summary'!$C:$C,$C97,'Disbursements Summary'!$A:$A,"NHT")</f>
        <v>0</v>
      </c>
      <c r="DT97" s="55">
        <f>SUMIFS('Awards Summary'!$H:$H,'Awards Summary'!$B:$B,$C97,'Awards Summary'!$J:$J,"NYPA")</f>
        <v>0</v>
      </c>
      <c r="DU97" s="55">
        <f>SUMIFS('Disbursements Summary'!$E:$E,'Disbursements Summary'!$C:$C,$C97,'Disbursements Summary'!$A:$A,"NYPA")</f>
        <v>0</v>
      </c>
      <c r="DV97" s="55">
        <f>SUMIFS('Awards Summary'!$H:$H,'Awards Summary'!$B:$B,$C97,'Awards Summary'!$J:$J,"NYSBA")</f>
        <v>0</v>
      </c>
      <c r="DW97" s="55">
        <f>SUMIFS('Disbursements Summary'!$E:$E,'Disbursements Summary'!$C:$C,$C97,'Disbursements Summary'!$A:$A,"NYSBA")</f>
        <v>0</v>
      </c>
      <c r="DX97" s="55">
        <f>SUMIFS('Awards Summary'!$H:$H,'Awards Summary'!$B:$B,$C97,'Awards Summary'!$J:$J,"NYSERDA")</f>
        <v>0</v>
      </c>
      <c r="DY97" s="55">
        <f>SUMIFS('Disbursements Summary'!$E:$E,'Disbursements Summary'!$C:$C,$C97,'Disbursements Summary'!$A:$A,"NYSERDA")</f>
        <v>0</v>
      </c>
      <c r="DZ97" s="55">
        <f>SUMIFS('Awards Summary'!$H:$H,'Awards Summary'!$B:$B,$C97,'Awards Summary'!$J:$J,"DHCR")</f>
        <v>0</v>
      </c>
      <c r="EA97" s="55">
        <f>SUMIFS('Disbursements Summary'!$E:$E,'Disbursements Summary'!$C:$C,$C97,'Disbursements Summary'!$A:$A,"DHCR")</f>
        <v>0</v>
      </c>
      <c r="EB97" s="55">
        <f>SUMIFS('Awards Summary'!$H:$H,'Awards Summary'!$B:$B,$C97,'Awards Summary'!$J:$J,"HFA")</f>
        <v>0</v>
      </c>
      <c r="EC97" s="55">
        <f>SUMIFS('Disbursements Summary'!$E:$E,'Disbursements Summary'!$C:$C,$C97,'Disbursements Summary'!$A:$A,"HFA")</f>
        <v>0</v>
      </c>
      <c r="ED97" s="55">
        <f>SUMIFS('Awards Summary'!$H:$H,'Awards Summary'!$B:$B,$C97,'Awards Summary'!$J:$J,"NYSIF")</f>
        <v>0</v>
      </c>
      <c r="EE97" s="55">
        <f>SUMIFS('Disbursements Summary'!$E:$E,'Disbursements Summary'!$C:$C,$C97,'Disbursements Summary'!$A:$A,"NYSIF")</f>
        <v>0</v>
      </c>
      <c r="EF97" s="55">
        <f>SUMIFS('Awards Summary'!$H:$H,'Awards Summary'!$B:$B,$C97,'Awards Summary'!$J:$J,"NYBREDS")</f>
        <v>0</v>
      </c>
      <c r="EG97" s="55">
        <f>SUMIFS('Disbursements Summary'!$E:$E,'Disbursements Summary'!$C:$C,$C97,'Disbursements Summary'!$A:$A,"NYBREDS")</f>
        <v>0</v>
      </c>
      <c r="EH97" s="55">
        <f>SUMIFS('Awards Summary'!$H:$H,'Awards Summary'!$B:$B,$C97,'Awards Summary'!$J:$J,"NYSTA")</f>
        <v>0</v>
      </c>
      <c r="EI97" s="55">
        <f>SUMIFS('Disbursements Summary'!$E:$E,'Disbursements Summary'!$C:$C,$C97,'Disbursements Summary'!$A:$A,"NYSTA")</f>
        <v>0</v>
      </c>
      <c r="EJ97" s="55">
        <f>SUMIFS('Awards Summary'!$H:$H,'Awards Summary'!$B:$B,$C97,'Awards Summary'!$J:$J,"NFWB")</f>
        <v>0</v>
      </c>
      <c r="EK97" s="55">
        <f>SUMIFS('Disbursements Summary'!$E:$E,'Disbursements Summary'!$C:$C,$C97,'Disbursements Summary'!$A:$A,"NFWB")</f>
        <v>0</v>
      </c>
      <c r="EL97" s="55">
        <f>SUMIFS('Awards Summary'!$H:$H,'Awards Summary'!$B:$B,$C97,'Awards Summary'!$J:$J,"NFTA")</f>
        <v>0</v>
      </c>
      <c r="EM97" s="55">
        <f>SUMIFS('Disbursements Summary'!$E:$E,'Disbursements Summary'!$C:$C,$C97,'Disbursements Summary'!$A:$A,"NFTA")</f>
        <v>0</v>
      </c>
      <c r="EN97" s="55">
        <f>SUMIFS('Awards Summary'!$H:$H,'Awards Summary'!$B:$B,$C97,'Awards Summary'!$J:$J,"OPWDD")</f>
        <v>0</v>
      </c>
      <c r="EO97" s="55">
        <f>SUMIFS('Disbursements Summary'!$E:$E,'Disbursements Summary'!$C:$C,$C97,'Disbursements Summary'!$A:$A,"OPWDD")</f>
        <v>0</v>
      </c>
      <c r="EP97" s="55">
        <f>SUMIFS('Awards Summary'!$H:$H,'Awards Summary'!$B:$B,$C97,'Awards Summary'!$J:$J,"AGING")</f>
        <v>0</v>
      </c>
      <c r="EQ97" s="55">
        <f>SUMIFS('Disbursements Summary'!$E:$E,'Disbursements Summary'!$C:$C,$C97,'Disbursements Summary'!$A:$A,"AGING")</f>
        <v>0</v>
      </c>
      <c r="ER97" s="55">
        <f>SUMIFS('Awards Summary'!$H:$H,'Awards Summary'!$B:$B,$C97,'Awards Summary'!$J:$J,"OPDV")</f>
        <v>0</v>
      </c>
      <c r="ES97" s="55">
        <f>SUMIFS('Disbursements Summary'!$E:$E,'Disbursements Summary'!$C:$C,$C97,'Disbursements Summary'!$A:$A,"OPDV")</f>
        <v>0</v>
      </c>
      <c r="ET97" s="55">
        <f>SUMIFS('Awards Summary'!$H:$H,'Awards Summary'!$B:$B,$C97,'Awards Summary'!$J:$J,"OVS")</f>
        <v>0</v>
      </c>
      <c r="EU97" s="55">
        <f>SUMIFS('Disbursements Summary'!$E:$E,'Disbursements Summary'!$C:$C,$C97,'Disbursements Summary'!$A:$A,"OVS")</f>
        <v>0</v>
      </c>
      <c r="EV97" s="55">
        <f>SUMIFS('Awards Summary'!$H:$H,'Awards Summary'!$B:$B,$C97,'Awards Summary'!$J:$J,"OASAS")</f>
        <v>0</v>
      </c>
      <c r="EW97" s="55">
        <f>SUMIFS('Disbursements Summary'!$E:$E,'Disbursements Summary'!$C:$C,$C97,'Disbursements Summary'!$A:$A,"OASAS")</f>
        <v>0</v>
      </c>
      <c r="EX97" s="55">
        <f>SUMIFS('Awards Summary'!$H:$H,'Awards Summary'!$B:$B,$C97,'Awards Summary'!$J:$J,"OCFS")</f>
        <v>0</v>
      </c>
      <c r="EY97" s="55">
        <f>SUMIFS('Disbursements Summary'!$E:$E,'Disbursements Summary'!$C:$C,$C97,'Disbursements Summary'!$A:$A,"OCFS")</f>
        <v>0</v>
      </c>
      <c r="EZ97" s="55">
        <f>SUMIFS('Awards Summary'!$H:$H,'Awards Summary'!$B:$B,$C97,'Awards Summary'!$J:$J,"OGS")</f>
        <v>0</v>
      </c>
      <c r="FA97" s="55">
        <f>SUMIFS('Disbursements Summary'!$E:$E,'Disbursements Summary'!$C:$C,$C97,'Disbursements Summary'!$A:$A,"OGS")</f>
        <v>0</v>
      </c>
      <c r="FB97" s="55">
        <f>SUMIFS('Awards Summary'!$H:$H,'Awards Summary'!$B:$B,$C97,'Awards Summary'!$J:$J,"OMH")</f>
        <v>0</v>
      </c>
      <c r="FC97" s="55">
        <f>SUMIFS('Disbursements Summary'!$E:$E,'Disbursements Summary'!$C:$C,$C97,'Disbursements Summary'!$A:$A,"OMH")</f>
        <v>0</v>
      </c>
      <c r="FD97" s="55">
        <f>SUMIFS('Awards Summary'!$H:$H,'Awards Summary'!$B:$B,$C97,'Awards Summary'!$J:$J,"PARKS")</f>
        <v>0</v>
      </c>
      <c r="FE97" s="55">
        <f>SUMIFS('Disbursements Summary'!$E:$E,'Disbursements Summary'!$C:$C,$C97,'Disbursements Summary'!$A:$A,"PARKS")</f>
        <v>0</v>
      </c>
      <c r="FF97" s="55">
        <f>SUMIFS('Awards Summary'!$H:$H,'Awards Summary'!$B:$B,$C97,'Awards Summary'!$J:$J,"OTDA")</f>
        <v>0</v>
      </c>
      <c r="FG97" s="55">
        <f>SUMIFS('Disbursements Summary'!$E:$E,'Disbursements Summary'!$C:$C,$C97,'Disbursements Summary'!$A:$A,"OTDA")</f>
        <v>0</v>
      </c>
      <c r="FH97" s="55">
        <f>SUMIFS('Awards Summary'!$H:$H,'Awards Summary'!$B:$B,$C97,'Awards Summary'!$J:$J,"OIG")</f>
        <v>0</v>
      </c>
      <c r="FI97" s="55">
        <f>SUMIFS('Disbursements Summary'!$E:$E,'Disbursements Summary'!$C:$C,$C97,'Disbursements Summary'!$A:$A,"OIG")</f>
        <v>0</v>
      </c>
      <c r="FJ97" s="55">
        <f>SUMIFS('Awards Summary'!$H:$H,'Awards Summary'!$B:$B,$C97,'Awards Summary'!$J:$J,"OMIG")</f>
        <v>0</v>
      </c>
      <c r="FK97" s="55">
        <f>SUMIFS('Disbursements Summary'!$E:$E,'Disbursements Summary'!$C:$C,$C97,'Disbursements Summary'!$A:$A,"OMIG")</f>
        <v>0</v>
      </c>
      <c r="FL97" s="55">
        <f>SUMIFS('Awards Summary'!$H:$H,'Awards Summary'!$B:$B,$C97,'Awards Summary'!$J:$J,"OSC")</f>
        <v>0</v>
      </c>
      <c r="FM97" s="55">
        <f>SUMIFS('Disbursements Summary'!$E:$E,'Disbursements Summary'!$C:$C,$C97,'Disbursements Summary'!$A:$A,"OSC")</f>
        <v>0</v>
      </c>
      <c r="FN97" s="55">
        <f>SUMIFS('Awards Summary'!$H:$H,'Awards Summary'!$B:$B,$C97,'Awards Summary'!$J:$J,"OWIG")</f>
        <v>0</v>
      </c>
      <c r="FO97" s="55">
        <f>SUMIFS('Disbursements Summary'!$E:$E,'Disbursements Summary'!$C:$C,$C97,'Disbursements Summary'!$A:$A,"OWIG")</f>
        <v>0</v>
      </c>
      <c r="FP97" s="55">
        <f>SUMIFS('Awards Summary'!$H:$H,'Awards Summary'!$B:$B,$C97,'Awards Summary'!$J:$J,"OGDEN")</f>
        <v>0</v>
      </c>
      <c r="FQ97" s="55">
        <f>SUMIFS('Disbursements Summary'!$E:$E,'Disbursements Summary'!$C:$C,$C97,'Disbursements Summary'!$A:$A,"OGDEN")</f>
        <v>0</v>
      </c>
      <c r="FR97" s="55">
        <f>SUMIFS('Awards Summary'!$H:$H,'Awards Summary'!$B:$B,$C97,'Awards Summary'!$J:$J,"ORDA")</f>
        <v>0</v>
      </c>
      <c r="FS97" s="55">
        <f>SUMIFS('Disbursements Summary'!$E:$E,'Disbursements Summary'!$C:$C,$C97,'Disbursements Summary'!$A:$A,"ORDA")</f>
        <v>0</v>
      </c>
      <c r="FT97" s="55">
        <f>SUMIFS('Awards Summary'!$H:$H,'Awards Summary'!$B:$B,$C97,'Awards Summary'!$J:$J,"OSWEGO")</f>
        <v>0</v>
      </c>
      <c r="FU97" s="55">
        <f>SUMIFS('Disbursements Summary'!$E:$E,'Disbursements Summary'!$C:$C,$C97,'Disbursements Summary'!$A:$A,"OSWEGO")</f>
        <v>0</v>
      </c>
      <c r="FV97" s="55">
        <f>SUMIFS('Awards Summary'!$H:$H,'Awards Summary'!$B:$B,$C97,'Awards Summary'!$J:$J,"PERB")</f>
        <v>0</v>
      </c>
      <c r="FW97" s="55">
        <f>SUMIFS('Disbursements Summary'!$E:$E,'Disbursements Summary'!$C:$C,$C97,'Disbursements Summary'!$A:$A,"PERB")</f>
        <v>0</v>
      </c>
      <c r="FX97" s="55">
        <f>SUMIFS('Awards Summary'!$H:$H,'Awards Summary'!$B:$B,$C97,'Awards Summary'!$J:$J,"RGRTA")</f>
        <v>0</v>
      </c>
      <c r="FY97" s="55">
        <f>SUMIFS('Disbursements Summary'!$E:$E,'Disbursements Summary'!$C:$C,$C97,'Disbursements Summary'!$A:$A,"RGRTA")</f>
        <v>0</v>
      </c>
      <c r="FZ97" s="55">
        <f>SUMIFS('Awards Summary'!$H:$H,'Awards Summary'!$B:$B,$C97,'Awards Summary'!$J:$J,"RIOC")</f>
        <v>0</v>
      </c>
      <c r="GA97" s="55">
        <f>SUMIFS('Disbursements Summary'!$E:$E,'Disbursements Summary'!$C:$C,$C97,'Disbursements Summary'!$A:$A,"RIOC")</f>
        <v>0</v>
      </c>
      <c r="GB97" s="55">
        <f>SUMIFS('Awards Summary'!$H:$H,'Awards Summary'!$B:$B,$C97,'Awards Summary'!$J:$J,"RPCI")</f>
        <v>0</v>
      </c>
      <c r="GC97" s="55">
        <f>SUMIFS('Disbursements Summary'!$E:$E,'Disbursements Summary'!$C:$C,$C97,'Disbursements Summary'!$A:$A,"RPCI")</f>
        <v>0</v>
      </c>
      <c r="GD97" s="55">
        <f>SUMIFS('Awards Summary'!$H:$H,'Awards Summary'!$B:$B,$C97,'Awards Summary'!$J:$J,"SMDA")</f>
        <v>0</v>
      </c>
      <c r="GE97" s="55">
        <f>SUMIFS('Disbursements Summary'!$E:$E,'Disbursements Summary'!$C:$C,$C97,'Disbursements Summary'!$A:$A,"SMDA")</f>
        <v>0</v>
      </c>
      <c r="GF97" s="55">
        <f>SUMIFS('Awards Summary'!$H:$H,'Awards Summary'!$B:$B,$C97,'Awards Summary'!$J:$J,"SCOC")</f>
        <v>0</v>
      </c>
      <c r="GG97" s="55">
        <f>SUMIFS('Disbursements Summary'!$E:$E,'Disbursements Summary'!$C:$C,$C97,'Disbursements Summary'!$A:$A,"SCOC")</f>
        <v>0</v>
      </c>
      <c r="GH97" s="55">
        <f>SUMIFS('Awards Summary'!$H:$H,'Awards Summary'!$B:$B,$C97,'Awards Summary'!$J:$J,"SUCF")</f>
        <v>0</v>
      </c>
      <c r="GI97" s="55">
        <f>SUMIFS('Disbursements Summary'!$E:$E,'Disbursements Summary'!$C:$C,$C97,'Disbursements Summary'!$A:$A,"SUCF")</f>
        <v>0</v>
      </c>
      <c r="GJ97" s="55">
        <f>SUMIFS('Awards Summary'!$H:$H,'Awards Summary'!$B:$B,$C97,'Awards Summary'!$J:$J,"SUNY")</f>
        <v>0</v>
      </c>
      <c r="GK97" s="55">
        <f>SUMIFS('Disbursements Summary'!$E:$E,'Disbursements Summary'!$C:$C,$C97,'Disbursements Summary'!$A:$A,"SUNY")</f>
        <v>0</v>
      </c>
      <c r="GL97" s="55">
        <f>SUMIFS('Awards Summary'!$H:$H,'Awards Summary'!$B:$B,$C97,'Awards Summary'!$J:$J,"SRAA")</f>
        <v>0</v>
      </c>
      <c r="GM97" s="55">
        <f>SUMIFS('Disbursements Summary'!$E:$E,'Disbursements Summary'!$C:$C,$C97,'Disbursements Summary'!$A:$A,"SRAA")</f>
        <v>0</v>
      </c>
      <c r="GN97" s="55">
        <f>SUMIFS('Awards Summary'!$H:$H,'Awards Summary'!$B:$B,$C97,'Awards Summary'!$J:$J,"UNDC")</f>
        <v>0</v>
      </c>
      <c r="GO97" s="55">
        <f>SUMIFS('Disbursements Summary'!$E:$E,'Disbursements Summary'!$C:$C,$C97,'Disbursements Summary'!$A:$A,"UNDC")</f>
        <v>0</v>
      </c>
      <c r="GP97" s="55">
        <f>SUMIFS('Awards Summary'!$H:$H,'Awards Summary'!$B:$B,$C97,'Awards Summary'!$J:$J,"MVWA")</f>
        <v>0</v>
      </c>
      <c r="GQ97" s="55">
        <f>SUMIFS('Disbursements Summary'!$E:$E,'Disbursements Summary'!$C:$C,$C97,'Disbursements Summary'!$A:$A,"MVWA")</f>
        <v>0</v>
      </c>
      <c r="GR97" s="55">
        <f>SUMIFS('Awards Summary'!$H:$H,'Awards Summary'!$B:$B,$C97,'Awards Summary'!$J:$J,"WMC")</f>
        <v>0</v>
      </c>
      <c r="GS97" s="55">
        <f>SUMIFS('Disbursements Summary'!$E:$E,'Disbursements Summary'!$C:$C,$C97,'Disbursements Summary'!$A:$A,"WMC")</f>
        <v>0</v>
      </c>
      <c r="GT97" s="55">
        <f>SUMIFS('Awards Summary'!$H:$H,'Awards Summary'!$B:$B,$C97,'Awards Summary'!$J:$J,"WCB")</f>
        <v>0</v>
      </c>
      <c r="GU97" s="55">
        <f>SUMIFS('Disbursements Summary'!$E:$E,'Disbursements Summary'!$C:$C,$C97,'Disbursements Summary'!$A:$A,"WCB")</f>
        <v>0</v>
      </c>
      <c r="GV97" s="32">
        <f t="shared" si="10"/>
        <v>0</v>
      </c>
      <c r="GW97" s="32">
        <f t="shared" si="11"/>
        <v>0</v>
      </c>
      <c r="GX97" s="30" t="b">
        <f t="shared" si="12"/>
        <v>1</v>
      </c>
      <c r="GY97" s="30" t="b">
        <f t="shared" si="13"/>
        <v>1</v>
      </c>
    </row>
    <row r="98" spans="1:207" s="30" customFormat="1">
      <c r="A98" s="22" t="str">
        <f t="shared" si="9"/>
        <v/>
      </c>
      <c r="B98" s="64" t="s">
        <v>475</v>
      </c>
      <c r="C98" s="65">
        <v>151212</v>
      </c>
      <c r="D98" s="26">
        <f>COUNTIF('Awards Summary'!B:B,"151212")</f>
        <v>0</v>
      </c>
      <c r="E98" s="45">
        <f>SUMIFS('Awards Summary'!H:H,'Awards Summary'!B:B,"151212")</f>
        <v>0</v>
      </c>
      <c r="F98" s="46">
        <f>SUMIFS('Disbursements Summary'!E:E,'Disbursements Summary'!C:C, "151212")</f>
        <v>0</v>
      </c>
      <c r="H98" s="55">
        <f>SUMIFS('Awards Summary'!$H:$H,'Awards Summary'!$B:$B,$C98,'Awards Summary'!$J:$J,"APA")</f>
        <v>0</v>
      </c>
      <c r="I98" s="55">
        <f>SUMIFS('Disbursements Summary'!$E:$E,'Disbursements Summary'!$C:$C,$C98,'Disbursements Summary'!$A:$A,"APA")</f>
        <v>0</v>
      </c>
      <c r="J98" s="55">
        <f>SUMIFS('Awards Summary'!$H:$H,'Awards Summary'!$B:$B,$C98,'Awards Summary'!$J:$J,"Ag&amp;Horse")</f>
        <v>0</v>
      </c>
      <c r="K98" s="55">
        <f>SUMIFS('Disbursements Summary'!$E:$E,'Disbursements Summary'!$C:$C,$C98,'Disbursements Summary'!$A:$A,"Ag&amp;Horse")</f>
        <v>0</v>
      </c>
      <c r="L98" s="55">
        <f>SUMIFS('Awards Summary'!$H:$H,'Awards Summary'!$B:$B,$C98,'Awards Summary'!$J:$J,"ACAA")</f>
        <v>0</v>
      </c>
      <c r="M98" s="55">
        <f>SUMIFS('Disbursements Summary'!$E:$E,'Disbursements Summary'!$C:$C,$C98,'Disbursements Summary'!$A:$A,"ACAA")</f>
        <v>0</v>
      </c>
      <c r="N98" s="55">
        <f>SUMIFS('Awards Summary'!$H:$H,'Awards Summary'!$B:$B,$C98,'Awards Summary'!$J:$J,"PortAlbany")</f>
        <v>0</v>
      </c>
      <c r="O98" s="55">
        <f>SUMIFS('Disbursements Summary'!$E:$E,'Disbursements Summary'!$C:$C,$C98,'Disbursements Summary'!$A:$A,"PortAlbany")</f>
        <v>0</v>
      </c>
      <c r="P98" s="55">
        <f>SUMIFS('Awards Summary'!$H:$H,'Awards Summary'!$B:$B,$C98,'Awards Summary'!$J:$J,"SLA")</f>
        <v>0</v>
      </c>
      <c r="Q98" s="55">
        <f>SUMIFS('Disbursements Summary'!$E:$E,'Disbursements Summary'!$C:$C,$C98,'Disbursements Summary'!$A:$A,"SLA")</f>
        <v>0</v>
      </c>
      <c r="R98" s="55">
        <f>SUMIFS('Awards Summary'!$H:$H,'Awards Summary'!$B:$B,$C98,'Awards Summary'!$J:$J,"BPCA")</f>
        <v>0</v>
      </c>
      <c r="S98" s="55">
        <f>SUMIFS('Disbursements Summary'!$E:$E,'Disbursements Summary'!$C:$C,$C98,'Disbursements Summary'!$A:$A,"BPCA")</f>
        <v>0</v>
      </c>
      <c r="T98" s="55">
        <f>SUMIFS('Awards Summary'!$H:$H,'Awards Summary'!$B:$B,$C98,'Awards Summary'!$J:$J,"ELECTIONS")</f>
        <v>0</v>
      </c>
      <c r="U98" s="55">
        <f>SUMIFS('Disbursements Summary'!$E:$E,'Disbursements Summary'!$C:$C,$C98,'Disbursements Summary'!$A:$A,"ELECTIONS")</f>
        <v>0</v>
      </c>
      <c r="V98" s="55">
        <f>SUMIFS('Awards Summary'!$H:$H,'Awards Summary'!$B:$B,$C98,'Awards Summary'!$J:$J,"BFSA")</f>
        <v>0</v>
      </c>
      <c r="W98" s="55">
        <f>SUMIFS('Disbursements Summary'!$E:$E,'Disbursements Summary'!$C:$C,$C98,'Disbursements Summary'!$A:$A,"BFSA")</f>
        <v>0</v>
      </c>
      <c r="X98" s="55">
        <f>SUMIFS('Awards Summary'!$H:$H,'Awards Summary'!$B:$B,$C98,'Awards Summary'!$J:$J,"CDTA")</f>
        <v>0</v>
      </c>
      <c r="Y98" s="55">
        <f>SUMIFS('Disbursements Summary'!$E:$E,'Disbursements Summary'!$C:$C,$C98,'Disbursements Summary'!$A:$A,"CDTA")</f>
        <v>0</v>
      </c>
      <c r="Z98" s="55">
        <f>SUMIFS('Awards Summary'!$H:$H,'Awards Summary'!$B:$B,$C98,'Awards Summary'!$J:$J,"CCWSA")</f>
        <v>0</v>
      </c>
      <c r="AA98" s="55">
        <f>SUMIFS('Disbursements Summary'!$E:$E,'Disbursements Summary'!$C:$C,$C98,'Disbursements Summary'!$A:$A,"CCWSA")</f>
        <v>0</v>
      </c>
      <c r="AB98" s="55">
        <f>SUMIFS('Awards Summary'!$H:$H,'Awards Summary'!$B:$B,$C98,'Awards Summary'!$J:$J,"CNYRTA")</f>
        <v>0</v>
      </c>
      <c r="AC98" s="55">
        <f>SUMIFS('Disbursements Summary'!$E:$E,'Disbursements Summary'!$C:$C,$C98,'Disbursements Summary'!$A:$A,"CNYRTA")</f>
        <v>0</v>
      </c>
      <c r="AD98" s="55">
        <f>SUMIFS('Awards Summary'!$H:$H,'Awards Summary'!$B:$B,$C98,'Awards Summary'!$J:$J,"CUCF")</f>
        <v>0</v>
      </c>
      <c r="AE98" s="55">
        <f>SUMIFS('Disbursements Summary'!$E:$E,'Disbursements Summary'!$C:$C,$C98,'Disbursements Summary'!$A:$A,"CUCF")</f>
        <v>0</v>
      </c>
      <c r="AF98" s="55">
        <f>SUMIFS('Awards Summary'!$H:$H,'Awards Summary'!$B:$B,$C98,'Awards Summary'!$J:$J,"CUNY")</f>
        <v>0</v>
      </c>
      <c r="AG98" s="55">
        <f>SUMIFS('Disbursements Summary'!$E:$E,'Disbursements Summary'!$C:$C,$C98,'Disbursements Summary'!$A:$A,"CUNY")</f>
        <v>0</v>
      </c>
      <c r="AH98" s="55">
        <f>SUMIFS('Awards Summary'!$H:$H,'Awards Summary'!$B:$B,$C98,'Awards Summary'!$J:$J,"ARTS")</f>
        <v>0</v>
      </c>
      <c r="AI98" s="55">
        <f>SUMIFS('Disbursements Summary'!$E:$E,'Disbursements Summary'!$C:$C,$C98,'Disbursements Summary'!$A:$A,"ARTS")</f>
        <v>0</v>
      </c>
      <c r="AJ98" s="55">
        <f>SUMIFS('Awards Summary'!$H:$H,'Awards Summary'!$B:$B,$C98,'Awards Summary'!$J:$J,"AG&amp;MKTS")</f>
        <v>0</v>
      </c>
      <c r="AK98" s="55">
        <f>SUMIFS('Disbursements Summary'!$E:$E,'Disbursements Summary'!$C:$C,$C98,'Disbursements Summary'!$A:$A,"AG&amp;MKTS")</f>
        <v>0</v>
      </c>
      <c r="AL98" s="55">
        <f>SUMIFS('Awards Summary'!$H:$H,'Awards Summary'!$B:$B,$C98,'Awards Summary'!$J:$J,"CS")</f>
        <v>0</v>
      </c>
      <c r="AM98" s="55">
        <f>SUMIFS('Disbursements Summary'!$E:$E,'Disbursements Summary'!$C:$C,$C98,'Disbursements Summary'!$A:$A,"CS")</f>
        <v>0</v>
      </c>
      <c r="AN98" s="55">
        <f>SUMIFS('Awards Summary'!$H:$H,'Awards Summary'!$B:$B,$C98,'Awards Summary'!$J:$J,"DOCCS")</f>
        <v>0</v>
      </c>
      <c r="AO98" s="55">
        <f>SUMIFS('Disbursements Summary'!$E:$E,'Disbursements Summary'!$C:$C,$C98,'Disbursements Summary'!$A:$A,"DOCCS")</f>
        <v>0</v>
      </c>
      <c r="AP98" s="55">
        <f>SUMIFS('Awards Summary'!$H:$H,'Awards Summary'!$B:$B,$C98,'Awards Summary'!$J:$J,"DED")</f>
        <v>0</v>
      </c>
      <c r="AQ98" s="55">
        <f>SUMIFS('Disbursements Summary'!$E:$E,'Disbursements Summary'!$C:$C,$C98,'Disbursements Summary'!$A:$A,"DED")</f>
        <v>0</v>
      </c>
      <c r="AR98" s="55">
        <f>SUMIFS('Awards Summary'!$H:$H,'Awards Summary'!$B:$B,$C98,'Awards Summary'!$J:$J,"DEC")</f>
        <v>0</v>
      </c>
      <c r="AS98" s="55">
        <f>SUMIFS('Disbursements Summary'!$E:$E,'Disbursements Summary'!$C:$C,$C98,'Disbursements Summary'!$A:$A,"DEC")</f>
        <v>0</v>
      </c>
      <c r="AT98" s="55">
        <f>SUMIFS('Awards Summary'!$H:$H,'Awards Summary'!$B:$B,$C98,'Awards Summary'!$J:$J,"DFS")</f>
        <v>0</v>
      </c>
      <c r="AU98" s="55">
        <f>SUMIFS('Disbursements Summary'!$E:$E,'Disbursements Summary'!$C:$C,$C98,'Disbursements Summary'!$A:$A,"DFS")</f>
        <v>0</v>
      </c>
      <c r="AV98" s="55">
        <f>SUMIFS('Awards Summary'!$H:$H,'Awards Summary'!$B:$B,$C98,'Awards Summary'!$J:$J,"DOH")</f>
        <v>0</v>
      </c>
      <c r="AW98" s="55">
        <f>SUMIFS('Disbursements Summary'!$E:$E,'Disbursements Summary'!$C:$C,$C98,'Disbursements Summary'!$A:$A,"DOH")</f>
        <v>0</v>
      </c>
      <c r="AX98" s="55">
        <f>SUMIFS('Awards Summary'!$H:$H,'Awards Summary'!$B:$B,$C98,'Awards Summary'!$J:$J,"DOL")</f>
        <v>0</v>
      </c>
      <c r="AY98" s="55">
        <f>SUMIFS('Disbursements Summary'!$E:$E,'Disbursements Summary'!$C:$C,$C98,'Disbursements Summary'!$A:$A,"DOL")</f>
        <v>0</v>
      </c>
      <c r="AZ98" s="55">
        <f>SUMIFS('Awards Summary'!$H:$H,'Awards Summary'!$B:$B,$C98,'Awards Summary'!$J:$J,"DMV")</f>
        <v>0</v>
      </c>
      <c r="BA98" s="55">
        <f>SUMIFS('Disbursements Summary'!$E:$E,'Disbursements Summary'!$C:$C,$C98,'Disbursements Summary'!$A:$A,"DMV")</f>
        <v>0</v>
      </c>
      <c r="BB98" s="55">
        <f>SUMIFS('Awards Summary'!$H:$H,'Awards Summary'!$B:$B,$C98,'Awards Summary'!$J:$J,"DPS")</f>
        <v>0</v>
      </c>
      <c r="BC98" s="55">
        <f>SUMIFS('Disbursements Summary'!$E:$E,'Disbursements Summary'!$C:$C,$C98,'Disbursements Summary'!$A:$A,"DPS")</f>
        <v>0</v>
      </c>
      <c r="BD98" s="55">
        <f>SUMIFS('Awards Summary'!$H:$H,'Awards Summary'!$B:$B,$C98,'Awards Summary'!$J:$J,"DOS")</f>
        <v>0</v>
      </c>
      <c r="BE98" s="55">
        <f>SUMIFS('Disbursements Summary'!$E:$E,'Disbursements Summary'!$C:$C,$C98,'Disbursements Summary'!$A:$A,"DOS")</f>
        <v>0</v>
      </c>
      <c r="BF98" s="55">
        <f>SUMIFS('Awards Summary'!$H:$H,'Awards Summary'!$B:$B,$C98,'Awards Summary'!$J:$J,"TAX")</f>
        <v>0</v>
      </c>
      <c r="BG98" s="55">
        <f>SUMIFS('Disbursements Summary'!$E:$E,'Disbursements Summary'!$C:$C,$C98,'Disbursements Summary'!$A:$A,"TAX")</f>
        <v>0</v>
      </c>
      <c r="BH98" s="55">
        <f>SUMIFS('Awards Summary'!$H:$H,'Awards Summary'!$B:$B,$C98,'Awards Summary'!$J:$J,"DOT")</f>
        <v>0</v>
      </c>
      <c r="BI98" s="55">
        <f>SUMIFS('Disbursements Summary'!$E:$E,'Disbursements Summary'!$C:$C,$C98,'Disbursements Summary'!$A:$A,"DOT")</f>
        <v>0</v>
      </c>
      <c r="BJ98" s="55">
        <f>SUMIFS('Awards Summary'!$H:$H,'Awards Summary'!$B:$B,$C98,'Awards Summary'!$J:$J,"DANC")</f>
        <v>0</v>
      </c>
      <c r="BK98" s="55">
        <f>SUMIFS('Disbursements Summary'!$E:$E,'Disbursements Summary'!$C:$C,$C98,'Disbursements Summary'!$A:$A,"DANC")</f>
        <v>0</v>
      </c>
      <c r="BL98" s="55">
        <f>SUMIFS('Awards Summary'!$H:$H,'Awards Summary'!$B:$B,$C98,'Awards Summary'!$J:$J,"DOB")</f>
        <v>0</v>
      </c>
      <c r="BM98" s="55">
        <f>SUMIFS('Disbursements Summary'!$E:$E,'Disbursements Summary'!$C:$C,$C98,'Disbursements Summary'!$A:$A,"DOB")</f>
        <v>0</v>
      </c>
      <c r="BN98" s="55">
        <f>SUMIFS('Awards Summary'!$H:$H,'Awards Summary'!$B:$B,$C98,'Awards Summary'!$J:$J,"DCJS")</f>
        <v>0</v>
      </c>
      <c r="BO98" s="55">
        <f>SUMIFS('Disbursements Summary'!$E:$E,'Disbursements Summary'!$C:$C,$C98,'Disbursements Summary'!$A:$A,"DCJS")</f>
        <v>0</v>
      </c>
      <c r="BP98" s="55">
        <f>SUMIFS('Awards Summary'!$H:$H,'Awards Summary'!$B:$B,$C98,'Awards Summary'!$J:$J,"DHSES")</f>
        <v>0</v>
      </c>
      <c r="BQ98" s="55">
        <f>SUMIFS('Disbursements Summary'!$E:$E,'Disbursements Summary'!$C:$C,$C98,'Disbursements Summary'!$A:$A,"DHSES")</f>
        <v>0</v>
      </c>
      <c r="BR98" s="55">
        <f>SUMIFS('Awards Summary'!$H:$H,'Awards Summary'!$B:$B,$C98,'Awards Summary'!$J:$J,"DHR")</f>
        <v>0</v>
      </c>
      <c r="BS98" s="55">
        <f>SUMIFS('Disbursements Summary'!$E:$E,'Disbursements Summary'!$C:$C,$C98,'Disbursements Summary'!$A:$A,"DHR")</f>
        <v>0</v>
      </c>
      <c r="BT98" s="55">
        <f>SUMIFS('Awards Summary'!$H:$H,'Awards Summary'!$B:$B,$C98,'Awards Summary'!$J:$J,"DMNA")</f>
        <v>0</v>
      </c>
      <c r="BU98" s="55">
        <f>SUMIFS('Disbursements Summary'!$E:$E,'Disbursements Summary'!$C:$C,$C98,'Disbursements Summary'!$A:$A,"DMNA")</f>
        <v>0</v>
      </c>
      <c r="BV98" s="55">
        <f>SUMIFS('Awards Summary'!$H:$H,'Awards Summary'!$B:$B,$C98,'Awards Summary'!$J:$J,"TROOPERS")</f>
        <v>0</v>
      </c>
      <c r="BW98" s="55">
        <f>SUMIFS('Disbursements Summary'!$E:$E,'Disbursements Summary'!$C:$C,$C98,'Disbursements Summary'!$A:$A,"TROOPERS")</f>
        <v>0</v>
      </c>
      <c r="BX98" s="55">
        <f>SUMIFS('Awards Summary'!$H:$H,'Awards Summary'!$B:$B,$C98,'Awards Summary'!$J:$J,"DVA")</f>
        <v>0</v>
      </c>
      <c r="BY98" s="55">
        <f>SUMIFS('Disbursements Summary'!$E:$E,'Disbursements Summary'!$C:$C,$C98,'Disbursements Summary'!$A:$A,"DVA")</f>
        <v>0</v>
      </c>
      <c r="BZ98" s="55">
        <f>SUMIFS('Awards Summary'!$H:$H,'Awards Summary'!$B:$B,$C98,'Awards Summary'!$J:$J,"DASNY")</f>
        <v>0</v>
      </c>
      <c r="CA98" s="55">
        <f>SUMIFS('Disbursements Summary'!$E:$E,'Disbursements Summary'!$C:$C,$C98,'Disbursements Summary'!$A:$A,"DASNY")</f>
        <v>0</v>
      </c>
      <c r="CB98" s="55">
        <f>SUMIFS('Awards Summary'!$H:$H,'Awards Summary'!$B:$B,$C98,'Awards Summary'!$J:$J,"EGG")</f>
        <v>0</v>
      </c>
      <c r="CC98" s="55">
        <f>SUMIFS('Disbursements Summary'!$E:$E,'Disbursements Summary'!$C:$C,$C98,'Disbursements Summary'!$A:$A,"EGG")</f>
        <v>0</v>
      </c>
      <c r="CD98" s="55">
        <f>SUMIFS('Awards Summary'!$H:$H,'Awards Summary'!$B:$B,$C98,'Awards Summary'!$J:$J,"ESD")</f>
        <v>0</v>
      </c>
      <c r="CE98" s="55">
        <f>SUMIFS('Disbursements Summary'!$E:$E,'Disbursements Summary'!$C:$C,$C98,'Disbursements Summary'!$A:$A,"ESD")</f>
        <v>0</v>
      </c>
      <c r="CF98" s="55">
        <f>SUMIFS('Awards Summary'!$H:$H,'Awards Summary'!$B:$B,$C98,'Awards Summary'!$J:$J,"EFC")</f>
        <v>0</v>
      </c>
      <c r="CG98" s="55">
        <f>SUMIFS('Disbursements Summary'!$E:$E,'Disbursements Summary'!$C:$C,$C98,'Disbursements Summary'!$A:$A,"EFC")</f>
        <v>0</v>
      </c>
      <c r="CH98" s="55">
        <f>SUMIFS('Awards Summary'!$H:$H,'Awards Summary'!$B:$B,$C98,'Awards Summary'!$J:$J,"ECFSA")</f>
        <v>0</v>
      </c>
      <c r="CI98" s="55">
        <f>SUMIFS('Disbursements Summary'!$E:$E,'Disbursements Summary'!$C:$C,$C98,'Disbursements Summary'!$A:$A,"ECFSA")</f>
        <v>0</v>
      </c>
      <c r="CJ98" s="55">
        <f>SUMIFS('Awards Summary'!$H:$H,'Awards Summary'!$B:$B,$C98,'Awards Summary'!$J:$J,"ECMC")</f>
        <v>0</v>
      </c>
      <c r="CK98" s="55">
        <f>SUMIFS('Disbursements Summary'!$E:$E,'Disbursements Summary'!$C:$C,$C98,'Disbursements Summary'!$A:$A,"ECMC")</f>
        <v>0</v>
      </c>
      <c r="CL98" s="55">
        <f>SUMIFS('Awards Summary'!$H:$H,'Awards Summary'!$B:$B,$C98,'Awards Summary'!$J:$J,"CHAMBER")</f>
        <v>0</v>
      </c>
      <c r="CM98" s="55">
        <f>SUMIFS('Disbursements Summary'!$E:$E,'Disbursements Summary'!$C:$C,$C98,'Disbursements Summary'!$A:$A,"CHAMBER")</f>
        <v>0</v>
      </c>
      <c r="CN98" s="55">
        <f>SUMIFS('Awards Summary'!$H:$H,'Awards Summary'!$B:$B,$C98,'Awards Summary'!$J:$J,"GAMING")</f>
        <v>0</v>
      </c>
      <c r="CO98" s="55">
        <f>SUMIFS('Disbursements Summary'!$E:$E,'Disbursements Summary'!$C:$C,$C98,'Disbursements Summary'!$A:$A,"GAMING")</f>
        <v>0</v>
      </c>
      <c r="CP98" s="55">
        <f>SUMIFS('Awards Summary'!$H:$H,'Awards Summary'!$B:$B,$C98,'Awards Summary'!$J:$J,"GOER")</f>
        <v>0</v>
      </c>
      <c r="CQ98" s="55">
        <f>SUMIFS('Disbursements Summary'!$E:$E,'Disbursements Summary'!$C:$C,$C98,'Disbursements Summary'!$A:$A,"GOER")</f>
        <v>0</v>
      </c>
      <c r="CR98" s="55">
        <f>SUMIFS('Awards Summary'!$H:$H,'Awards Summary'!$B:$B,$C98,'Awards Summary'!$J:$J,"HESC")</f>
        <v>0</v>
      </c>
      <c r="CS98" s="55">
        <f>SUMIFS('Disbursements Summary'!$E:$E,'Disbursements Summary'!$C:$C,$C98,'Disbursements Summary'!$A:$A,"HESC")</f>
        <v>0</v>
      </c>
      <c r="CT98" s="55">
        <f>SUMIFS('Awards Summary'!$H:$H,'Awards Summary'!$B:$B,$C98,'Awards Summary'!$J:$J,"GOSR")</f>
        <v>0</v>
      </c>
      <c r="CU98" s="55">
        <f>SUMIFS('Disbursements Summary'!$E:$E,'Disbursements Summary'!$C:$C,$C98,'Disbursements Summary'!$A:$A,"GOSR")</f>
        <v>0</v>
      </c>
      <c r="CV98" s="55">
        <f>SUMIFS('Awards Summary'!$H:$H,'Awards Summary'!$B:$B,$C98,'Awards Summary'!$J:$J,"HRPT")</f>
        <v>0</v>
      </c>
      <c r="CW98" s="55">
        <f>SUMIFS('Disbursements Summary'!$E:$E,'Disbursements Summary'!$C:$C,$C98,'Disbursements Summary'!$A:$A,"HRPT")</f>
        <v>0</v>
      </c>
      <c r="CX98" s="55">
        <f>SUMIFS('Awards Summary'!$H:$H,'Awards Summary'!$B:$B,$C98,'Awards Summary'!$J:$J,"HRBRRD")</f>
        <v>0</v>
      </c>
      <c r="CY98" s="55">
        <f>SUMIFS('Disbursements Summary'!$E:$E,'Disbursements Summary'!$C:$C,$C98,'Disbursements Summary'!$A:$A,"HRBRRD")</f>
        <v>0</v>
      </c>
      <c r="CZ98" s="55">
        <f>SUMIFS('Awards Summary'!$H:$H,'Awards Summary'!$B:$B,$C98,'Awards Summary'!$J:$J,"ITS")</f>
        <v>0</v>
      </c>
      <c r="DA98" s="55">
        <f>SUMIFS('Disbursements Summary'!$E:$E,'Disbursements Summary'!$C:$C,$C98,'Disbursements Summary'!$A:$A,"ITS")</f>
        <v>0</v>
      </c>
      <c r="DB98" s="55">
        <f>SUMIFS('Awards Summary'!$H:$H,'Awards Summary'!$B:$B,$C98,'Awards Summary'!$J:$J,"JAVITS")</f>
        <v>0</v>
      </c>
      <c r="DC98" s="55">
        <f>SUMIFS('Disbursements Summary'!$E:$E,'Disbursements Summary'!$C:$C,$C98,'Disbursements Summary'!$A:$A,"JAVITS")</f>
        <v>0</v>
      </c>
      <c r="DD98" s="55">
        <f>SUMIFS('Awards Summary'!$H:$H,'Awards Summary'!$B:$B,$C98,'Awards Summary'!$J:$J,"JCOPE")</f>
        <v>0</v>
      </c>
      <c r="DE98" s="55">
        <f>SUMIFS('Disbursements Summary'!$E:$E,'Disbursements Summary'!$C:$C,$C98,'Disbursements Summary'!$A:$A,"JCOPE")</f>
        <v>0</v>
      </c>
      <c r="DF98" s="55">
        <f>SUMIFS('Awards Summary'!$H:$H,'Awards Summary'!$B:$B,$C98,'Awards Summary'!$J:$J,"JUSTICE")</f>
        <v>0</v>
      </c>
      <c r="DG98" s="55">
        <f>SUMIFS('Disbursements Summary'!$E:$E,'Disbursements Summary'!$C:$C,$C98,'Disbursements Summary'!$A:$A,"JUSTICE")</f>
        <v>0</v>
      </c>
      <c r="DH98" s="55">
        <f>SUMIFS('Awards Summary'!$H:$H,'Awards Summary'!$B:$B,$C98,'Awards Summary'!$J:$J,"LCWSA")</f>
        <v>0</v>
      </c>
      <c r="DI98" s="55">
        <f>SUMIFS('Disbursements Summary'!$E:$E,'Disbursements Summary'!$C:$C,$C98,'Disbursements Summary'!$A:$A,"LCWSA")</f>
        <v>0</v>
      </c>
      <c r="DJ98" s="55">
        <f>SUMIFS('Awards Summary'!$H:$H,'Awards Summary'!$B:$B,$C98,'Awards Summary'!$J:$J,"LIPA")</f>
        <v>0</v>
      </c>
      <c r="DK98" s="55">
        <f>SUMIFS('Disbursements Summary'!$E:$E,'Disbursements Summary'!$C:$C,$C98,'Disbursements Summary'!$A:$A,"LIPA")</f>
        <v>0</v>
      </c>
      <c r="DL98" s="55">
        <f>SUMIFS('Awards Summary'!$H:$H,'Awards Summary'!$B:$B,$C98,'Awards Summary'!$J:$J,"MTA")</f>
        <v>0</v>
      </c>
      <c r="DM98" s="55">
        <f>SUMIFS('Disbursements Summary'!$E:$E,'Disbursements Summary'!$C:$C,$C98,'Disbursements Summary'!$A:$A,"MTA")</f>
        <v>0</v>
      </c>
      <c r="DN98" s="55">
        <f>SUMIFS('Awards Summary'!$H:$H,'Awards Summary'!$B:$B,$C98,'Awards Summary'!$J:$J,"NIFA")</f>
        <v>0</v>
      </c>
      <c r="DO98" s="55">
        <f>SUMIFS('Disbursements Summary'!$E:$E,'Disbursements Summary'!$C:$C,$C98,'Disbursements Summary'!$A:$A,"NIFA")</f>
        <v>0</v>
      </c>
      <c r="DP98" s="55">
        <f>SUMIFS('Awards Summary'!$H:$H,'Awards Summary'!$B:$B,$C98,'Awards Summary'!$J:$J,"NHCC")</f>
        <v>0</v>
      </c>
      <c r="DQ98" s="55">
        <f>SUMIFS('Disbursements Summary'!$E:$E,'Disbursements Summary'!$C:$C,$C98,'Disbursements Summary'!$A:$A,"NHCC")</f>
        <v>0</v>
      </c>
      <c r="DR98" s="55">
        <f>SUMIFS('Awards Summary'!$H:$H,'Awards Summary'!$B:$B,$C98,'Awards Summary'!$J:$J,"NHT")</f>
        <v>0</v>
      </c>
      <c r="DS98" s="55">
        <f>SUMIFS('Disbursements Summary'!$E:$E,'Disbursements Summary'!$C:$C,$C98,'Disbursements Summary'!$A:$A,"NHT")</f>
        <v>0</v>
      </c>
      <c r="DT98" s="55">
        <f>SUMIFS('Awards Summary'!$H:$H,'Awards Summary'!$B:$B,$C98,'Awards Summary'!$J:$J,"NYPA")</f>
        <v>0</v>
      </c>
      <c r="DU98" s="55">
        <f>SUMIFS('Disbursements Summary'!$E:$E,'Disbursements Summary'!$C:$C,$C98,'Disbursements Summary'!$A:$A,"NYPA")</f>
        <v>0</v>
      </c>
      <c r="DV98" s="55">
        <f>SUMIFS('Awards Summary'!$H:$H,'Awards Summary'!$B:$B,$C98,'Awards Summary'!$J:$J,"NYSBA")</f>
        <v>0</v>
      </c>
      <c r="DW98" s="55">
        <f>SUMIFS('Disbursements Summary'!$E:$E,'Disbursements Summary'!$C:$C,$C98,'Disbursements Summary'!$A:$A,"NYSBA")</f>
        <v>0</v>
      </c>
      <c r="DX98" s="55">
        <f>SUMIFS('Awards Summary'!$H:$H,'Awards Summary'!$B:$B,$C98,'Awards Summary'!$J:$J,"NYSERDA")</f>
        <v>0</v>
      </c>
      <c r="DY98" s="55">
        <f>SUMIFS('Disbursements Summary'!$E:$E,'Disbursements Summary'!$C:$C,$C98,'Disbursements Summary'!$A:$A,"NYSERDA")</f>
        <v>0</v>
      </c>
      <c r="DZ98" s="55">
        <f>SUMIFS('Awards Summary'!$H:$H,'Awards Summary'!$B:$B,$C98,'Awards Summary'!$J:$J,"DHCR")</f>
        <v>0</v>
      </c>
      <c r="EA98" s="55">
        <f>SUMIFS('Disbursements Summary'!$E:$E,'Disbursements Summary'!$C:$C,$C98,'Disbursements Summary'!$A:$A,"DHCR")</f>
        <v>0</v>
      </c>
      <c r="EB98" s="55">
        <f>SUMIFS('Awards Summary'!$H:$H,'Awards Summary'!$B:$B,$C98,'Awards Summary'!$J:$J,"HFA")</f>
        <v>0</v>
      </c>
      <c r="EC98" s="55">
        <f>SUMIFS('Disbursements Summary'!$E:$E,'Disbursements Summary'!$C:$C,$C98,'Disbursements Summary'!$A:$A,"HFA")</f>
        <v>0</v>
      </c>
      <c r="ED98" s="55">
        <f>SUMIFS('Awards Summary'!$H:$H,'Awards Summary'!$B:$B,$C98,'Awards Summary'!$J:$J,"NYSIF")</f>
        <v>0</v>
      </c>
      <c r="EE98" s="55">
        <f>SUMIFS('Disbursements Summary'!$E:$E,'Disbursements Summary'!$C:$C,$C98,'Disbursements Summary'!$A:$A,"NYSIF")</f>
        <v>0</v>
      </c>
      <c r="EF98" s="55">
        <f>SUMIFS('Awards Summary'!$H:$H,'Awards Summary'!$B:$B,$C98,'Awards Summary'!$J:$J,"NYBREDS")</f>
        <v>0</v>
      </c>
      <c r="EG98" s="55">
        <f>SUMIFS('Disbursements Summary'!$E:$E,'Disbursements Summary'!$C:$C,$C98,'Disbursements Summary'!$A:$A,"NYBREDS")</f>
        <v>0</v>
      </c>
      <c r="EH98" s="55">
        <f>SUMIFS('Awards Summary'!$H:$H,'Awards Summary'!$B:$B,$C98,'Awards Summary'!$J:$J,"NYSTA")</f>
        <v>0</v>
      </c>
      <c r="EI98" s="55">
        <f>SUMIFS('Disbursements Summary'!$E:$E,'Disbursements Summary'!$C:$C,$C98,'Disbursements Summary'!$A:$A,"NYSTA")</f>
        <v>0</v>
      </c>
      <c r="EJ98" s="55">
        <f>SUMIFS('Awards Summary'!$H:$H,'Awards Summary'!$B:$B,$C98,'Awards Summary'!$J:$J,"NFWB")</f>
        <v>0</v>
      </c>
      <c r="EK98" s="55">
        <f>SUMIFS('Disbursements Summary'!$E:$E,'Disbursements Summary'!$C:$C,$C98,'Disbursements Summary'!$A:$A,"NFWB")</f>
        <v>0</v>
      </c>
      <c r="EL98" s="55">
        <f>SUMIFS('Awards Summary'!$H:$H,'Awards Summary'!$B:$B,$C98,'Awards Summary'!$J:$J,"NFTA")</f>
        <v>0</v>
      </c>
      <c r="EM98" s="55">
        <f>SUMIFS('Disbursements Summary'!$E:$E,'Disbursements Summary'!$C:$C,$C98,'Disbursements Summary'!$A:$A,"NFTA")</f>
        <v>0</v>
      </c>
      <c r="EN98" s="55">
        <f>SUMIFS('Awards Summary'!$H:$H,'Awards Summary'!$B:$B,$C98,'Awards Summary'!$J:$J,"OPWDD")</f>
        <v>0</v>
      </c>
      <c r="EO98" s="55">
        <f>SUMIFS('Disbursements Summary'!$E:$E,'Disbursements Summary'!$C:$C,$C98,'Disbursements Summary'!$A:$A,"OPWDD")</f>
        <v>0</v>
      </c>
      <c r="EP98" s="55">
        <f>SUMIFS('Awards Summary'!$H:$H,'Awards Summary'!$B:$B,$C98,'Awards Summary'!$J:$J,"AGING")</f>
        <v>0</v>
      </c>
      <c r="EQ98" s="55">
        <f>SUMIFS('Disbursements Summary'!$E:$E,'Disbursements Summary'!$C:$C,$C98,'Disbursements Summary'!$A:$A,"AGING")</f>
        <v>0</v>
      </c>
      <c r="ER98" s="55">
        <f>SUMIFS('Awards Summary'!$H:$H,'Awards Summary'!$B:$B,$C98,'Awards Summary'!$J:$J,"OPDV")</f>
        <v>0</v>
      </c>
      <c r="ES98" s="55">
        <f>SUMIFS('Disbursements Summary'!$E:$E,'Disbursements Summary'!$C:$C,$C98,'Disbursements Summary'!$A:$A,"OPDV")</f>
        <v>0</v>
      </c>
      <c r="ET98" s="55">
        <f>SUMIFS('Awards Summary'!$H:$H,'Awards Summary'!$B:$B,$C98,'Awards Summary'!$J:$J,"OVS")</f>
        <v>0</v>
      </c>
      <c r="EU98" s="55">
        <f>SUMIFS('Disbursements Summary'!$E:$E,'Disbursements Summary'!$C:$C,$C98,'Disbursements Summary'!$A:$A,"OVS")</f>
        <v>0</v>
      </c>
      <c r="EV98" s="55">
        <f>SUMIFS('Awards Summary'!$H:$H,'Awards Summary'!$B:$B,$C98,'Awards Summary'!$J:$J,"OASAS")</f>
        <v>0</v>
      </c>
      <c r="EW98" s="55">
        <f>SUMIFS('Disbursements Summary'!$E:$E,'Disbursements Summary'!$C:$C,$C98,'Disbursements Summary'!$A:$A,"OASAS")</f>
        <v>0</v>
      </c>
      <c r="EX98" s="55">
        <f>SUMIFS('Awards Summary'!$H:$H,'Awards Summary'!$B:$B,$C98,'Awards Summary'!$J:$J,"OCFS")</f>
        <v>0</v>
      </c>
      <c r="EY98" s="55">
        <f>SUMIFS('Disbursements Summary'!$E:$E,'Disbursements Summary'!$C:$C,$C98,'Disbursements Summary'!$A:$A,"OCFS")</f>
        <v>0</v>
      </c>
      <c r="EZ98" s="55">
        <f>SUMIFS('Awards Summary'!$H:$H,'Awards Summary'!$B:$B,$C98,'Awards Summary'!$J:$J,"OGS")</f>
        <v>0</v>
      </c>
      <c r="FA98" s="55">
        <f>SUMIFS('Disbursements Summary'!$E:$E,'Disbursements Summary'!$C:$C,$C98,'Disbursements Summary'!$A:$A,"OGS")</f>
        <v>0</v>
      </c>
      <c r="FB98" s="55">
        <f>SUMIFS('Awards Summary'!$H:$H,'Awards Summary'!$B:$B,$C98,'Awards Summary'!$J:$J,"OMH")</f>
        <v>0</v>
      </c>
      <c r="FC98" s="55">
        <f>SUMIFS('Disbursements Summary'!$E:$E,'Disbursements Summary'!$C:$C,$C98,'Disbursements Summary'!$A:$A,"OMH")</f>
        <v>0</v>
      </c>
      <c r="FD98" s="55">
        <f>SUMIFS('Awards Summary'!$H:$H,'Awards Summary'!$B:$B,$C98,'Awards Summary'!$J:$J,"PARKS")</f>
        <v>0</v>
      </c>
      <c r="FE98" s="55">
        <f>SUMIFS('Disbursements Summary'!$E:$E,'Disbursements Summary'!$C:$C,$C98,'Disbursements Summary'!$A:$A,"PARKS")</f>
        <v>0</v>
      </c>
      <c r="FF98" s="55">
        <f>SUMIFS('Awards Summary'!$H:$H,'Awards Summary'!$B:$B,$C98,'Awards Summary'!$J:$J,"OTDA")</f>
        <v>0</v>
      </c>
      <c r="FG98" s="55">
        <f>SUMIFS('Disbursements Summary'!$E:$E,'Disbursements Summary'!$C:$C,$C98,'Disbursements Summary'!$A:$A,"OTDA")</f>
        <v>0</v>
      </c>
      <c r="FH98" s="55">
        <f>SUMIFS('Awards Summary'!$H:$H,'Awards Summary'!$B:$B,$C98,'Awards Summary'!$J:$J,"OIG")</f>
        <v>0</v>
      </c>
      <c r="FI98" s="55">
        <f>SUMIFS('Disbursements Summary'!$E:$E,'Disbursements Summary'!$C:$C,$C98,'Disbursements Summary'!$A:$A,"OIG")</f>
        <v>0</v>
      </c>
      <c r="FJ98" s="55">
        <f>SUMIFS('Awards Summary'!$H:$H,'Awards Summary'!$B:$B,$C98,'Awards Summary'!$J:$J,"OMIG")</f>
        <v>0</v>
      </c>
      <c r="FK98" s="55">
        <f>SUMIFS('Disbursements Summary'!$E:$E,'Disbursements Summary'!$C:$C,$C98,'Disbursements Summary'!$A:$A,"OMIG")</f>
        <v>0</v>
      </c>
      <c r="FL98" s="55">
        <f>SUMIFS('Awards Summary'!$H:$H,'Awards Summary'!$B:$B,$C98,'Awards Summary'!$J:$J,"OSC")</f>
        <v>0</v>
      </c>
      <c r="FM98" s="55">
        <f>SUMIFS('Disbursements Summary'!$E:$E,'Disbursements Summary'!$C:$C,$C98,'Disbursements Summary'!$A:$A,"OSC")</f>
        <v>0</v>
      </c>
      <c r="FN98" s="55">
        <f>SUMIFS('Awards Summary'!$H:$H,'Awards Summary'!$B:$B,$C98,'Awards Summary'!$J:$J,"OWIG")</f>
        <v>0</v>
      </c>
      <c r="FO98" s="55">
        <f>SUMIFS('Disbursements Summary'!$E:$E,'Disbursements Summary'!$C:$C,$C98,'Disbursements Summary'!$A:$A,"OWIG")</f>
        <v>0</v>
      </c>
      <c r="FP98" s="55">
        <f>SUMIFS('Awards Summary'!$H:$H,'Awards Summary'!$B:$B,$C98,'Awards Summary'!$J:$J,"OGDEN")</f>
        <v>0</v>
      </c>
      <c r="FQ98" s="55">
        <f>SUMIFS('Disbursements Summary'!$E:$E,'Disbursements Summary'!$C:$C,$C98,'Disbursements Summary'!$A:$A,"OGDEN")</f>
        <v>0</v>
      </c>
      <c r="FR98" s="55">
        <f>SUMIFS('Awards Summary'!$H:$H,'Awards Summary'!$B:$B,$C98,'Awards Summary'!$J:$J,"ORDA")</f>
        <v>0</v>
      </c>
      <c r="FS98" s="55">
        <f>SUMIFS('Disbursements Summary'!$E:$E,'Disbursements Summary'!$C:$C,$C98,'Disbursements Summary'!$A:$A,"ORDA")</f>
        <v>0</v>
      </c>
      <c r="FT98" s="55">
        <f>SUMIFS('Awards Summary'!$H:$H,'Awards Summary'!$B:$B,$C98,'Awards Summary'!$J:$J,"OSWEGO")</f>
        <v>0</v>
      </c>
      <c r="FU98" s="55">
        <f>SUMIFS('Disbursements Summary'!$E:$E,'Disbursements Summary'!$C:$C,$C98,'Disbursements Summary'!$A:$A,"OSWEGO")</f>
        <v>0</v>
      </c>
      <c r="FV98" s="55">
        <f>SUMIFS('Awards Summary'!$H:$H,'Awards Summary'!$B:$B,$C98,'Awards Summary'!$J:$J,"PERB")</f>
        <v>0</v>
      </c>
      <c r="FW98" s="55">
        <f>SUMIFS('Disbursements Summary'!$E:$E,'Disbursements Summary'!$C:$C,$C98,'Disbursements Summary'!$A:$A,"PERB")</f>
        <v>0</v>
      </c>
      <c r="FX98" s="55">
        <f>SUMIFS('Awards Summary'!$H:$H,'Awards Summary'!$B:$B,$C98,'Awards Summary'!$J:$J,"RGRTA")</f>
        <v>0</v>
      </c>
      <c r="FY98" s="55">
        <f>SUMIFS('Disbursements Summary'!$E:$E,'Disbursements Summary'!$C:$C,$C98,'Disbursements Summary'!$A:$A,"RGRTA")</f>
        <v>0</v>
      </c>
      <c r="FZ98" s="55">
        <f>SUMIFS('Awards Summary'!$H:$H,'Awards Summary'!$B:$B,$C98,'Awards Summary'!$J:$J,"RIOC")</f>
        <v>0</v>
      </c>
      <c r="GA98" s="55">
        <f>SUMIFS('Disbursements Summary'!$E:$E,'Disbursements Summary'!$C:$C,$C98,'Disbursements Summary'!$A:$A,"RIOC")</f>
        <v>0</v>
      </c>
      <c r="GB98" s="55">
        <f>SUMIFS('Awards Summary'!$H:$H,'Awards Summary'!$B:$B,$C98,'Awards Summary'!$J:$J,"RPCI")</f>
        <v>0</v>
      </c>
      <c r="GC98" s="55">
        <f>SUMIFS('Disbursements Summary'!$E:$E,'Disbursements Summary'!$C:$C,$C98,'Disbursements Summary'!$A:$A,"RPCI")</f>
        <v>0</v>
      </c>
      <c r="GD98" s="55">
        <f>SUMIFS('Awards Summary'!$H:$H,'Awards Summary'!$B:$B,$C98,'Awards Summary'!$J:$J,"SMDA")</f>
        <v>0</v>
      </c>
      <c r="GE98" s="55">
        <f>SUMIFS('Disbursements Summary'!$E:$E,'Disbursements Summary'!$C:$C,$C98,'Disbursements Summary'!$A:$A,"SMDA")</f>
        <v>0</v>
      </c>
      <c r="GF98" s="55">
        <f>SUMIFS('Awards Summary'!$H:$H,'Awards Summary'!$B:$B,$C98,'Awards Summary'!$J:$J,"SCOC")</f>
        <v>0</v>
      </c>
      <c r="GG98" s="55">
        <f>SUMIFS('Disbursements Summary'!$E:$E,'Disbursements Summary'!$C:$C,$C98,'Disbursements Summary'!$A:$A,"SCOC")</f>
        <v>0</v>
      </c>
      <c r="GH98" s="55">
        <f>SUMIFS('Awards Summary'!$H:$H,'Awards Summary'!$B:$B,$C98,'Awards Summary'!$J:$J,"SUCF")</f>
        <v>0</v>
      </c>
      <c r="GI98" s="55">
        <f>SUMIFS('Disbursements Summary'!$E:$E,'Disbursements Summary'!$C:$C,$C98,'Disbursements Summary'!$A:$A,"SUCF")</f>
        <v>0</v>
      </c>
      <c r="GJ98" s="55">
        <f>SUMIFS('Awards Summary'!$H:$H,'Awards Summary'!$B:$B,$C98,'Awards Summary'!$J:$J,"SUNY")</f>
        <v>0</v>
      </c>
      <c r="GK98" s="55">
        <f>SUMIFS('Disbursements Summary'!$E:$E,'Disbursements Summary'!$C:$C,$C98,'Disbursements Summary'!$A:$A,"SUNY")</f>
        <v>0</v>
      </c>
      <c r="GL98" s="55">
        <f>SUMIFS('Awards Summary'!$H:$H,'Awards Summary'!$B:$B,$C98,'Awards Summary'!$J:$J,"SRAA")</f>
        <v>0</v>
      </c>
      <c r="GM98" s="55">
        <f>SUMIFS('Disbursements Summary'!$E:$E,'Disbursements Summary'!$C:$C,$C98,'Disbursements Summary'!$A:$A,"SRAA")</f>
        <v>0</v>
      </c>
      <c r="GN98" s="55">
        <f>SUMIFS('Awards Summary'!$H:$H,'Awards Summary'!$B:$B,$C98,'Awards Summary'!$J:$J,"UNDC")</f>
        <v>0</v>
      </c>
      <c r="GO98" s="55">
        <f>SUMIFS('Disbursements Summary'!$E:$E,'Disbursements Summary'!$C:$C,$C98,'Disbursements Summary'!$A:$A,"UNDC")</f>
        <v>0</v>
      </c>
      <c r="GP98" s="55">
        <f>SUMIFS('Awards Summary'!$H:$H,'Awards Summary'!$B:$B,$C98,'Awards Summary'!$J:$J,"MVWA")</f>
        <v>0</v>
      </c>
      <c r="GQ98" s="55">
        <f>SUMIFS('Disbursements Summary'!$E:$E,'Disbursements Summary'!$C:$C,$C98,'Disbursements Summary'!$A:$A,"MVWA")</f>
        <v>0</v>
      </c>
      <c r="GR98" s="55">
        <f>SUMIFS('Awards Summary'!$H:$H,'Awards Summary'!$B:$B,$C98,'Awards Summary'!$J:$J,"WMC")</f>
        <v>0</v>
      </c>
      <c r="GS98" s="55">
        <f>SUMIFS('Disbursements Summary'!$E:$E,'Disbursements Summary'!$C:$C,$C98,'Disbursements Summary'!$A:$A,"WMC")</f>
        <v>0</v>
      </c>
      <c r="GT98" s="55">
        <f>SUMIFS('Awards Summary'!$H:$H,'Awards Summary'!$B:$B,$C98,'Awards Summary'!$J:$J,"WCB")</f>
        <v>0</v>
      </c>
      <c r="GU98" s="55">
        <f>SUMIFS('Disbursements Summary'!$E:$E,'Disbursements Summary'!$C:$C,$C98,'Disbursements Summary'!$A:$A,"WCB")</f>
        <v>0</v>
      </c>
      <c r="GV98" s="32">
        <f t="shared" si="10"/>
        <v>0</v>
      </c>
      <c r="GW98" s="32">
        <f t="shared" si="11"/>
        <v>0</v>
      </c>
      <c r="GX98" s="30" t="b">
        <f t="shared" si="12"/>
        <v>1</v>
      </c>
      <c r="GY98" s="30" t="b">
        <f t="shared" si="13"/>
        <v>1</v>
      </c>
    </row>
    <row r="99" spans="1:207" s="30" customFormat="1">
      <c r="A99" s="22" t="str">
        <f t="shared" si="9"/>
        <v/>
      </c>
      <c r="B99" s="40" t="s">
        <v>196</v>
      </c>
      <c r="C99" s="16">
        <v>151213</v>
      </c>
      <c r="D99" s="26">
        <f>COUNTIF('Awards Summary'!B:B,"151213")</f>
        <v>0</v>
      </c>
      <c r="E99" s="45">
        <f>SUMIFS('Awards Summary'!H:H,'Awards Summary'!B:B,"151213")</f>
        <v>0</v>
      </c>
      <c r="F99" s="46">
        <f>SUMIFS('Disbursements Summary'!E:E,'Disbursements Summary'!C:C, "151213")</f>
        <v>0</v>
      </c>
      <c r="H99" s="55">
        <f>SUMIFS('Awards Summary'!$H:$H,'Awards Summary'!$B:$B,$C99,'Awards Summary'!$J:$J,"APA")</f>
        <v>0</v>
      </c>
      <c r="I99" s="55">
        <f>SUMIFS('Disbursements Summary'!$E:$E,'Disbursements Summary'!$C:$C,$C99,'Disbursements Summary'!$A:$A,"APA")</f>
        <v>0</v>
      </c>
      <c r="J99" s="55">
        <f>SUMIFS('Awards Summary'!$H:$H,'Awards Summary'!$B:$B,$C99,'Awards Summary'!$J:$J,"Ag&amp;Horse")</f>
        <v>0</v>
      </c>
      <c r="K99" s="55">
        <f>SUMIFS('Disbursements Summary'!$E:$E,'Disbursements Summary'!$C:$C,$C99,'Disbursements Summary'!$A:$A,"Ag&amp;Horse")</f>
        <v>0</v>
      </c>
      <c r="L99" s="55">
        <f>SUMIFS('Awards Summary'!$H:$H,'Awards Summary'!$B:$B,$C99,'Awards Summary'!$J:$J,"ACAA")</f>
        <v>0</v>
      </c>
      <c r="M99" s="55">
        <f>SUMIFS('Disbursements Summary'!$E:$E,'Disbursements Summary'!$C:$C,$C99,'Disbursements Summary'!$A:$A,"ACAA")</f>
        <v>0</v>
      </c>
      <c r="N99" s="55">
        <f>SUMIFS('Awards Summary'!$H:$H,'Awards Summary'!$B:$B,$C99,'Awards Summary'!$J:$J,"PortAlbany")</f>
        <v>0</v>
      </c>
      <c r="O99" s="55">
        <f>SUMIFS('Disbursements Summary'!$E:$E,'Disbursements Summary'!$C:$C,$C99,'Disbursements Summary'!$A:$A,"PortAlbany")</f>
        <v>0</v>
      </c>
      <c r="P99" s="55">
        <f>SUMIFS('Awards Summary'!$H:$H,'Awards Summary'!$B:$B,$C99,'Awards Summary'!$J:$J,"SLA")</f>
        <v>0</v>
      </c>
      <c r="Q99" s="55">
        <f>SUMIFS('Disbursements Summary'!$E:$E,'Disbursements Summary'!$C:$C,$C99,'Disbursements Summary'!$A:$A,"SLA")</f>
        <v>0</v>
      </c>
      <c r="R99" s="55">
        <f>SUMIFS('Awards Summary'!$H:$H,'Awards Summary'!$B:$B,$C99,'Awards Summary'!$J:$J,"BPCA")</f>
        <v>0</v>
      </c>
      <c r="S99" s="55">
        <f>SUMIFS('Disbursements Summary'!$E:$E,'Disbursements Summary'!$C:$C,$C99,'Disbursements Summary'!$A:$A,"BPCA")</f>
        <v>0</v>
      </c>
      <c r="T99" s="55">
        <f>SUMIFS('Awards Summary'!$H:$H,'Awards Summary'!$B:$B,$C99,'Awards Summary'!$J:$J,"ELECTIONS")</f>
        <v>0</v>
      </c>
      <c r="U99" s="55">
        <f>SUMIFS('Disbursements Summary'!$E:$E,'Disbursements Summary'!$C:$C,$C99,'Disbursements Summary'!$A:$A,"ELECTIONS")</f>
        <v>0</v>
      </c>
      <c r="V99" s="55">
        <f>SUMIFS('Awards Summary'!$H:$H,'Awards Summary'!$B:$B,$C99,'Awards Summary'!$J:$J,"BFSA")</f>
        <v>0</v>
      </c>
      <c r="W99" s="55">
        <f>SUMIFS('Disbursements Summary'!$E:$E,'Disbursements Summary'!$C:$C,$C99,'Disbursements Summary'!$A:$A,"BFSA")</f>
        <v>0</v>
      </c>
      <c r="X99" s="55">
        <f>SUMIFS('Awards Summary'!$H:$H,'Awards Summary'!$B:$B,$C99,'Awards Summary'!$J:$J,"CDTA")</f>
        <v>0</v>
      </c>
      <c r="Y99" s="55">
        <f>SUMIFS('Disbursements Summary'!$E:$E,'Disbursements Summary'!$C:$C,$C99,'Disbursements Summary'!$A:$A,"CDTA")</f>
        <v>0</v>
      </c>
      <c r="Z99" s="55">
        <f>SUMIFS('Awards Summary'!$H:$H,'Awards Summary'!$B:$B,$C99,'Awards Summary'!$J:$J,"CCWSA")</f>
        <v>0</v>
      </c>
      <c r="AA99" s="55">
        <f>SUMIFS('Disbursements Summary'!$E:$E,'Disbursements Summary'!$C:$C,$C99,'Disbursements Summary'!$A:$A,"CCWSA")</f>
        <v>0</v>
      </c>
      <c r="AB99" s="55">
        <f>SUMIFS('Awards Summary'!$H:$H,'Awards Summary'!$B:$B,$C99,'Awards Summary'!$J:$J,"CNYRTA")</f>
        <v>0</v>
      </c>
      <c r="AC99" s="55">
        <f>SUMIFS('Disbursements Summary'!$E:$E,'Disbursements Summary'!$C:$C,$C99,'Disbursements Summary'!$A:$A,"CNYRTA")</f>
        <v>0</v>
      </c>
      <c r="AD99" s="55">
        <f>SUMIFS('Awards Summary'!$H:$H,'Awards Summary'!$B:$B,$C99,'Awards Summary'!$J:$J,"CUCF")</f>
        <v>0</v>
      </c>
      <c r="AE99" s="55">
        <f>SUMIFS('Disbursements Summary'!$E:$E,'Disbursements Summary'!$C:$C,$C99,'Disbursements Summary'!$A:$A,"CUCF")</f>
        <v>0</v>
      </c>
      <c r="AF99" s="55">
        <f>SUMIFS('Awards Summary'!$H:$H,'Awards Summary'!$B:$B,$C99,'Awards Summary'!$J:$J,"CUNY")</f>
        <v>0</v>
      </c>
      <c r="AG99" s="55">
        <f>SUMIFS('Disbursements Summary'!$E:$E,'Disbursements Summary'!$C:$C,$C99,'Disbursements Summary'!$A:$A,"CUNY")</f>
        <v>0</v>
      </c>
      <c r="AH99" s="55">
        <f>SUMIFS('Awards Summary'!$H:$H,'Awards Summary'!$B:$B,$C99,'Awards Summary'!$J:$J,"ARTS")</f>
        <v>0</v>
      </c>
      <c r="AI99" s="55">
        <f>SUMIFS('Disbursements Summary'!$E:$E,'Disbursements Summary'!$C:$C,$C99,'Disbursements Summary'!$A:$A,"ARTS")</f>
        <v>0</v>
      </c>
      <c r="AJ99" s="55">
        <f>SUMIFS('Awards Summary'!$H:$H,'Awards Summary'!$B:$B,$C99,'Awards Summary'!$J:$J,"AG&amp;MKTS")</f>
        <v>0</v>
      </c>
      <c r="AK99" s="55">
        <f>SUMIFS('Disbursements Summary'!$E:$E,'Disbursements Summary'!$C:$C,$C99,'Disbursements Summary'!$A:$A,"AG&amp;MKTS")</f>
        <v>0</v>
      </c>
      <c r="AL99" s="55">
        <f>SUMIFS('Awards Summary'!$H:$H,'Awards Summary'!$B:$B,$C99,'Awards Summary'!$J:$J,"CS")</f>
        <v>0</v>
      </c>
      <c r="AM99" s="55">
        <f>SUMIFS('Disbursements Summary'!$E:$E,'Disbursements Summary'!$C:$C,$C99,'Disbursements Summary'!$A:$A,"CS")</f>
        <v>0</v>
      </c>
      <c r="AN99" s="55">
        <f>SUMIFS('Awards Summary'!$H:$H,'Awards Summary'!$B:$B,$C99,'Awards Summary'!$J:$J,"DOCCS")</f>
        <v>0</v>
      </c>
      <c r="AO99" s="55">
        <f>SUMIFS('Disbursements Summary'!$E:$E,'Disbursements Summary'!$C:$C,$C99,'Disbursements Summary'!$A:$A,"DOCCS")</f>
        <v>0</v>
      </c>
      <c r="AP99" s="55">
        <f>SUMIFS('Awards Summary'!$H:$H,'Awards Summary'!$B:$B,$C99,'Awards Summary'!$J:$J,"DED")</f>
        <v>0</v>
      </c>
      <c r="AQ99" s="55">
        <f>SUMIFS('Disbursements Summary'!$E:$E,'Disbursements Summary'!$C:$C,$C99,'Disbursements Summary'!$A:$A,"DED")</f>
        <v>0</v>
      </c>
      <c r="AR99" s="55">
        <f>SUMIFS('Awards Summary'!$H:$H,'Awards Summary'!$B:$B,$C99,'Awards Summary'!$J:$J,"DEC")</f>
        <v>0</v>
      </c>
      <c r="AS99" s="55">
        <f>SUMIFS('Disbursements Summary'!$E:$E,'Disbursements Summary'!$C:$C,$C99,'Disbursements Summary'!$A:$A,"DEC")</f>
        <v>0</v>
      </c>
      <c r="AT99" s="55">
        <f>SUMIFS('Awards Summary'!$H:$H,'Awards Summary'!$B:$B,$C99,'Awards Summary'!$J:$J,"DFS")</f>
        <v>0</v>
      </c>
      <c r="AU99" s="55">
        <f>SUMIFS('Disbursements Summary'!$E:$E,'Disbursements Summary'!$C:$C,$C99,'Disbursements Summary'!$A:$A,"DFS")</f>
        <v>0</v>
      </c>
      <c r="AV99" s="55">
        <f>SUMIFS('Awards Summary'!$H:$H,'Awards Summary'!$B:$B,$C99,'Awards Summary'!$J:$J,"DOH")</f>
        <v>0</v>
      </c>
      <c r="AW99" s="55">
        <f>SUMIFS('Disbursements Summary'!$E:$E,'Disbursements Summary'!$C:$C,$C99,'Disbursements Summary'!$A:$A,"DOH")</f>
        <v>0</v>
      </c>
      <c r="AX99" s="55">
        <f>SUMIFS('Awards Summary'!$H:$H,'Awards Summary'!$B:$B,$C99,'Awards Summary'!$J:$J,"DOL")</f>
        <v>0</v>
      </c>
      <c r="AY99" s="55">
        <f>SUMIFS('Disbursements Summary'!$E:$E,'Disbursements Summary'!$C:$C,$C99,'Disbursements Summary'!$A:$A,"DOL")</f>
        <v>0</v>
      </c>
      <c r="AZ99" s="55">
        <f>SUMIFS('Awards Summary'!$H:$H,'Awards Summary'!$B:$B,$C99,'Awards Summary'!$J:$J,"DMV")</f>
        <v>0</v>
      </c>
      <c r="BA99" s="55">
        <f>SUMIFS('Disbursements Summary'!$E:$E,'Disbursements Summary'!$C:$C,$C99,'Disbursements Summary'!$A:$A,"DMV")</f>
        <v>0</v>
      </c>
      <c r="BB99" s="55">
        <f>SUMIFS('Awards Summary'!$H:$H,'Awards Summary'!$B:$B,$C99,'Awards Summary'!$J:$J,"DPS")</f>
        <v>0</v>
      </c>
      <c r="BC99" s="55">
        <f>SUMIFS('Disbursements Summary'!$E:$E,'Disbursements Summary'!$C:$C,$C99,'Disbursements Summary'!$A:$A,"DPS")</f>
        <v>0</v>
      </c>
      <c r="BD99" s="55">
        <f>SUMIFS('Awards Summary'!$H:$H,'Awards Summary'!$B:$B,$C99,'Awards Summary'!$J:$J,"DOS")</f>
        <v>0</v>
      </c>
      <c r="BE99" s="55">
        <f>SUMIFS('Disbursements Summary'!$E:$E,'Disbursements Summary'!$C:$C,$C99,'Disbursements Summary'!$A:$A,"DOS")</f>
        <v>0</v>
      </c>
      <c r="BF99" s="55">
        <f>SUMIFS('Awards Summary'!$H:$H,'Awards Summary'!$B:$B,$C99,'Awards Summary'!$J:$J,"TAX")</f>
        <v>0</v>
      </c>
      <c r="BG99" s="55">
        <f>SUMIFS('Disbursements Summary'!$E:$E,'Disbursements Summary'!$C:$C,$C99,'Disbursements Summary'!$A:$A,"TAX")</f>
        <v>0</v>
      </c>
      <c r="BH99" s="55">
        <f>SUMIFS('Awards Summary'!$H:$H,'Awards Summary'!$B:$B,$C99,'Awards Summary'!$J:$J,"DOT")</f>
        <v>0</v>
      </c>
      <c r="BI99" s="55">
        <f>SUMIFS('Disbursements Summary'!$E:$E,'Disbursements Summary'!$C:$C,$C99,'Disbursements Summary'!$A:$A,"DOT")</f>
        <v>0</v>
      </c>
      <c r="BJ99" s="55">
        <f>SUMIFS('Awards Summary'!$H:$H,'Awards Summary'!$B:$B,$C99,'Awards Summary'!$J:$J,"DANC")</f>
        <v>0</v>
      </c>
      <c r="BK99" s="55">
        <f>SUMIFS('Disbursements Summary'!$E:$E,'Disbursements Summary'!$C:$C,$C99,'Disbursements Summary'!$A:$A,"DANC")</f>
        <v>0</v>
      </c>
      <c r="BL99" s="55">
        <f>SUMIFS('Awards Summary'!$H:$H,'Awards Summary'!$B:$B,$C99,'Awards Summary'!$J:$J,"DOB")</f>
        <v>0</v>
      </c>
      <c r="BM99" s="55">
        <f>SUMIFS('Disbursements Summary'!$E:$E,'Disbursements Summary'!$C:$C,$C99,'Disbursements Summary'!$A:$A,"DOB")</f>
        <v>0</v>
      </c>
      <c r="BN99" s="55">
        <f>SUMIFS('Awards Summary'!$H:$H,'Awards Summary'!$B:$B,$C99,'Awards Summary'!$J:$J,"DCJS")</f>
        <v>0</v>
      </c>
      <c r="BO99" s="55">
        <f>SUMIFS('Disbursements Summary'!$E:$E,'Disbursements Summary'!$C:$C,$C99,'Disbursements Summary'!$A:$A,"DCJS")</f>
        <v>0</v>
      </c>
      <c r="BP99" s="55">
        <f>SUMIFS('Awards Summary'!$H:$H,'Awards Summary'!$B:$B,$C99,'Awards Summary'!$J:$J,"DHSES")</f>
        <v>0</v>
      </c>
      <c r="BQ99" s="55">
        <f>SUMIFS('Disbursements Summary'!$E:$E,'Disbursements Summary'!$C:$C,$C99,'Disbursements Summary'!$A:$A,"DHSES")</f>
        <v>0</v>
      </c>
      <c r="BR99" s="55">
        <f>SUMIFS('Awards Summary'!$H:$H,'Awards Summary'!$B:$B,$C99,'Awards Summary'!$J:$J,"DHR")</f>
        <v>0</v>
      </c>
      <c r="BS99" s="55">
        <f>SUMIFS('Disbursements Summary'!$E:$E,'Disbursements Summary'!$C:$C,$C99,'Disbursements Summary'!$A:$A,"DHR")</f>
        <v>0</v>
      </c>
      <c r="BT99" s="55">
        <f>SUMIFS('Awards Summary'!$H:$H,'Awards Summary'!$B:$B,$C99,'Awards Summary'!$J:$J,"DMNA")</f>
        <v>0</v>
      </c>
      <c r="BU99" s="55">
        <f>SUMIFS('Disbursements Summary'!$E:$E,'Disbursements Summary'!$C:$C,$C99,'Disbursements Summary'!$A:$A,"DMNA")</f>
        <v>0</v>
      </c>
      <c r="BV99" s="55">
        <f>SUMIFS('Awards Summary'!$H:$H,'Awards Summary'!$B:$B,$C99,'Awards Summary'!$J:$J,"TROOPERS")</f>
        <v>0</v>
      </c>
      <c r="BW99" s="55">
        <f>SUMIFS('Disbursements Summary'!$E:$E,'Disbursements Summary'!$C:$C,$C99,'Disbursements Summary'!$A:$A,"TROOPERS")</f>
        <v>0</v>
      </c>
      <c r="BX99" s="55">
        <f>SUMIFS('Awards Summary'!$H:$H,'Awards Summary'!$B:$B,$C99,'Awards Summary'!$J:$J,"DVA")</f>
        <v>0</v>
      </c>
      <c r="BY99" s="55">
        <f>SUMIFS('Disbursements Summary'!$E:$E,'Disbursements Summary'!$C:$C,$C99,'Disbursements Summary'!$A:$A,"DVA")</f>
        <v>0</v>
      </c>
      <c r="BZ99" s="55">
        <f>SUMIFS('Awards Summary'!$H:$H,'Awards Summary'!$B:$B,$C99,'Awards Summary'!$J:$J,"DASNY")</f>
        <v>0</v>
      </c>
      <c r="CA99" s="55">
        <f>SUMIFS('Disbursements Summary'!$E:$E,'Disbursements Summary'!$C:$C,$C99,'Disbursements Summary'!$A:$A,"DASNY")</f>
        <v>0</v>
      </c>
      <c r="CB99" s="55">
        <f>SUMIFS('Awards Summary'!$H:$H,'Awards Summary'!$B:$B,$C99,'Awards Summary'!$J:$J,"EGG")</f>
        <v>0</v>
      </c>
      <c r="CC99" s="55">
        <f>SUMIFS('Disbursements Summary'!$E:$E,'Disbursements Summary'!$C:$C,$C99,'Disbursements Summary'!$A:$A,"EGG")</f>
        <v>0</v>
      </c>
      <c r="CD99" s="55">
        <f>SUMIFS('Awards Summary'!$H:$H,'Awards Summary'!$B:$B,$C99,'Awards Summary'!$J:$J,"ESD")</f>
        <v>0</v>
      </c>
      <c r="CE99" s="55">
        <f>SUMIFS('Disbursements Summary'!$E:$E,'Disbursements Summary'!$C:$C,$C99,'Disbursements Summary'!$A:$A,"ESD")</f>
        <v>0</v>
      </c>
      <c r="CF99" s="55">
        <f>SUMIFS('Awards Summary'!$H:$H,'Awards Summary'!$B:$B,$C99,'Awards Summary'!$J:$J,"EFC")</f>
        <v>0</v>
      </c>
      <c r="CG99" s="55">
        <f>SUMIFS('Disbursements Summary'!$E:$E,'Disbursements Summary'!$C:$C,$C99,'Disbursements Summary'!$A:$A,"EFC")</f>
        <v>0</v>
      </c>
      <c r="CH99" s="55">
        <f>SUMIFS('Awards Summary'!$H:$H,'Awards Summary'!$B:$B,$C99,'Awards Summary'!$J:$J,"ECFSA")</f>
        <v>0</v>
      </c>
      <c r="CI99" s="55">
        <f>SUMIFS('Disbursements Summary'!$E:$E,'Disbursements Summary'!$C:$C,$C99,'Disbursements Summary'!$A:$A,"ECFSA")</f>
        <v>0</v>
      </c>
      <c r="CJ99" s="55">
        <f>SUMIFS('Awards Summary'!$H:$H,'Awards Summary'!$B:$B,$C99,'Awards Summary'!$J:$J,"ECMC")</f>
        <v>0</v>
      </c>
      <c r="CK99" s="55">
        <f>SUMIFS('Disbursements Summary'!$E:$E,'Disbursements Summary'!$C:$C,$C99,'Disbursements Summary'!$A:$A,"ECMC")</f>
        <v>0</v>
      </c>
      <c r="CL99" s="55">
        <f>SUMIFS('Awards Summary'!$H:$H,'Awards Summary'!$B:$B,$C99,'Awards Summary'!$J:$J,"CHAMBER")</f>
        <v>0</v>
      </c>
      <c r="CM99" s="55">
        <f>SUMIFS('Disbursements Summary'!$E:$E,'Disbursements Summary'!$C:$C,$C99,'Disbursements Summary'!$A:$A,"CHAMBER")</f>
        <v>0</v>
      </c>
      <c r="CN99" s="55">
        <f>SUMIFS('Awards Summary'!$H:$H,'Awards Summary'!$B:$B,$C99,'Awards Summary'!$J:$J,"GAMING")</f>
        <v>0</v>
      </c>
      <c r="CO99" s="55">
        <f>SUMIFS('Disbursements Summary'!$E:$E,'Disbursements Summary'!$C:$C,$C99,'Disbursements Summary'!$A:$A,"GAMING")</f>
        <v>0</v>
      </c>
      <c r="CP99" s="55">
        <f>SUMIFS('Awards Summary'!$H:$H,'Awards Summary'!$B:$B,$C99,'Awards Summary'!$J:$J,"GOER")</f>
        <v>0</v>
      </c>
      <c r="CQ99" s="55">
        <f>SUMIFS('Disbursements Summary'!$E:$E,'Disbursements Summary'!$C:$C,$C99,'Disbursements Summary'!$A:$A,"GOER")</f>
        <v>0</v>
      </c>
      <c r="CR99" s="55">
        <f>SUMIFS('Awards Summary'!$H:$H,'Awards Summary'!$B:$B,$C99,'Awards Summary'!$J:$J,"HESC")</f>
        <v>0</v>
      </c>
      <c r="CS99" s="55">
        <f>SUMIFS('Disbursements Summary'!$E:$E,'Disbursements Summary'!$C:$C,$C99,'Disbursements Summary'!$A:$A,"HESC")</f>
        <v>0</v>
      </c>
      <c r="CT99" s="55">
        <f>SUMIFS('Awards Summary'!$H:$H,'Awards Summary'!$B:$B,$C99,'Awards Summary'!$J:$J,"GOSR")</f>
        <v>0</v>
      </c>
      <c r="CU99" s="55">
        <f>SUMIFS('Disbursements Summary'!$E:$E,'Disbursements Summary'!$C:$C,$C99,'Disbursements Summary'!$A:$A,"GOSR")</f>
        <v>0</v>
      </c>
      <c r="CV99" s="55">
        <f>SUMIFS('Awards Summary'!$H:$H,'Awards Summary'!$B:$B,$C99,'Awards Summary'!$J:$J,"HRPT")</f>
        <v>0</v>
      </c>
      <c r="CW99" s="55">
        <f>SUMIFS('Disbursements Summary'!$E:$E,'Disbursements Summary'!$C:$C,$C99,'Disbursements Summary'!$A:$A,"HRPT")</f>
        <v>0</v>
      </c>
      <c r="CX99" s="55">
        <f>SUMIFS('Awards Summary'!$H:$H,'Awards Summary'!$B:$B,$C99,'Awards Summary'!$J:$J,"HRBRRD")</f>
        <v>0</v>
      </c>
      <c r="CY99" s="55">
        <f>SUMIFS('Disbursements Summary'!$E:$E,'Disbursements Summary'!$C:$C,$C99,'Disbursements Summary'!$A:$A,"HRBRRD")</f>
        <v>0</v>
      </c>
      <c r="CZ99" s="55">
        <f>SUMIFS('Awards Summary'!$H:$H,'Awards Summary'!$B:$B,$C99,'Awards Summary'!$J:$J,"ITS")</f>
        <v>0</v>
      </c>
      <c r="DA99" s="55">
        <f>SUMIFS('Disbursements Summary'!$E:$E,'Disbursements Summary'!$C:$C,$C99,'Disbursements Summary'!$A:$A,"ITS")</f>
        <v>0</v>
      </c>
      <c r="DB99" s="55">
        <f>SUMIFS('Awards Summary'!$H:$H,'Awards Summary'!$B:$B,$C99,'Awards Summary'!$J:$J,"JAVITS")</f>
        <v>0</v>
      </c>
      <c r="DC99" s="55">
        <f>SUMIFS('Disbursements Summary'!$E:$E,'Disbursements Summary'!$C:$C,$C99,'Disbursements Summary'!$A:$A,"JAVITS")</f>
        <v>0</v>
      </c>
      <c r="DD99" s="55">
        <f>SUMIFS('Awards Summary'!$H:$H,'Awards Summary'!$B:$B,$C99,'Awards Summary'!$J:$J,"JCOPE")</f>
        <v>0</v>
      </c>
      <c r="DE99" s="55">
        <f>SUMIFS('Disbursements Summary'!$E:$E,'Disbursements Summary'!$C:$C,$C99,'Disbursements Summary'!$A:$A,"JCOPE")</f>
        <v>0</v>
      </c>
      <c r="DF99" s="55">
        <f>SUMIFS('Awards Summary'!$H:$H,'Awards Summary'!$B:$B,$C99,'Awards Summary'!$J:$J,"JUSTICE")</f>
        <v>0</v>
      </c>
      <c r="DG99" s="55">
        <f>SUMIFS('Disbursements Summary'!$E:$E,'Disbursements Summary'!$C:$C,$C99,'Disbursements Summary'!$A:$A,"JUSTICE")</f>
        <v>0</v>
      </c>
      <c r="DH99" s="55">
        <f>SUMIFS('Awards Summary'!$H:$H,'Awards Summary'!$B:$B,$C99,'Awards Summary'!$J:$J,"LCWSA")</f>
        <v>0</v>
      </c>
      <c r="DI99" s="55">
        <f>SUMIFS('Disbursements Summary'!$E:$E,'Disbursements Summary'!$C:$C,$C99,'Disbursements Summary'!$A:$A,"LCWSA")</f>
        <v>0</v>
      </c>
      <c r="DJ99" s="55">
        <f>SUMIFS('Awards Summary'!$H:$H,'Awards Summary'!$B:$B,$C99,'Awards Summary'!$J:$J,"LIPA")</f>
        <v>0</v>
      </c>
      <c r="DK99" s="55">
        <f>SUMIFS('Disbursements Summary'!$E:$E,'Disbursements Summary'!$C:$C,$C99,'Disbursements Summary'!$A:$A,"LIPA")</f>
        <v>0</v>
      </c>
      <c r="DL99" s="55">
        <f>SUMIFS('Awards Summary'!$H:$H,'Awards Summary'!$B:$B,$C99,'Awards Summary'!$J:$J,"MTA")</f>
        <v>0</v>
      </c>
      <c r="DM99" s="55">
        <f>SUMIFS('Disbursements Summary'!$E:$E,'Disbursements Summary'!$C:$C,$C99,'Disbursements Summary'!$A:$A,"MTA")</f>
        <v>0</v>
      </c>
      <c r="DN99" s="55">
        <f>SUMIFS('Awards Summary'!$H:$H,'Awards Summary'!$B:$B,$C99,'Awards Summary'!$J:$J,"NIFA")</f>
        <v>0</v>
      </c>
      <c r="DO99" s="55">
        <f>SUMIFS('Disbursements Summary'!$E:$E,'Disbursements Summary'!$C:$C,$C99,'Disbursements Summary'!$A:$A,"NIFA")</f>
        <v>0</v>
      </c>
      <c r="DP99" s="55">
        <f>SUMIFS('Awards Summary'!$H:$H,'Awards Summary'!$B:$B,$C99,'Awards Summary'!$J:$J,"NHCC")</f>
        <v>0</v>
      </c>
      <c r="DQ99" s="55">
        <f>SUMIFS('Disbursements Summary'!$E:$E,'Disbursements Summary'!$C:$C,$C99,'Disbursements Summary'!$A:$A,"NHCC")</f>
        <v>0</v>
      </c>
      <c r="DR99" s="55">
        <f>SUMIFS('Awards Summary'!$H:$H,'Awards Summary'!$B:$B,$C99,'Awards Summary'!$J:$J,"NHT")</f>
        <v>0</v>
      </c>
      <c r="DS99" s="55">
        <f>SUMIFS('Disbursements Summary'!$E:$E,'Disbursements Summary'!$C:$C,$C99,'Disbursements Summary'!$A:$A,"NHT")</f>
        <v>0</v>
      </c>
      <c r="DT99" s="55">
        <f>SUMIFS('Awards Summary'!$H:$H,'Awards Summary'!$B:$B,$C99,'Awards Summary'!$J:$J,"NYPA")</f>
        <v>0</v>
      </c>
      <c r="DU99" s="55">
        <f>SUMIFS('Disbursements Summary'!$E:$E,'Disbursements Summary'!$C:$C,$C99,'Disbursements Summary'!$A:$A,"NYPA")</f>
        <v>0</v>
      </c>
      <c r="DV99" s="55">
        <f>SUMIFS('Awards Summary'!$H:$H,'Awards Summary'!$B:$B,$C99,'Awards Summary'!$J:$J,"NYSBA")</f>
        <v>0</v>
      </c>
      <c r="DW99" s="55">
        <f>SUMIFS('Disbursements Summary'!$E:$E,'Disbursements Summary'!$C:$C,$C99,'Disbursements Summary'!$A:$A,"NYSBA")</f>
        <v>0</v>
      </c>
      <c r="DX99" s="55">
        <f>SUMIFS('Awards Summary'!$H:$H,'Awards Summary'!$B:$B,$C99,'Awards Summary'!$J:$J,"NYSERDA")</f>
        <v>0</v>
      </c>
      <c r="DY99" s="55">
        <f>SUMIFS('Disbursements Summary'!$E:$E,'Disbursements Summary'!$C:$C,$C99,'Disbursements Summary'!$A:$A,"NYSERDA")</f>
        <v>0</v>
      </c>
      <c r="DZ99" s="55">
        <f>SUMIFS('Awards Summary'!$H:$H,'Awards Summary'!$B:$B,$C99,'Awards Summary'!$J:$J,"DHCR")</f>
        <v>0</v>
      </c>
      <c r="EA99" s="55">
        <f>SUMIFS('Disbursements Summary'!$E:$E,'Disbursements Summary'!$C:$C,$C99,'Disbursements Summary'!$A:$A,"DHCR")</f>
        <v>0</v>
      </c>
      <c r="EB99" s="55">
        <f>SUMIFS('Awards Summary'!$H:$H,'Awards Summary'!$B:$B,$C99,'Awards Summary'!$J:$J,"HFA")</f>
        <v>0</v>
      </c>
      <c r="EC99" s="55">
        <f>SUMIFS('Disbursements Summary'!$E:$E,'Disbursements Summary'!$C:$C,$C99,'Disbursements Summary'!$A:$A,"HFA")</f>
        <v>0</v>
      </c>
      <c r="ED99" s="55">
        <f>SUMIFS('Awards Summary'!$H:$H,'Awards Summary'!$B:$B,$C99,'Awards Summary'!$J:$J,"NYSIF")</f>
        <v>0</v>
      </c>
      <c r="EE99" s="55">
        <f>SUMIFS('Disbursements Summary'!$E:$E,'Disbursements Summary'!$C:$C,$C99,'Disbursements Summary'!$A:$A,"NYSIF")</f>
        <v>0</v>
      </c>
      <c r="EF99" s="55">
        <f>SUMIFS('Awards Summary'!$H:$H,'Awards Summary'!$B:$B,$C99,'Awards Summary'!$J:$J,"NYBREDS")</f>
        <v>0</v>
      </c>
      <c r="EG99" s="55">
        <f>SUMIFS('Disbursements Summary'!$E:$E,'Disbursements Summary'!$C:$C,$C99,'Disbursements Summary'!$A:$A,"NYBREDS")</f>
        <v>0</v>
      </c>
      <c r="EH99" s="55">
        <f>SUMIFS('Awards Summary'!$H:$H,'Awards Summary'!$B:$B,$C99,'Awards Summary'!$J:$J,"NYSTA")</f>
        <v>0</v>
      </c>
      <c r="EI99" s="55">
        <f>SUMIFS('Disbursements Summary'!$E:$E,'Disbursements Summary'!$C:$C,$C99,'Disbursements Summary'!$A:$A,"NYSTA")</f>
        <v>0</v>
      </c>
      <c r="EJ99" s="55">
        <f>SUMIFS('Awards Summary'!$H:$H,'Awards Summary'!$B:$B,$C99,'Awards Summary'!$J:$J,"NFWB")</f>
        <v>0</v>
      </c>
      <c r="EK99" s="55">
        <f>SUMIFS('Disbursements Summary'!$E:$E,'Disbursements Summary'!$C:$C,$C99,'Disbursements Summary'!$A:$A,"NFWB")</f>
        <v>0</v>
      </c>
      <c r="EL99" s="55">
        <f>SUMIFS('Awards Summary'!$H:$H,'Awards Summary'!$B:$B,$C99,'Awards Summary'!$J:$J,"NFTA")</f>
        <v>0</v>
      </c>
      <c r="EM99" s="55">
        <f>SUMIFS('Disbursements Summary'!$E:$E,'Disbursements Summary'!$C:$C,$C99,'Disbursements Summary'!$A:$A,"NFTA")</f>
        <v>0</v>
      </c>
      <c r="EN99" s="55">
        <f>SUMIFS('Awards Summary'!$H:$H,'Awards Summary'!$B:$B,$C99,'Awards Summary'!$J:$J,"OPWDD")</f>
        <v>0</v>
      </c>
      <c r="EO99" s="55">
        <f>SUMIFS('Disbursements Summary'!$E:$E,'Disbursements Summary'!$C:$C,$C99,'Disbursements Summary'!$A:$A,"OPWDD")</f>
        <v>0</v>
      </c>
      <c r="EP99" s="55">
        <f>SUMIFS('Awards Summary'!$H:$H,'Awards Summary'!$B:$B,$C99,'Awards Summary'!$J:$J,"AGING")</f>
        <v>0</v>
      </c>
      <c r="EQ99" s="55">
        <f>SUMIFS('Disbursements Summary'!$E:$E,'Disbursements Summary'!$C:$C,$C99,'Disbursements Summary'!$A:$A,"AGING")</f>
        <v>0</v>
      </c>
      <c r="ER99" s="55">
        <f>SUMIFS('Awards Summary'!$H:$H,'Awards Summary'!$B:$B,$C99,'Awards Summary'!$J:$J,"OPDV")</f>
        <v>0</v>
      </c>
      <c r="ES99" s="55">
        <f>SUMIFS('Disbursements Summary'!$E:$E,'Disbursements Summary'!$C:$C,$C99,'Disbursements Summary'!$A:$A,"OPDV")</f>
        <v>0</v>
      </c>
      <c r="ET99" s="55">
        <f>SUMIFS('Awards Summary'!$H:$H,'Awards Summary'!$B:$B,$C99,'Awards Summary'!$J:$J,"OVS")</f>
        <v>0</v>
      </c>
      <c r="EU99" s="55">
        <f>SUMIFS('Disbursements Summary'!$E:$E,'Disbursements Summary'!$C:$C,$C99,'Disbursements Summary'!$A:$A,"OVS")</f>
        <v>0</v>
      </c>
      <c r="EV99" s="55">
        <f>SUMIFS('Awards Summary'!$H:$H,'Awards Summary'!$B:$B,$C99,'Awards Summary'!$J:$J,"OASAS")</f>
        <v>0</v>
      </c>
      <c r="EW99" s="55">
        <f>SUMIFS('Disbursements Summary'!$E:$E,'Disbursements Summary'!$C:$C,$C99,'Disbursements Summary'!$A:$A,"OASAS")</f>
        <v>0</v>
      </c>
      <c r="EX99" s="55">
        <f>SUMIFS('Awards Summary'!$H:$H,'Awards Summary'!$B:$B,$C99,'Awards Summary'!$J:$J,"OCFS")</f>
        <v>0</v>
      </c>
      <c r="EY99" s="55">
        <f>SUMIFS('Disbursements Summary'!$E:$E,'Disbursements Summary'!$C:$C,$C99,'Disbursements Summary'!$A:$A,"OCFS")</f>
        <v>0</v>
      </c>
      <c r="EZ99" s="55">
        <f>SUMIFS('Awards Summary'!$H:$H,'Awards Summary'!$B:$B,$C99,'Awards Summary'!$J:$J,"OGS")</f>
        <v>0</v>
      </c>
      <c r="FA99" s="55">
        <f>SUMIFS('Disbursements Summary'!$E:$E,'Disbursements Summary'!$C:$C,$C99,'Disbursements Summary'!$A:$A,"OGS")</f>
        <v>0</v>
      </c>
      <c r="FB99" s="55">
        <f>SUMIFS('Awards Summary'!$H:$H,'Awards Summary'!$B:$B,$C99,'Awards Summary'!$J:$J,"OMH")</f>
        <v>0</v>
      </c>
      <c r="FC99" s="55">
        <f>SUMIFS('Disbursements Summary'!$E:$E,'Disbursements Summary'!$C:$C,$C99,'Disbursements Summary'!$A:$A,"OMH")</f>
        <v>0</v>
      </c>
      <c r="FD99" s="55">
        <f>SUMIFS('Awards Summary'!$H:$H,'Awards Summary'!$B:$B,$C99,'Awards Summary'!$J:$J,"PARKS")</f>
        <v>0</v>
      </c>
      <c r="FE99" s="55">
        <f>SUMIFS('Disbursements Summary'!$E:$E,'Disbursements Summary'!$C:$C,$C99,'Disbursements Summary'!$A:$A,"PARKS")</f>
        <v>0</v>
      </c>
      <c r="FF99" s="55">
        <f>SUMIFS('Awards Summary'!$H:$H,'Awards Summary'!$B:$B,$C99,'Awards Summary'!$J:$J,"OTDA")</f>
        <v>0</v>
      </c>
      <c r="FG99" s="55">
        <f>SUMIFS('Disbursements Summary'!$E:$E,'Disbursements Summary'!$C:$C,$C99,'Disbursements Summary'!$A:$A,"OTDA")</f>
        <v>0</v>
      </c>
      <c r="FH99" s="55">
        <f>SUMIFS('Awards Summary'!$H:$H,'Awards Summary'!$B:$B,$C99,'Awards Summary'!$J:$J,"OIG")</f>
        <v>0</v>
      </c>
      <c r="FI99" s="55">
        <f>SUMIFS('Disbursements Summary'!$E:$E,'Disbursements Summary'!$C:$C,$C99,'Disbursements Summary'!$A:$A,"OIG")</f>
        <v>0</v>
      </c>
      <c r="FJ99" s="55">
        <f>SUMIFS('Awards Summary'!$H:$H,'Awards Summary'!$B:$B,$C99,'Awards Summary'!$J:$J,"OMIG")</f>
        <v>0</v>
      </c>
      <c r="FK99" s="55">
        <f>SUMIFS('Disbursements Summary'!$E:$E,'Disbursements Summary'!$C:$C,$C99,'Disbursements Summary'!$A:$A,"OMIG")</f>
        <v>0</v>
      </c>
      <c r="FL99" s="55">
        <f>SUMIFS('Awards Summary'!$H:$H,'Awards Summary'!$B:$B,$C99,'Awards Summary'!$J:$J,"OSC")</f>
        <v>0</v>
      </c>
      <c r="FM99" s="55">
        <f>SUMIFS('Disbursements Summary'!$E:$E,'Disbursements Summary'!$C:$C,$C99,'Disbursements Summary'!$A:$A,"OSC")</f>
        <v>0</v>
      </c>
      <c r="FN99" s="55">
        <f>SUMIFS('Awards Summary'!$H:$H,'Awards Summary'!$B:$B,$C99,'Awards Summary'!$J:$J,"OWIG")</f>
        <v>0</v>
      </c>
      <c r="FO99" s="55">
        <f>SUMIFS('Disbursements Summary'!$E:$E,'Disbursements Summary'!$C:$C,$C99,'Disbursements Summary'!$A:$A,"OWIG")</f>
        <v>0</v>
      </c>
      <c r="FP99" s="55">
        <f>SUMIFS('Awards Summary'!$H:$H,'Awards Summary'!$B:$B,$C99,'Awards Summary'!$J:$J,"OGDEN")</f>
        <v>0</v>
      </c>
      <c r="FQ99" s="55">
        <f>SUMIFS('Disbursements Summary'!$E:$E,'Disbursements Summary'!$C:$C,$C99,'Disbursements Summary'!$A:$A,"OGDEN")</f>
        <v>0</v>
      </c>
      <c r="FR99" s="55">
        <f>SUMIFS('Awards Summary'!$H:$H,'Awards Summary'!$B:$B,$C99,'Awards Summary'!$J:$J,"ORDA")</f>
        <v>0</v>
      </c>
      <c r="FS99" s="55">
        <f>SUMIFS('Disbursements Summary'!$E:$E,'Disbursements Summary'!$C:$C,$C99,'Disbursements Summary'!$A:$A,"ORDA")</f>
        <v>0</v>
      </c>
      <c r="FT99" s="55">
        <f>SUMIFS('Awards Summary'!$H:$H,'Awards Summary'!$B:$B,$C99,'Awards Summary'!$J:$J,"OSWEGO")</f>
        <v>0</v>
      </c>
      <c r="FU99" s="55">
        <f>SUMIFS('Disbursements Summary'!$E:$E,'Disbursements Summary'!$C:$C,$C99,'Disbursements Summary'!$A:$A,"OSWEGO")</f>
        <v>0</v>
      </c>
      <c r="FV99" s="55">
        <f>SUMIFS('Awards Summary'!$H:$H,'Awards Summary'!$B:$B,$C99,'Awards Summary'!$J:$J,"PERB")</f>
        <v>0</v>
      </c>
      <c r="FW99" s="55">
        <f>SUMIFS('Disbursements Summary'!$E:$E,'Disbursements Summary'!$C:$C,$C99,'Disbursements Summary'!$A:$A,"PERB")</f>
        <v>0</v>
      </c>
      <c r="FX99" s="55">
        <f>SUMIFS('Awards Summary'!$H:$H,'Awards Summary'!$B:$B,$C99,'Awards Summary'!$J:$J,"RGRTA")</f>
        <v>0</v>
      </c>
      <c r="FY99" s="55">
        <f>SUMIFS('Disbursements Summary'!$E:$E,'Disbursements Summary'!$C:$C,$C99,'Disbursements Summary'!$A:$A,"RGRTA")</f>
        <v>0</v>
      </c>
      <c r="FZ99" s="55">
        <f>SUMIFS('Awards Summary'!$H:$H,'Awards Summary'!$B:$B,$C99,'Awards Summary'!$J:$J,"RIOC")</f>
        <v>0</v>
      </c>
      <c r="GA99" s="55">
        <f>SUMIFS('Disbursements Summary'!$E:$E,'Disbursements Summary'!$C:$C,$C99,'Disbursements Summary'!$A:$A,"RIOC")</f>
        <v>0</v>
      </c>
      <c r="GB99" s="55">
        <f>SUMIFS('Awards Summary'!$H:$H,'Awards Summary'!$B:$B,$C99,'Awards Summary'!$J:$J,"RPCI")</f>
        <v>0</v>
      </c>
      <c r="GC99" s="55">
        <f>SUMIFS('Disbursements Summary'!$E:$E,'Disbursements Summary'!$C:$C,$C99,'Disbursements Summary'!$A:$A,"RPCI")</f>
        <v>0</v>
      </c>
      <c r="GD99" s="55">
        <f>SUMIFS('Awards Summary'!$H:$H,'Awards Summary'!$B:$B,$C99,'Awards Summary'!$J:$J,"SMDA")</f>
        <v>0</v>
      </c>
      <c r="GE99" s="55">
        <f>SUMIFS('Disbursements Summary'!$E:$E,'Disbursements Summary'!$C:$C,$C99,'Disbursements Summary'!$A:$A,"SMDA")</f>
        <v>0</v>
      </c>
      <c r="GF99" s="55">
        <f>SUMIFS('Awards Summary'!$H:$H,'Awards Summary'!$B:$B,$C99,'Awards Summary'!$J:$J,"SCOC")</f>
        <v>0</v>
      </c>
      <c r="GG99" s="55">
        <f>SUMIFS('Disbursements Summary'!$E:$E,'Disbursements Summary'!$C:$C,$C99,'Disbursements Summary'!$A:$A,"SCOC")</f>
        <v>0</v>
      </c>
      <c r="GH99" s="55">
        <f>SUMIFS('Awards Summary'!$H:$H,'Awards Summary'!$B:$B,$C99,'Awards Summary'!$J:$J,"SUCF")</f>
        <v>0</v>
      </c>
      <c r="GI99" s="55">
        <f>SUMIFS('Disbursements Summary'!$E:$E,'Disbursements Summary'!$C:$C,$C99,'Disbursements Summary'!$A:$A,"SUCF")</f>
        <v>0</v>
      </c>
      <c r="GJ99" s="55">
        <f>SUMIFS('Awards Summary'!$H:$H,'Awards Summary'!$B:$B,$C99,'Awards Summary'!$J:$J,"SUNY")</f>
        <v>0</v>
      </c>
      <c r="GK99" s="55">
        <f>SUMIFS('Disbursements Summary'!$E:$E,'Disbursements Summary'!$C:$C,$C99,'Disbursements Summary'!$A:$A,"SUNY")</f>
        <v>0</v>
      </c>
      <c r="GL99" s="55">
        <f>SUMIFS('Awards Summary'!$H:$H,'Awards Summary'!$B:$B,$C99,'Awards Summary'!$J:$J,"SRAA")</f>
        <v>0</v>
      </c>
      <c r="GM99" s="55">
        <f>SUMIFS('Disbursements Summary'!$E:$E,'Disbursements Summary'!$C:$C,$C99,'Disbursements Summary'!$A:$A,"SRAA")</f>
        <v>0</v>
      </c>
      <c r="GN99" s="55">
        <f>SUMIFS('Awards Summary'!$H:$H,'Awards Summary'!$B:$B,$C99,'Awards Summary'!$J:$J,"UNDC")</f>
        <v>0</v>
      </c>
      <c r="GO99" s="55">
        <f>SUMIFS('Disbursements Summary'!$E:$E,'Disbursements Summary'!$C:$C,$C99,'Disbursements Summary'!$A:$A,"UNDC")</f>
        <v>0</v>
      </c>
      <c r="GP99" s="55">
        <f>SUMIFS('Awards Summary'!$H:$H,'Awards Summary'!$B:$B,$C99,'Awards Summary'!$J:$J,"MVWA")</f>
        <v>0</v>
      </c>
      <c r="GQ99" s="55">
        <f>SUMIFS('Disbursements Summary'!$E:$E,'Disbursements Summary'!$C:$C,$C99,'Disbursements Summary'!$A:$A,"MVWA")</f>
        <v>0</v>
      </c>
      <c r="GR99" s="55">
        <f>SUMIFS('Awards Summary'!$H:$H,'Awards Summary'!$B:$B,$C99,'Awards Summary'!$J:$J,"WMC")</f>
        <v>0</v>
      </c>
      <c r="GS99" s="55">
        <f>SUMIFS('Disbursements Summary'!$E:$E,'Disbursements Summary'!$C:$C,$C99,'Disbursements Summary'!$A:$A,"WMC")</f>
        <v>0</v>
      </c>
      <c r="GT99" s="55">
        <f>SUMIFS('Awards Summary'!$H:$H,'Awards Summary'!$B:$B,$C99,'Awards Summary'!$J:$J,"WCB")</f>
        <v>0</v>
      </c>
      <c r="GU99" s="55">
        <f>SUMIFS('Disbursements Summary'!$E:$E,'Disbursements Summary'!$C:$C,$C99,'Disbursements Summary'!$A:$A,"WCB")</f>
        <v>0</v>
      </c>
      <c r="GV99" s="32">
        <f t="shared" si="10"/>
        <v>0</v>
      </c>
      <c r="GW99" s="32">
        <f t="shared" si="11"/>
        <v>0</v>
      </c>
      <c r="GX99" s="30" t="b">
        <f t="shared" si="12"/>
        <v>1</v>
      </c>
      <c r="GY99" s="30" t="b">
        <f t="shared" si="13"/>
        <v>1</v>
      </c>
    </row>
    <row r="100" spans="1:207" s="30" customFormat="1">
      <c r="A100" s="22" t="str">
        <f t="shared" si="9"/>
        <v/>
      </c>
      <c r="B100" s="40" t="s">
        <v>214</v>
      </c>
      <c r="C100" s="16">
        <v>151218</v>
      </c>
      <c r="D100" s="26">
        <f>COUNTIF('Awards Summary'!B:B,"151218")</f>
        <v>0</v>
      </c>
      <c r="E100" s="45">
        <f>SUMIFS('Awards Summary'!H:H,'Awards Summary'!B:B,"151218")</f>
        <v>0</v>
      </c>
      <c r="F100" s="46">
        <f>SUMIFS('Disbursements Summary'!E:E,'Disbursements Summary'!C:C, "151218")</f>
        <v>0</v>
      </c>
      <c r="H100" s="55">
        <f>SUMIFS('Awards Summary'!$H:$H,'Awards Summary'!$B:$B,$C100,'Awards Summary'!$J:$J,"APA")</f>
        <v>0</v>
      </c>
      <c r="I100" s="55">
        <f>SUMIFS('Disbursements Summary'!$E:$E,'Disbursements Summary'!$C:$C,$C100,'Disbursements Summary'!$A:$A,"APA")</f>
        <v>0</v>
      </c>
      <c r="J100" s="55">
        <f>SUMIFS('Awards Summary'!$H:$H,'Awards Summary'!$B:$B,$C100,'Awards Summary'!$J:$J,"Ag&amp;Horse")</f>
        <v>0</v>
      </c>
      <c r="K100" s="55">
        <f>SUMIFS('Disbursements Summary'!$E:$E,'Disbursements Summary'!$C:$C,$C100,'Disbursements Summary'!$A:$A,"Ag&amp;Horse")</f>
        <v>0</v>
      </c>
      <c r="L100" s="55">
        <f>SUMIFS('Awards Summary'!$H:$H,'Awards Summary'!$B:$B,$C100,'Awards Summary'!$J:$J,"ACAA")</f>
        <v>0</v>
      </c>
      <c r="M100" s="55">
        <f>SUMIFS('Disbursements Summary'!$E:$E,'Disbursements Summary'!$C:$C,$C100,'Disbursements Summary'!$A:$A,"ACAA")</f>
        <v>0</v>
      </c>
      <c r="N100" s="55">
        <f>SUMIFS('Awards Summary'!$H:$H,'Awards Summary'!$B:$B,$C100,'Awards Summary'!$J:$J,"PortAlbany")</f>
        <v>0</v>
      </c>
      <c r="O100" s="55">
        <f>SUMIFS('Disbursements Summary'!$E:$E,'Disbursements Summary'!$C:$C,$C100,'Disbursements Summary'!$A:$A,"PortAlbany")</f>
        <v>0</v>
      </c>
      <c r="P100" s="55">
        <f>SUMIFS('Awards Summary'!$H:$H,'Awards Summary'!$B:$B,$C100,'Awards Summary'!$J:$J,"SLA")</f>
        <v>0</v>
      </c>
      <c r="Q100" s="55">
        <f>SUMIFS('Disbursements Summary'!$E:$E,'Disbursements Summary'!$C:$C,$C100,'Disbursements Summary'!$A:$A,"SLA")</f>
        <v>0</v>
      </c>
      <c r="R100" s="55">
        <f>SUMIFS('Awards Summary'!$H:$H,'Awards Summary'!$B:$B,$C100,'Awards Summary'!$J:$J,"BPCA")</f>
        <v>0</v>
      </c>
      <c r="S100" s="55">
        <f>SUMIFS('Disbursements Summary'!$E:$E,'Disbursements Summary'!$C:$C,$C100,'Disbursements Summary'!$A:$A,"BPCA")</f>
        <v>0</v>
      </c>
      <c r="T100" s="55">
        <f>SUMIFS('Awards Summary'!$H:$H,'Awards Summary'!$B:$B,$C100,'Awards Summary'!$J:$J,"ELECTIONS")</f>
        <v>0</v>
      </c>
      <c r="U100" s="55">
        <f>SUMIFS('Disbursements Summary'!$E:$E,'Disbursements Summary'!$C:$C,$C100,'Disbursements Summary'!$A:$A,"ELECTIONS")</f>
        <v>0</v>
      </c>
      <c r="V100" s="55">
        <f>SUMIFS('Awards Summary'!$H:$H,'Awards Summary'!$B:$B,$C100,'Awards Summary'!$J:$J,"BFSA")</f>
        <v>0</v>
      </c>
      <c r="W100" s="55">
        <f>SUMIFS('Disbursements Summary'!$E:$E,'Disbursements Summary'!$C:$C,$C100,'Disbursements Summary'!$A:$A,"BFSA")</f>
        <v>0</v>
      </c>
      <c r="X100" s="55">
        <f>SUMIFS('Awards Summary'!$H:$H,'Awards Summary'!$B:$B,$C100,'Awards Summary'!$J:$J,"CDTA")</f>
        <v>0</v>
      </c>
      <c r="Y100" s="55">
        <f>SUMIFS('Disbursements Summary'!$E:$E,'Disbursements Summary'!$C:$C,$C100,'Disbursements Summary'!$A:$A,"CDTA")</f>
        <v>0</v>
      </c>
      <c r="Z100" s="55">
        <f>SUMIFS('Awards Summary'!$H:$H,'Awards Summary'!$B:$B,$C100,'Awards Summary'!$J:$J,"CCWSA")</f>
        <v>0</v>
      </c>
      <c r="AA100" s="55">
        <f>SUMIFS('Disbursements Summary'!$E:$E,'Disbursements Summary'!$C:$C,$C100,'Disbursements Summary'!$A:$A,"CCWSA")</f>
        <v>0</v>
      </c>
      <c r="AB100" s="55">
        <f>SUMIFS('Awards Summary'!$H:$H,'Awards Summary'!$B:$B,$C100,'Awards Summary'!$J:$J,"CNYRTA")</f>
        <v>0</v>
      </c>
      <c r="AC100" s="55">
        <f>SUMIFS('Disbursements Summary'!$E:$E,'Disbursements Summary'!$C:$C,$C100,'Disbursements Summary'!$A:$A,"CNYRTA")</f>
        <v>0</v>
      </c>
      <c r="AD100" s="55">
        <f>SUMIFS('Awards Summary'!$H:$H,'Awards Summary'!$B:$B,$C100,'Awards Summary'!$J:$J,"CUCF")</f>
        <v>0</v>
      </c>
      <c r="AE100" s="55">
        <f>SUMIFS('Disbursements Summary'!$E:$E,'Disbursements Summary'!$C:$C,$C100,'Disbursements Summary'!$A:$A,"CUCF")</f>
        <v>0</v>
      </c>
      <c r="AF100" s="55">
        <f>SUMIFS('Awards Summary'!$H:$H,'Awards Summary'!$B:$B,$C100,'Awards Summary'!$J:$J,"CUNY")</f>
        <v>0</v>
      </c>
      <c r="AG100" s="55">
        <f>SUMIFS('Disbursements Summary'!$E:$E,'Disbursements Summary'!$C:$C,$C100,'Disbursements Summary'!$A:$A,"CUNY")</f>
        <v>0</v>
      </c>
      <c r="AH100" s="55">
        <f>SUMIFS('Awards Summary'!$H:$H,'Awards Summary'!$B:$B,$C100,'Awards Summary'!$J:$J,"ARTS")</f>
        <v>0</v>
      </c>
      <c r="AI100" s="55">
        <f>SUMIFS('Disbursements Summary'!$E:$E,'Disbursements Summary'!$C:$C,$C100,'Disbursements Summary'!$A:$A,"ARTS")</f>
        <v>0</v>
      </c>
      <c r="AJ100" s="55">
        <f>SUMIFS('Awards Summary'!$H:$H,'Awards Summary'!$B:$B,$C100,'Awards Summary'!$J:$J,"AG&amp;MKTS")</f>
        <v>0</v>
      </c>
      <c r="AK100" s="55">
        <f>SUMIFS('Disbursements Summary'!$E:$E,'Disbursements Summary'!$C:$C,$C100,'Disbursements Summary'!$A:$A,"AG&amp;MKTS")</f>
        <v>0</v>
      </c>
      <c r="AL100" s="55">
        <f>SUMIFS('Awards Summary'!$H:$H,'Awards Summary'!$B:$B,$C100,'Awards Summary'!$J:$J,"CS")</f>
        <v>0</v>
      </c>
      <c r="AM100" s="55">
        <f>SUMIFS('Disbursements Summary'!$E:$E,'Disbursements Summary'!$C:$C,$C100,'Disbursements Summary'!$A:$A,"CS")</f>
        <v>0</v>
      </c>
      <c r="AN100" s="55">
        <f>SUMIFS('Awards Summary'!$H:$H,'Awards Summary'!$B:$B,$C100,'Awards Summary'!$J:$J,"DOCCS")</f>
        <v>0</v>
      </c>
      <c r="AO100" s="55">
        <f>SUMIFS('Disbursements Summary'!$E:$E,'Disbursements Summary'!$C:$C,$C100,'Disbursements Summary'!$A:$A,"DOCCS")</f>
        <v>0</v>
      </c>
      <c r="AP100" s="55">
        <f>SUMIFS('Awards Summary'!$H:$H,'Awards Summary'!$B:$B,$C100,'Awards Summary'!$J:$J,"DED")</f>
        <v>0</v>
      </c>
      <c r="AQ100" s="55">
        <f>SUMIFS('Disbursements Summary'!$E:$E,'Disbursements Summary'!$C:$C,$C100,'Disbursements Summary'!$A:$A,"DED")</f>
        <v>0</v>
      </c>
      <c r="AR100" s="55">
        <f>SUMIFS('Awards Summary'!$H:$H,'Awards Summary'!$B:$B,$C100,'Awards Summary'!$J:$J,"DEC")</f>
        <v>0</v>
      </c>
      <c r="AS100" s="55">
        <f>SUMIFS('Disbursements Summary'!$E:$E,'Disbursements Summary'!$C:$C,$C100,'Disbursements Summary'!$A:$A,"DEC")</f>
        <v>0</v>
      </c>
      <c r="AT100" s="55">
        <f>SUMIFS('Awards Summary'!$H:$H,'Awards Summary'!$B:$B,$C100,'Awards Summary'!$J:$J,"DFS")</f>
        <v>0</v>
      </c>
      <c r="AU100" s="55">
        <f>SUMIFS('Disbursements Summary'!$E:$E,'Disbursements Summary'!$C:$C,$C100,'Disbursements Summary'!$A:$A,"DFS")</f>
        <v>0</v>
      </c>
      <c r="AV100" s="55">
        <f>SUMIFS('Awards Summary'!$H:$H,'Awards Summary'!$B:$B,$C100,'Awards Summary'!$J:$J,"DOH")</f>
        <v>0</v>
      </c>
      <c r="AW100" s="55">
        <f>SUMIFS('Disbursements Summary'!$E:$E,'Disbursements Summary'!$C:$C,$C100,'Disbursements Summary'!$A:$A,"DOH")</f>
        <v>0</v>
      </c>
      <c r="AX100" s="55">
        <f>SUMIFS('Awards Summary'!$H:$H,'Awards Summary'!$B:$B,$C100,'Awards Summary'!$J:$J,"DOL")</f>
        <v>0</v>
      </c>
      <c r="AY100" s="55">
        <f>SUMIFS('Disbursements Summary'!$E:$E,'Disbursements Summary'!$C:$C,$C100,'Disbursements Summary'!$A:$A,"DOL")</f>
        <v>0</v>
      </c>
      <c r="AZ100" s="55">
        <f>SUMIFS('Awards Summary'!$H:$H,'Awards Summary'!$B:$B,$C100,'Awards Summary'!$J:$J,"DMV")</f>
        <v>0</v>
      </c>
      <c r="BA100" s="55">
        <f>SUMIFS('Disbursements Summary'!$E:$E,'Disbursements Summary'!$C:$C,$C100,'Disbursements Summary'!$A:$A,"DMV")</f>
        <v>0</v>
      </c>
      <c r="BB100" s="55">
        <f>SUMIFS('Awards Summary'!$H:$H,'Awards Summary'!$B:$B,$C100,'Awards Summary'!$J:$J,"DPS")</f>
        <v>0</v>
      </c>
      <c r="BC100" s="55">
        <f>SUMIFS('Disbursements Summary'!$E:$E,'Disbursements Summary'!$C:$C,$C100,'Disbursements Summary'!$A:$A,"DPS")</f>
        <v>0</v>
      </c>
      <c r="BD100" s="55">
        <f>SUMIFS('Awards Summary'!$H:$H,'Awards Summary'!$B:$B,$C100,'Awards Summary'!$J:$J,"DOS")</f>
        <v>0</v>
      </c>
      <c r="BE100" s="55">
        <f>SUMIFS('Disbursements Summary'!$E:$E,'Disbursements Summary'!$C:$C,$C100,'Disbursements Summary'!$A:$A,"DOS")</f>
        <v>0</v>
      </c>
      <c r="BF100" s="55">
        <f>SUMIFS('Awards Summary'!$H:$H,'Awards Summary'!$B:$B,$C100,'Awards Summary'!$J:$J,"TAX")</f>
        <v>0</v>
      </c>
      <c r="BG100" s="55">
        <f>SUMIFS('Disbursements Summary'!$E:$E,'Disbursements Summary'!$C:$C,$C100,'Disbursements Summary'!$A:$A,"TAX")</f>
        <v>0</v>
      </c>
      <c r="BH100" s="55">
        <f>SUMIFS('Awards Summary'!$H:$H,'Awards Summary'!$B:$B,$C100,'Awards Summary'!$J:$J,"DOT")</f>
        <v>0</v>
      </c>
      <c r="BI100" s="55">
        <f>SUMIFS('Disbursements Summary'!$E:$E,'Disbursements Summary'!$C:$C,$C100,'Disbursements Summary'!$A:$A,"DOT")</f>
        <v>0</v>
      </c>
      <c r="BJ100" s="55">
        <f>SUMIFS('Awards Summary'!$H:$H,'Awards Summary'!$B:$B,$C100,'Awards Summary'!$J:$J,"DANC")</f>
        <v>0</v>
      </c>
      <c r="BK100" s="55">
        <f>SUMIFS('Disbursements Summary'!$E:$E,'Disbursements Summary'!$C:$C,$C100,'Disbursements Summary'!$A:$A,"DANC")</f>
        <v>0</v>
      </c>
      <c r="BL100" s="55">
        <f>SUMIFS('Awards Summary'!$H:$H,'Awards Summary'!$B:$B,$C100,'Awards Summary'!$J:$J,"DOB")</f>
        <v>0</v>
      </c>
      <c r="BM100" s="55">
        <f>SUMIFS('Disbursements Summary'!$E:$E,'Disbursements Summary'!$C:$C,$C100,'Disbursements Summary'!$A:$A,"DOB")</f>
        <v>0</v>
      </c>
      <c r="BN100" s="55">
        <f>SUMIFS('Awards Summary'!$H:$H,'Awards Summary'!$B:$B,$C100,'Awards Summary'!$J:$J,"DCJS")</f>
        <v>0</v>
      </c>
      <c r="BO100" s="55">
        <f>SUMIFS('Disbursements Summary'!$E:$E,'Disbursements Summary'!$C:$C,$C100,'Disbursements Summary'!$A:$A,"DCJS")</f>
        <v>0</v>
      </c>
      <c r="BP100" s="55">
        <f>SUMIFS('Awards Summary'!$H:$H,'Awards Summary'!$B:$B,$C100,'Awards Summary'!$J:$J,"DHSES")</f>
        <v>0</v>
      </c>
      <c r="BQ100" s="55">
        <f>SUMIFS('Disbursements Summary'!$E:$E,'Disbursements Summary'!$C:$C,$C100,'Disbursements Summary'!$A:$A,"DHSES")</f>
        <v>0</v>
      </c>
      <c r="BR100" s="55">
        <f>SUMIFS('Awards Summary'!$H:$H,'Awards Summary'!$B:$B,$C100,'Awards Summary'!$J:$J,"DHR")</f>
        <v>0</v>
      </c>
      <c r="BS100" s="55">
        <f>SUMIFS('Disbursements Summary'!$E:$E,'Disbursements Summary'!$C:$C,$C100,'Disbursements Summary'!$A:$A,"DHR")</f>
        <v>0</v>
      </c>
      <c r="BT100" s="55">
        <f>SUMIFS('Awards Summary'!$H:$H,'Awards Summary'!$B:$B,$C100,'Awards Summary'!$J:$J,"DMNA")</f>
        <v>0</v>
      </c>
      <c r="BU100" s="55">
        <f>SUMIFS('Disbursements Summary'!$E:$E,'Disbursements Summary'!$C:$C,$C100,'Disbursements Summary'!$A:$A,"DMNA")</f>
        <v>0</v>
      </c>
      <c r="BV100" s="55">
        <f>SUMIFS('Awards Summary'!$H:$H,'Awards Summary'!$B:$B,$C100,'Awards Summary'!$J:$J,"TROOPERS")</f>
        <v>0</v>
      </c>
      <c r="BW100" s="55">
        <f>SUMIFS('Disbursements Summary'!$E:$E,'Disbursements Summary'!$C:$C,$C100,'Disbursements Summary'!$A:$A,"TROOPERS")</f>
        <v>0</v>
      </c>
      <c r="BX100" s="55">
        <f>SUMIFS('Awards Summary'!$H:$H,'Awards Summary'!$B:$B,$C100,'Awards Summary'!$J:$J,"DVA")</f>
        <v>0</v>
      </c>
      <c r="BY100" s="55">
        <f>SUMIFS('Disbursements Summary'!$E:$E,'Disbursements Summary'!$C:$C,$C100,'Disbursements Summary'!$A:$A,"DVA")</f>
        <v>0</v>
      </c>
      <c r="BZ100" s="55">
        <f>SUMIFS('Awards Summary'!$H:$H,'Awards Summary'!$B:$B,$C100,'Awards Summary'!$J:$J,"DASNY")</f>
        <v>0</v>
      </c>
      <c r="CA100" s="55">
        <f>SUMIFS('Disbursements Summary'!$E:$E,'Disbursements Summary'!$C:$C,$C100,'Disbursements Summary'!$A:$A,"DASNY")</f>
        <v>0</v>
      </c>
      <c r="CB100" s="55">
        <f>SUMIFS('Awards Summary'!$H:$H,'Awards Summary'!$B:$B,$C100,'Awards Summary'!$J:$J,"EGG")</f>
        <v>0</v>
      </c>
      <c r="CC100" s="55">
        <f>SUMIFS('Disbursements Summary'!$E:$E,'Disbursements Summary'!$C:$C,$C100,'Disbursements Summary'!$A:$A,"EGG")</f>
        <v>0</v>
      </c>
      <c r="CD100" s="55">
        <f>SUMIFS('Awards Summary'!$H:$H,'Awards Summary'!$B:$B,$C100,'Awards Summary'!$J:$J,"ESD")</f>
        <v>0</v>
      </c>
      <c r="CE100" s="55">
        <f>SUMIFS('Disbursements Summary'!$E:$E,'Disbursements Summary'!$C:$C,$C100,'Disbursements Summary'!$A:$A,"ESD")</f>
        <v>0</v>
      </c>
      <c r="CF100" s="55">
        <f>SUMIFS('Awards Summary'!$H:$H,'Awards Summary'!$B:$B,$C100,'Awards Summary'!$J:$J,"EFC")</f>
        <v>0</v>
      </c>
      <c r="CG100" s="55">
        <f>SUMIFS('Disbursements Summary'!$E:$E,'Disbursements Summary'!$C:$C,$C100,'Disbursements Summary'!$A:$A,"EFC")</f>
        <v>0</v>
      </c>
      <c r="CH100" s="55">
        <f>SUMIFS('Awards Summary'!$H:$H,'Awards Summary'!$B:$B,$C100,'Awards Summary'!$J:$J,"ECFSA")</f>
        <v>0</v>
      </c>
      <c r="CI100" s="55">
        <f>SUMIFS('Disbursements Summary'!$E:$E,'Disbursements Summary'!$C:$C,$C100,'Disbursements Summary'!$A:$A,"ECFSA")</f>
        <v>0</v>
      </c>
      <c r="CJ100" s="55">
        <f>SUMIFS('Awards Summary'!$H:$H,'Awards Summary'!$B:$B,$C100,'Awards Summary'!$J:$J,"ECMC")</f>
        <v>0</v>
      </c>
      <c r="CK100" s="55">
        <f>SUMIFS('Disbursements Summary'!$E:$E,'Disbursements Summary'!$C:$C,$C100,'Disbursements Summary'!$A:$A,"ECMC")</f>
        <v>0</v>
      </c>
      <c r="CL100" s="55">
        <f>SUMIFS('Awards Summary'!$H:$H,'Awards Summary'!$B:$B,$C100,'Awards Summary'!$J:$J,"CHAMBER")</f>
        <v>0</v>
      </c>
      <c r="CM100" s="55">
        <f>SUMIFS('Disbursements Summary'!$E:$E,'Disbursements Summary'!$C:$C,$C100,'Disbursements Summary'!$A:$A,"CHAMBER")</f>
        <v>0</v>
      </c>
      <c r="CN100" s="55">
        <f>SUMIFS('Awards Summary'!$H:$H,'Awards Summary'!$B:$B,$C100,'Awards Summary'!$J:$J,"GAMING")</f>
        <v>0</v>
      </c>
      <c r="CO100" s="55">
        <f>SUMIFS('Disbursements Summary'!$E:$E,'Disbursements Summary'!$C:$C,$C100,'Disbursements Summary'!$A:$A,"GAMING")</f>
        <v>0</v>
      </c>
      <c r="CP100" s="55">
        <f>SUMIFS('Awards Summary'!$H:$H,'Awards Summary'!$B:$B,$C100,'Awards Summary'!$J:$J,"GOER")</f>
        <v>0</v>
      </c>
      <c r="CQ100" s="55">
        <f>SUMIFS('Disbursements Summary'!$E:$E,'Disbursements Summary'!$C:$C,$C100,'Disbursements Summary'!$A:$A,"GOER")</f>
        <v>0</v>
      </c>
      <c r="CR100" s="55">
        <f>SUMIFS('Awards Summary'!$H:$H,'Awards Summary'!$B:$B,$C100,'Awards Summary'!$J:$J,"HESC")</f>
        <v>0</v>
      </c>
      <c r="CS100" s="55">
        <f>SUMIFS('Disbursements Summary'!$E:$E,'Disbursements Summary'!$C:$C,$C100,'Disbursements Summary'!$A:$A,"HESC")</f>
        <v>0</v>
      </c>
      <c r="CT100" s="55">
        <f>SUMIFS('Awards Summary'!$H:$H,'Awards Summary'!$B:$B,$C100,'Awards Summary'!$J:$J,"GOSR")</f>
        <v>0</v>
      </c>
      <c r="CU100" s="55">
        <f>SUMIFS('Disbursements Summary'!$E:$E,'Disbursements Summary'!$C:$C,$C100,'Disbursements Summary'!$A:$A,"GOSR")</f>
        <v>0</v>
      </c>
      <c r="CV100" s="55">
        <f>SUMIFS('Awards Summary'!$H:$H,'Awards Summary'!$B:$B,$C100,'Awards Summary'!$J:$J,"HRPT")</f>
        <v>0</v>
      </c>
      <c r="CW100" s="55">
        <f>SUMIFS('Disbursements Summary'!$E:$E,'Disbursements Summary'!$C:$C,$C100,'Disbursements Summary'!$A:$A,"HRPT")</f>
        <v>0</v>
      </c>
      <c r="CX100" s="55">
        <f>SUMIFS('Awards Summary'!$H:$H,'Awards Summary'!$B:$B,$C100,'Awards Summary'!$J:$J,"HRBRRD")</f>
        <v>0</v>
      </c>
      <c r="CY100" s="55">
        <f>SUMIFS('Disbursements Summary'!$E:$E,'Disbursements Summary'!$C:$C,$C100,'Disbursements Summary'!$A:$A,"HRBRRD")</f>
        <v>0</v>
      </c>
      <c r="CZ100" s="55">
        <f>SUMIFS('Awards Summary'!$H:$H,'Awards Summary'!$B:$B,$C100,'Awards Summary'!$J:$J,"ITS")</f>
        <v>0</v>
      </c>
      <c r="DA100" s="55">
        <f>SUMIFS('Disbursements Summary'!$E:$E,'Disbursements Summary'!$C:$C,$C100,'Disbursements Summary'!$A:$A,"ITS")</f>
        <v>0</v>
      </c>
      <c r="DB100" s="55">
        <f>SUMIFS('Awards Summary'!$H:$H,'Awards Summary'!$B:$B,$C100,'Awards Summary'!$J:$J,"JAVITS")</f>
        <v>0</v>
      </c>
      <c r="DC100" s="55">
        <f>SUMIFS('Disbursements Summary'!$E:$E,'Disbursements Summary'!$C:$C,$C100,'Disbursements Summary'!$A:$A,"JAVITS")</f>
        <v>0</v>
      </c>
      <c r="DD100" s="55">
        <f>SUMIFS('Awards Summary'!$H:$H,'Awards Summary'!$B:$B,$C100,'Awards Summary'!$J:$J,"JCOPE")</f>
        <v>0</v>
      </c>
      <c r="DE100" s="55">
        <f>SUMIFS('Disbursements Summary'!$E:$E,'Disbursements Summary'!$C:$C,$C100,'Disbursements Summary'!$A:$A,"JCOPE")</f>
        <v>0</v>
      </c>
      <c r="DF100" s="55">
        <f>SUMIFS('Awards Summary'!$H:$H,'Awards Summary'!$B:$B,$C100,'Awards Summary'!$J:$J,"JUSTICE")</f>
        <v>0</v>
      </c>
      <c r="DG100" s="55">
        <f>SUMIFS('Disbursements Summary'!$E:$E,'Disbursements Summary'!$C:$C,$C100,'Disbursements Summary'!$A:$A,"JUSTICE")</f>
        <v>0</v>
      </c>
      <c r="DH100" s="55">
        <f>SUMIFS('Awards Summary'!$H:$H,'Awards Summary'!$B:$B,$C100,'Awards Summary'!$J:$J,"LCWSA")</f>
        <v>0</v>
      </c>
      <c r="DI100" s="55">
        <f>SUMIFS('Disbursements Summary'!$E:$E,'Disbursements Summary'!$C:$C,$C100,'Disbursements Summary'!$A:$A,"LCWSA")</f>
        <v>0</v>
      </c>
      <c r="DJ100" s="55">
        <f>SUMIFS('Awards Summary'!$H:$H,'Awards Summary'!$B:$B,$C100,'Awards Summary'!$J:$J,"LIPA")</f>
        <v>0</v>
      </c>
      <c r="DK100" s="55">
        <f>SUMIFS('Disbursements Summary'!$E:$E,'Disbursements Summary'!$C:$C,$C100,'Disbursements Summary'!$A:$A,"LIPA")</f>
        <v>0</v>
      </c>
      <c r="DL100" s="55">
        <f>SUMIFS('Awards Summary'!$H:$H,'Awards Summary'!$B:$B,$C100,'Awards Summary'!$J:$J,"MTA")</f>
        <v>0</v>
      </c>
      <c r="DM100" s="55">
        <f>SUMIFS('Disbursements Summary'!$E:$E,'Disbursements Summary'!$C:$C,$C100,'Disbursements Summary'!$A:$A,"MTA")</f>
        <v>0</v>
      </c>
      <c r="DN100" s="55">
        <f>SUMIFS('Awards Summary'!$H:$H,'Awards Summary'!$B:$B,$C100,'Awards Summary'!$J:$J,"NIFA")</f>
        <v>0</v>
      </c>
      <c r="DO100" s="55">
        <f>SUMIFS('Disbursements Summary'!$E:$E,'Disbursements Summary'!$C:$C,$C100,'Disbursements Summary'!$A:$A,"NIFA")</f>
        <v>0</v>
      </c>
      <c r="DP100" s="55">
        <f>SUMIFS('Awards Summary'!$H:$H,'Awards Summary'!$B:$B,$C100,'Awards Summary'!$J:$J,"NHCC")</f>
        <v>0</v>
      </c>
      <c r="DQ100" s="55">
        <f>SUMIFS('Disbursements Summary'!$E:$E,'Disbursements Summary'!$C:$C,$C100,'Disbursements Summary'!$A:$A,"NHCC")</f>
        <v>0</v>
      </c>
      <c r="DR100" s="55">
        <f>SUMIFS('Awards Summary'!$H:$H,'Awards Summary'!$B:$B,$C100,'Awards Summary'!$J:$J,"NHT")</f>
        <v>0</v>
      </c>
      <c r="DS100" s="55">
        <f>SUMIFS('Disbursements Summary'!$E:$E,'Disbursements Summary'!$C:$C,$C100,'Disbursements Summary'!$A:$A,"NHT")</f>
        <v>0</v>
      </c>
      <c r="DT100" s="55">
        <f>SUMIFS('Awards Summary'!$H:$H,'Awards Summary'!$B:$B,$C100,'Awards Summary'!$J:$J,"NYPA")</f>
        <v>0</v>
      </c>
      <c r="DU100" s="55">
        <f>SUMIFS('Disbursements Summary'!$E:$E,'Disbursements Summary'!$C:$C,$C100,'Disbursements Summary'!$A:$A,"NYPA")</f>
        <v>0</v>
      </c>
      <c r="DV100" s="55">
        <f>SUMIFS('Awards Summary'!$H:$H,'Awards Summary'!$B:$B,$C100,'Awards Summary'!$J:$J,"NYSBA")</f>
        <v>0</v>
      </c>
      <c r="DW100" s="55">
        <f>SUMIFS('Disbursements Summary'!$E:$E,'Disbursements Summary'!$C:$C,$C100,'Disbursements Summary'!$A:$A,"NYSBA")</f>
        <v>0</v>
      </c>
      <c r="DX100" s="55">
        <f>SUMIFS('Awards Summary'!$H:$H,'Awards Summary'!$B:$B,$C100,'Awards Summary'!$J:$J,"NYSERDA")</f>
        <v>0</v>
      </c>
      <c r="DY100" s="55">
        <f>SUMIFS('Disbursements Summary'!$E:$E,'Disbursements Summary'!$C:$C,$C100,'Disbursements Summary'!$A:$A,"NYSERDA")</f>
        <v>0</v>
      </c>
      <c r="DZ100" s="55">
        <f>SUMIFS('Awards Summary'!$H:$H,'Awards Summary'!$B:$B,$C100,'Awards Summary'!$J:$J,"DHCR")</f>
        <v>0</v>
      </c>
      <c r="EA100" s="55">
        <f>SUMIFS('Disbursements Summary'!$E:$E,'Disbursements Summary'!$C:$C,$C100,'Disbursements Summary'!$A:$A,"DHCR")</f>
        <v>0</v>
      </c>
      <c r="EB100" s="55">
        <f>SUMIFS('Awards Summary'!$H:$H,'Awards Summary'!$B:$B,$C100,'Awards Summary'!$J:$J,"HFA")</f>
        <v>0</v>
      </c>
      <c r="EC100" s="55">
        <f>SUMIFS('Disbursements Summary'!$E:$E,'Disbursements Summary'!$C:$C,$C100,'Disbursements Summary'!$A:$A,"HFA")</f>
        <v>0</v>
      </c>
      <c r="ED100" s="55">
        <f>SUMIFS('Awards Summary'!$H:$H,'Awards Summary'!$B:$B,$C100,'Awards Summary'!$J:$J,"NYSIF")</f>
        <v>0</v>
      </c>
      <c r="EE100" s="55">
        <f>SUMIFS('Disbursements Summary'!$E:$E,'Disbursements Summary'!$C:$C,$C100,'Disbursements Summary'!$A:$A,"NYSIF")</f>
        <v>0</v>
      </c>
      <c r="EF100" s="55">
        <f>SUMIFS('Awards Summary'!$H:$H,'Awards Summary'!$B:$B,$C100,'Awards Summary'!$J:$J,"NYBREDS")</f>
        <v>0</v>
      </c>
      <c r="EG100" s="55">
        <f>SUMIFS('Disbursements Summary'!$E:$E,'Disbursements Summary'!$C:$C,$C100,'Disbursements Summary'!$A:$A,"NYBREDS")</f>
        <v>0</v>
      </c>
      <c r="EH100" s="55">
        <f>SUMIFS('Awards Summary'!$H:$H,'Awards Summary'!$B:$B,$C100,'Awards Summary'!$J:$J,"NYSTA")</f>
        <v>0</v>
      </c>
      <c r="EI100" s="55">
        <f>SUMIFS('Disbursements Summary'!$E:$E,'Disbursements Summary'!$C:$C,$C100,'Disbursements Summary'!$A:$A,"NYSTA")</f>
        <v>0</v>
      </c>
      <c r="EJ100" s="55">
        <f>SUMIFS('Awards Summary'!$H:$H,'Awards Summary'!$B:$B,$C100,'Awards Summary'!$J:$J,"NFWB")</f>
        <v>0</v>
      </c>
      <c r="EK100" s="55">
        <f>SUMIFS('Disbursements Summary'!$E:$E,'Disbursements Summary'!$C:$C,$C100,'Disbursements Summary'!$A:$A,"NFWB")</f>
        <v>0</v>
      </c>
      <c r="EL100" s="55">
        <f>SUMIFS('Awards Summary'!$H:$H,'Awards Summary'!$B:$B,$C100,'Awards Summary'!$J:$J,"NFTA")</f>
        <v>0</v>
      </c>
      <c r="EM100" s="55">
        <f>SUMIFS('Disbursements Summary'!$E:$E,'Disbursements Summary'!$C:$C,$C100,'Disbursements Summary'!$A:$A,"NFTA")</f>
        <v>0</v>
      </c>
      <c r="EN100" s="55">
        <f>SUMIFS('Awards Summary'!$H:$H,'Awards Summary'!$B:$B,$C100,'Awards Summary'!$J:$J,"OPWDD")</f>
        <v>0</v>
      </c>
      <c r="EO100" s="55">
        <f>SUMIFS('Disbursements Summary'!$E:$E,'Disbursements Summary'!$C:$C,$C100,'Disbursements Summary'!$A:$A,"OPWDD")</f>
        <v>0</v>
      </c>
      <c r="EP100" s="55">
        <f>SUMIFS('Awards Summary'!$H:$H,'Awards Summary'!$B:$B,$C100,'Awards Summary'!$J:$J,"AGING")</f>
        <v>0</v>
      </c>
      <c r="EQ100" s="55">
        <f>SUMIFS('Disbursements Summary'!$E:$E,'Disbursements Summary'!$C:$C,$C100,'Disbursements Summary'!$A:$A,"AGING")</f>
        <v>0</v>
      </c>
      <c r="ER100" s="55">
        <f>SUMIFS('Awards Summary'!$H:$H,'Awards Summary'!$B:$B,$C100,'Awards Summary'!$J:$J,"OPDV")</f>
        <v>0</v>
      </c>
      <c r="ES100" s="55">
        <f>SUMIFS('Disbursements Summary'!$E:$E,'Disbursements Summary'!$C:$C,$C100,'Disbursements Summary'!$A:$A,"OPDV")</f>
        <v>0</v>
      </c>
      <c r="ET100" s="55">
        <f>SUMIFS('Awards Summary'!$H:$H,'Awards Summary'!$B:$B,$C100,'Awards Summary'!$J:$J,"OVS")</f>
        <v>0</v>
      </c>
      <c r="EU100" s="55">
        <f>SUMIFS('Disbursements Summary'!$E:$E,'Disbursements Summary'!$C:$C,$C100,'Disbursements Summary'!$A:$A,"OVS")</f>
        <v>0</v>
      </c>
      <c r="EV100" s="55">
        <f>SUMIFS('Awards Summary'!$H:$H,'Awards Summary'!$B:$B,$C100,'Awards Summary'!$J:$J,"OASAS")</f>
        <v>0</v>
      </c>
      <c r="EW100" s="55">
        <f>SUMIFS('Disbursements Summary'!$E:$E,'Disbursements Summary'!$C:$C,$C100,'Disbursements Summary'!$A:$A,"OASAS")</f>
        <v>0</v>
      </c>
      <c r="EX100" s="55">
        <f>SUMIFS('Awards Summary'!$H:$H,'Awards Summary'!$B:$B,$C100,'Awards Summary'!$J:$J,"OCFS")</f>
        <v>0</v>
      </c>
      <c r="EY100" s="55">
        <f>SUMIFS('Disbursements Summary'!$E:$E,'Disbursements Summary'!$C:$C,$C100,'Disbursements Summary'!$A:$A,"OCFS")</f>
        <v>0</v>
      </c>
      <c r="EZ100" s="55">
        <f>SUMIFS('Awards Summary'!$H:$H,'Awards Summary'!$B:$B,$C100,'Awards Summary'!$J:$J,"OGS")</f>
        <v>0</v>
      </c>
      <c r="FA100" s="55">
        <f>SUMIFS('Disbursements Summary'!$E:$E,'Disbursements Summary'!$C:$C,$C100,'Disbursements Summary'!$A:$A,"OGS")</f>
        <v>0</v>
      </c>
      <c r="FB100" s="55">
        <f>SUMIFS('Awards Summary'!$H:$H,'Awards Summary'!$B:$B,$C100,'Awards Summary'!$J:$J,"OMH")</f>
        <v>0</v>
      </c>
      <c r="FC100" s="55">
        <f>SUMIFS('Disbursements Summary'!$E:$E,'Disbursements Summary'!$C:$C,$C100,'Disbursements Summary'!$A:$A,"OMH")</f>
        <v>0</v>
      </c>
      <c r="FD100" s="55">
        <f>SUMIFS('Awards Summary'!$H:$H,'Awards Summary'!$B:$B,$C100,'Awards Summary'!$J:$J,"PARKS")</f>
        <v>0</v>
      </c>
      <c r="FE100" s="55">
        <f>SUMIFS('Disbursements Summary'!$E:$E,'Disbursements Summary'!$C:$C,$C100,'Disbursements Summary'!$A:$A,"PARKS")</f>
        <v>0</v>
      </c>
      <c r="FF100" s="55">
        <f>SUMIFS('Awards Summary'!$H:$H,'Awards Summary'!$B:$B,$C100,'Awards Summary'!$J:$J,"OTDA")</f>
        <v>0</v>
      </c>
      <c r="FG100" s="55">
        <f>SUMIFS('Disbursements Summary'!$E:$E,'Disbursements Summary'!$C:$C,$C100,'Disbursements Summary'!$A:$A,"OTDA")</f>
        <v>0</v>
      </c>
      <c r="FH100" s="55">
        <f>SUMIFS('Awards Summary'!$H:$H,'Awards Summary'!$B:$B,$C100,'Awards Summary'!$J:$J,"OIG")</f>
        <v>0</v>
      </c>
      <c r="FI100" s="55">
        <f>SUMIFS('Disbursements Summary'!$E:$E,'Disbursements Summary'!$C:$C,$C100,'Disbursements Summary'!$A:$A,"OIG")</f>
        <v>0</v>
      </c>
      <c r="FJ100" s="55">
        <f>SUMIFS('Awards Summary'!$H:$H,'Awards Summary'!$B:$B,$C100,'Awards Summary'!$J:$J,"OMIG")</f>
        <v>0</v>
      </c>
      <c r="FK100" s="55">
        <f>SUMIFS('Disbursements Summary'!$E:$E,'Disbursements Summary'!$C:$C,$C100,'Disbursements Summary'!$A:$A,"OMIG")</f>
        <v>0</v>
      </c>
      <c r="FL100" s="55">
        <f>SUMIFS('Awards Summary'!$H:$H,'Awards Summary'!$B:$B,$C100,'Awards Summary'!$J:$J,"OSC")</f>
        <v>0</v>
      </c>
      <c r="FM100" s="55">
        <f>SUMIFS('Disbursements Summary'!$E:$E,'Disbursements Summary'!$C:$C,$C100,'Disbursements Summary'!$A:$A,"OSC")</f>
        <v>0</v>
      </c>
      <c r="FN100" s="55">
        <f>SUMIFS('Awards Summary'!$H:$H,'Awards Summary'!$B:$B,$C100,'Awards Summary'!$J:$J,"OWIG")</f>
        <v>0</v>
      </c>
      <c r="FO100" s="55">
        <f>SUMIFS('Disbursements Summary'!$E:$E,'Disbursements Summary'!$C:$C,$C100,'Disbursements Summary'!$A:$A,"OWIG")</f>
        <v>0</v>
      </c>
      <c r="FP100" s="55">
        <f>SUMIFS('Awards Summary'!$H:$H,'Awards Summary'!$B:$B,$C100,'Awards Summary'!$J:$J,"OGDEN")</f>
        <v>0</v>
      </c>
      <c r="FQ100" s="55">
        <f>SUMIFS('Disbursements Summary'!$E:$E,'Disbursements Summary'!$C:$C,$C100,'Disbursements Summary'!$A:$A,"OGDEN")</f>
        <v>0</v>
      </c>
      <c r="FR100" s="55">
        <f>SUMIFS('Awards Summary'!$H:$H,'Awards Summary'!$B:$B,$C100,'Awards Summary'!$J:$J,"ORDA")</f>
        <v>0</v>
      </c>
      <c r="FS100" s="55">
        <f>SUMIFS('Disbursements Summary'!$E:$E,'Disbursements Summary'!$C:$C,$C100,'Disbursements Summary'!$A:$A,"ORDA")</f>
        <v>0</v>
      </c>
      <c r="FT100" s="55">
        <f>SUMIFS('Awards Summary'!$H:$H,'Awards Summary'!$B:$B,$C100,'Awards Summary'!$J:$J,"OSWEGO")</f>
        <v>0</v>
      </c>
      <c r="FU100" s="55">
        <f>SUMIFS('Disbursements Summary'!$E:$E,'Disbursements Summary'!$C:$C,$C100,'Disbursements Summary'!$A:$A,"OSWEGO")</f>
        <v>0</v>
      </c>
      <c r="FV100" s="55">
        <f>SUMIFS('Awards Summary'!$H:$H,'Awards Summary'!$B:$B,$C100,'Awards Summary'!$J:$J,"PERB")</f>
        <v>0</v>
      </c>
      <c r="FW100" s="55">
        <f>SUMIFS('Disbursements Summary'!$E:$E,'Disbursements Summary'!$C:$C,$C100,'Disbursements Summary'!$A:$A,"PERB")</f>
        <v>0</v>
      </c>
      <c r="FX100" s="55">
        <f>SUMIFS('Awards Summary'!$H:$H,'Awards Summary'!$B:$B,$C100,'Awards Summary'!$J:$J,"RGRTA")</f>
        <v>0</v>
      </c>
      <c r="FY100" s="55">
        <f>SUMIFS('Disbursements Summary'!$E:$E,'Disbursements Summary'!$C:$C,$C100,'Disbursements Summary'!$A:$A,"RGRTA")</f>
        <v>0</v>
      </c>
      <c r="FZ100" s="55">
        <f>SUMIFS('Awards Summary'!$H:$H,'Awards Summary'!$B:$B,$C100,'Awards Summary'!$J:$J,"RIOC")</f>
        <v>0</v>
      </c>
      <c r="GA100" s="55">
        <f>SUMIFS('Disbursements Summary'!$E:$E,'Disbursements Summary'!$C:$C,$C100,'Disbursements Summary'!$A:$A,"RIOC")</f>
        <v>0</v>
      </c>
      <c r="GB100" s="55">
        <f>SUMIFS('Awards Summary'!$H:$H,'Awards Summary'!$B:$B,$C100,'Awards Summary'!$J:$J,"RPCI")</f>
        <v>0</v>
      </c>
      <c r="GC100" s="55">
        <f>SUMIFS('Disbursements Summary'!$E:$E,'Disbursements Summary'!$C:$C,$C100,'Disbursements Summary'!$A:$A,"RPCI")</f>
        <v>0</v>
      </c>
      <c r="GD100" s="55">
        <f>SUMIFS('Awards Summary'!$H:$H,'Awards Summary'!$B:$B,$C100,'Awards Summary'!$J:$J,"SMDA")</f>
        <v>0</v>
      </c>
      <c r="GE100" s="55">
        <f>SUMIFS('Disbursements Summary'!$E:$E,'Disbursements Summary'!$C:$C,$C100,'Disbursements Summary'!$A:$A,"SMDA")</f>
        <v>0</v>
      </c>
      <c r="GF100" s="55">
        <f>SUMIFS('Awards Summary'!$H:$H,'Awards Summary'!$B:$B,$C100,'Awards Summary'!$J:$J,"SCOC")</f>
        <v>0</v>
      </c>
      <c r="GG100" s="55">
        <f>SUMIFS('Disbursements Summary'!$E:$E,'Disbursements Summary'!$C:$C,$C100,'Disbursements Summary'!$A:$A,"SCOC")</f>
        <v>0</v>
      </c>
      <c r="GH100" s="55">
        <f>SUMIFS('Awards Summary'!$H:$H,'Awards Summary'!$B:$B,$C100,'Awards Summary'!$J:$J,"SUCF")</f>
        <v>0</v>
      </c>
      <c r="GI100" s="55">
        <f>SUMIFS('Disbursements Summary'!$E:$E,'Disbursements Summary'!$C:$C,$C100,'Disbursements Summary'!$A:$A,"SUCF")</f>
        <v>0</v>
      </c>
      <c r="GJ100" s="55">
        <f>SUMIFS('Awards Summary'!$H:$H,'Awards Summary'!$B:$B,$C100,'Awards Summary'!$J:$J,"SUNY")</f>
        <v>0</v>
      </c>
      <c r="GK100" s="55">
        <f>SUMIFS('Disbursements Summary'!$E:$E,'Disbursements Summary'!$C:$C,$C100,'Disbursements Summary'!$A:$A,"SUNY")</f>
        <v>0</v>
      </c>
      <c r="GL100" s="55">
        <f>SUMIFS('Awards Summary'!$H:$H,'Awards Summary'!$B:$B,$C100,'Awards Summary'!$J:$J,"SRAA")</f>
        <v>0</v>
      </c>
      <c r="GM100" s="55">
        <f>SUMIFS('Disbursements Summary'!$E:$E,'Disbursements Summary'!$C:$C,$C100,'Disbursements Summary'!$A:$A,"SRAA")</f>
        <v>0</v>
      </c>
      <c r="GN100" s="55">
        <f>SUMIFS('Awards Summary'!$H:$H,'Awards Summary'!$B:$B,$C100,'Awards Summary'!$J:$J,"UNDC")</f>
        <v>0</v>
      </c>
      <c r="GO100" s="55">
        <f>SUMIFS('Disbursements Summary'!$E:$E,'Disbursements Summary'!$C:$C,$C100,'Disbursements Summary'!$A:$A,"UNDC")</f>
        <v>0</v>
      </c>
      <c r="GP100" s="55">
        <f>SUMIFS('Awards Summary'!$H:$H,'Awards Summary'!$B:$B,$C100,'Awards Summary'!$J:$J,"MVWA")</f>
        <v>0</v>
      </c>
      <c r="GQ100" s="55">
        <f>SUMIFS('Disbursements Summary'!$E:$E,'Disbursements Summary'!$C:$C,$C100,'Disbursements Summary'!$A:$A,"MVWA")</f>
        <v>0</v>
      </c>
      <c r="GR100" s="55">
        <f>SUMIFS('Awards Summary'!$H:$H,'Awards Summary'!$B:$B,$C100,'Awards Summary'!$J:$J,"WMC")</f>
        <v>0</v>
      </c>
      <c r="GS100" s="55">
        <f>SUMIFS('Disbursements Summary'!$E:$E,'Disbursements Summary'!$C:$C,$C100,'Disbursements Summary'!$A:$A,"WMC")</f>
        <v>0</v>
      </c>
      <c r="GT100" s="55">
        <f>SUMIFS('Awards Summary'!$H:$H,'Awards Summary'!$B:$B,$C100,'Awards Summary'!$J:$J,"WCB")</f>
        <v>0</v>
      </c>
      <c r="GU100" s="55">
        <f>SUMIFS('Disbursements Summary'!$E:$E,'Disbursements Summary'!$C:$C,$C100,'Disbursements Summary'!$A:$A,"WCB")</f>
        <v>0</v>
      </c>
      <c r="GV100" s="32">
        <f t="shared" si="10"/>
        <v>0</v>
      </c>
      <c r="GW100" s="32">
        <f t="shared" si="11"/>
        <v>0</v>
      </c>
      <c r="GX100" s="30" t="b">
        <f t="shared" si="12"/>
        <v>1</v>
      </c>
      <c r="GY100" s="30" t="b">
        <f t="shared" si="13"/>
        <v>1</v>
      </c>
    </row>
    <row r="101" spans="1:207" s="30" customFormat="1">
      <c r="A101" s="22" t="str">
        <f t="shared" si="9"/>
        <v/>
      </c>
      <c r="B101" s="64" t="s">
        <v>476</v>
      </c>
      <c r="C101" s="65">
        <v>151221</v>
      </c>
      <c r="D101" s="26">
        <f>COUNTIF('Awards Summary'!B:B,"151221")</f>
        <v>0</v>
      </c>
      <c r="E101" s="45">
        <f>SUMIFS('Awards Summary'!H:H,'Awards Summary'!B:B,"151221")</f>
        <v>0</v>
      </c>
      <c r="F101" s="46">
        <f>SUMIFS('Disbursements Summary'!E:E,'Disbursements Summary'!C:C, "151221")</f>
        <v>0</v>
      </c>
      <c r="H101" s="55">
        <f>SUMIFS('Awards Summary'!$H:$H,'Awards Summary'!$B:$B,$C101,'Awards Summary'!$J:$J,"APA")</f>
        <v>0</v>
      </c>
      <c r="I101" s="55">
        <f>SUMIFS('Disbursements Summary'!$E:$E,'Disbursements Summary'!$C:$C,$C101,'Disbursements Summary'!$A:$A,"APA")</f>
        <v>0</v>
      </c>
      <c r="J101" s="55">
        <f>SUMIFS('Awards Summary'!$H:$H,'Awards Summary'!$B:$B,$C101,'Awards Summary'!$J:$J,"Ag&amp;Horse")</f>
        <v>0</v>
      </c>
      <c r="K101" s="55">
        <f>SUMIFS('Disbursements Summary'!$E:$E,'Disbursements Summary'!$C:$C,$C101,'Disbursements Summary'!$A:$A,"Ag&amp;Horse")</f>
        <v>0</v>
      </c>
      <c r="L101" s="55">
        <f>SUMIFS('Awards Summary'!$H:$H,'Awards Summary'!$B:$B,$C101,'Awards Summary'!$J:$J,"ACAA")</f>
        <v>0</v>
      </c>
      <c r="M101" s="55">
        <f>SUMIFS('Disbursements Summary'!$E:$E,'Disbursements Summary'!$C:$C,$C101,'Disbursements Summary'!$A:$A,"ACAA")</f>
        <v>0</v>
      </c>
      <c r="N101" s="55">
        <f>SUMIFS('Awards Summary'!$H:$H,'Awards Summary'!$B:$B,$C101,'Awards Summary'!$J:$J,"PortAlbany")</f>
        <v>0</v>
      </c>
      <c r="O101" s="55">
        <f>SUMIFS('Disbursements Summary'!$E:$E,'Disbursements Summary'!$C:$C,$C101,'Disbursements Summary'!$A:$A,"PortAlbany")</f>
        <v>0</v>
      </c>
      <c r="P101" s="55">
        <f>SUMIFS('Awards Summary'!$H:$H,'Awards Summary'!$B:$B,$C101,'Awards Summary'!$J:$J,"SLA")</f>
        <v>0</v>
      </c>
      <c r="Q101" s="55">
        <f>SUMIFS('Disbursements Summary'!$E:$E,'Disbursements Summary'!$C:$C,$C101,'Disbursements Summary'!$A:$A,"SLA")</f>
        <v>0</v>
      </c>
      <c r="R101" s="55">
        <f>SUMIFS('Awards Summary'!$H:$H,'Awards Summary'!$B:$B,$C101,'Awards Summary'!$J:$J,"BPCA")</f>
        <v>0</v>
      </c>
      <c r="S101" s="55">
        <f>SUMIFS('Disbursements Summary'!$E:$E,'Disbursements Summary'!$C:$C,$C101,'Disbursements Summary'!$A:$A,"BPCA")</f>
        <v>0</v>
      </c>
      <c r="T101" s="55">
        <f>SUMIFS('Awards Summary'!$H:$H,'Awards Summary'!$B:$B,$C101,'Awards Summary'!$J:$J,"ELECTIONS")</f>
        <v>0</v>
      </c>
      <c r="U101" s="55">
        <f>SUMIFS('Disbursements Summary'!$E:$E,'Disbursements Summary'!$C:$C,$C101,'Disbursements Summary'!$A:$A,"ELECTIONS")</f>
        <v>0</v>
      </c>
      <c r="V101" s="55">
        <f>SUMIFS('Awards Summary'!$H:$H,'Awards Summary'!$B:$B,$C101,'Awards Summary'!$J:$J,"BFSA")</f>
        <v>0</v>
      </c>
      <c r="W101" s="55">
        <f>SUMIFS('Disbursements Summary'!$E:$E,'Disbursements Summary'!$C:$C,$C101,'Disbursements Summary'!$A:$A,"BFSA")</f>
        <v>0</v>
      </c>
      <c r="X101" s="55">
        <f>SUMIFS('Awards Summary'!$H:$H,'Awards Summary'!$B:$B,$C101,'Awards Summary'!$J:$J,"CDTA")</f>
        <v>0</v>
      </c>
      <c r="Y101" s="55">
        <f>SUMIFS('Disbursements Summary'!$E:$E,'Disbursements Summary'!$C:$C,$C101,'Disbursements Summary'!$A:$A,"CDTA")</f>
        <v>0</v>
      </c>
      <c r="Z101" s="55">
        <f>SUMIFS('Awards Summary'!$H:$H,'Awards Summary'!$B:$B,$C101,'Awards Summary'!$J:$J,"CCWSA")</f>
        <v>0</v>
      </c>
      <c r="AA101" s="55">
        <f>SUMIFS('Disbursements Summary'!$E:$E,'Disbursements Summary'!$C:$C,$C101,'Disbursements Summary'!$A:$A,"CCWSA")</f>
        <v>0</v>
      </c>
      <c r="AB101" s="55">
        <f>SUMIFS('Awards Summary'!$H:$H,'Awards Summary'!$B:$B,$C101,'Awards Summary'!$J:$J,"CNYRTA")</f>
        <v>0</v>
      </c>
      <c r="AC101" s="55">
        <f>SUMIFS('Disbursements Summary'!$E:$E,'Disbursements Summary'!$C:$C,$C101,'Disbursements Summary'!$A:$A,"CNYRTA")</f>
        <v>0</v>
      </c>
      <c r="AD101" s="55">
        <f>SUMIFS('Awards Summary'!$H:$H,'Awards Summary'!$B:$B,$C101,'Awards Summary'!$J:$J,"CUCF")</f>
        <v>0</v>
      </c>
      <c r="AE101" s="55">
        <f>SUMIFS('Disbursements Summary'!$E:$E,'Disbursements Summary'!$C:$C,$C101,'Disbursements Summary'!$A:$A,"CUCF")</f>
        <v>0</v>
      </c>
      <c r="AF101" s="55">
        <f>SUMIFS('Awards Summary'!$H:$H,'Awards Summary'!$B:$B,$C101,'Awards Summary'!$J:$J,"CUNY")</f>
        <v>0</v>
      </c>
      <c r="AG101" s="55">
        <f>SUMIFS('Disbursements Summary'!$E:$E,'Disbursements Summary'!$C:$C,$C101,'Disbursements Summary'!$A:$A,"CUNY")</f>
        <v>0</v>
      </c>
      <c r="AH101" s="55">
        <f>SUMIFS('Awards Summary'!$H:$H,'Awards Summary'!$B:$B,$C101,'Awards Summary'!$J:$J,"ARTS")</f>
        <v>0</v>
      </c>
      <c r="AI101" s="55">
        <f>SUMIFS('Disbursements Summary'!$E:$E,'Disbursements Summary'!$C:$C,$C101,'Disbursements Summary'!$A:$A,"ARTS")</f>
        <v>0</v>
      </c>
      <c r="AJ101" s="55">
        <f>SUMIFS('Awards Summary'!$H:$H,'Awards Summary'!$B:$B,$C101,'Awards Summary'!$J:$J,"AG&amp;MKTS")</f>
        <v>0</v>
      </c>
      <c r="AK101" s="55">
        <f>SUMIFS('Disbursements Summary'!$E:$E,'Disbursements Summary'!$C:$C,$C101,'Disbursements Summary'!$A:$A,"AG&amp;MKTS")</f>
        <v>0</v>
      </c>
      <c r="AL101" s="55">
        <f>SUMIFS('Awards Summary'!$H:$H,'Awards Summary'!$B:$B,$C101,'Awards Summary'!$J:$J,"CS")</f>
        <v>0</v>
      </c>
      <c r="AM101" s="55">
        <f>SUMIFS('Disbursements Summary'!$E:$E,'Disbursements Summary'!$C:$C,$C101,'Disbursements Summary'!$A:$A,"CS")</f>
        <v>0</v>
      </c>
      <c r="AN101" s="55">
        <f>SUMIFS('Awards Summary'!$H:$H,'Awards Summary'!$B:$B,$C101,'Awards Summary'!$J:$J,"DOCCS")</f>
        <v>0</v>
      </c>
      <c r="AO101" s="55">
        <f>SUMIFS('Disbursements Summary'!$E:$E,'Disbursements Summary'!$C:$C,$C101,'Disbursements Summary'!$A:$A,"DOCCS")</f>
        <v>0</v>
      </c>
      <c r="AP101" s="55">
        <f>SUMIFS('Awards Summary'!$H:$H,'Awards Summary'!$B:$B,$C101,'Awards Summary'!$J:$J,"DED")</f>
        <v>0</v>
      </c>
      <c r="AQ101" s="55">
        <f>SUMIFS('Disbursements Summary'!$E:$E,'Disbursements Summary'!$C:$C,$C101,'Disbursements Summary'!$A:$A,"DED")</f>
        <v>0</v>
      </c>
      <c r="AR101" s="55">
        <f>SUMIFS('Awards Summary'!$H:$H,'Awards Summary'!$B:$B,$C101,'Awards Summary'!$J:$J,"DEC")</f>
        <v>0</v>
      </c>
      <c r="AS101" s="55">
        <f>SUMIFS('Disbursements Summary'!$E:$E,'Disbursements Summary'!$C:$C,$C101,'Disbursements Summary'!$A:$A,"DEC")</f>
        <v>0</v>
      </c>
      <c r="AT101" s="55">
        <f>SUMIFS('Awards Summary'!$H:$H,'Awards Summary'!$B:$B,$C101,'Awards Summary'!$J:$J,"DFS")</f>
        <v>0</v>
      </c>
      <c r="AU101" s="55">
        <f>SUMIFS('Disbursements Summary'!$E:$E,'Disbursements Summary'!$C:$C,$C101,'Disbursements Summary'!$A:$A,"DFS")</f>
        <v>0</v>
      </c>
      <c r="AV101" s="55">
        <f>SUMIFS('Awards Summary'!$H:$H,'Awards Summary'!$B:$B,$C101,'Awards Summary'!$J:$J,"DOH")</f>
        <v>0</v>
      </c>
      <c r="AW101" s="55">
        <f>SUMIFS('Disbursements Summary'!$E:$E,'Disbursements Summary'!$C:$C,$C101,'Disbursements Summary'!$A:$A,"DOH")</f>
        <v>0</v>
      </c>
      <c r="AX101" s="55">
        <f>SUMIFS('Awards Summary'!$H:$H,'Awards Summary'!$B:$B,$C101,'Awards Summary'!$J:$J,"DOL")</f>
        <v>0</v>
      </c>
      <c r="AY101" s="55">
        <f>SUMIFS('Disbursements Summary'!$E:$E,'Disbursements Summary'!$C:$C,$C101,'Disbursements Summary'!$A:$A,"DOL")</f>
        <v>0</v>
      </c>
      <c r="AZ101" s="55">
        <f>SUMIFS('Awards Summary'!$H:$H,'Awards Summary'!$B:$B,$C101,'Awards Summary'!$J:$J,"DMV")</f>
        <v>0</v>
      </c>
      <c r="BA101" s="55">
        <f>SUMIFS('Disbursements Summary'!$E:$E,'Disbursements Summary'!$C:$C,$C101,'Disbursements Summary'!$A:$A,"DMV")</f>
        <v>0</v>
      </c>
      <c r="BB101" s="55">
        <f>SUMIFS('Awards Summary'!$H:$H,'Awards Summary'!$B:$B,$C101,'Awards Summary'!$J:$J,"DPS")</f>
        <v>0</v>
      </c>
      <c r="BC101" s="55">
        <f>SUMIFS('Disbursements Summary'!$E:$E,'Disbursements Summary'!$C:$C,$C101,'Disbursements Summary'!$A:$A,"DPS")</f>
        <v>0</v>
      </c>
      <c r="BD101" s="55">
        <f>SUMIFS('Awards Summary'!$H:$H,'Awards Summary'!$B:$B,$C101,'Awards Summary'!$J:$J,"DOS")</f>
        <v>0</v>
      </c>
      <c r="BE101" s="55">
        <f>SUMIFS('Disbursements Summary'!$E:$E,'Disbursements Summary'!$C:$C,$C101,'Disbursements Summary'!$A:$A,"DOS")</f>
        <v>0</v>
      </c>
      <c r="BF101" s="55">
        <f>SUMIFS('Awards Summary'!$H:$H,'Awards Summary'!$B:$B,$C101,'Awards Summary'!$J:$J,"TAX")</f>
        <v>0</v>
      </c>
      <c r="BG101" s="55">
        <f>SUMIFS('Disbursements Summary'!$E:$E,'Disbursements Summary'!$C:$C,$C101,'Disbursements Summary'!$A:$A,"TAX")</f>
        <v>0</v>
      </c>
      <c r="BH101" s="55">
        <f>SUMIFS('Awards Summary'!$H:$H,'Awards Summary'!$B:$B,$C101,'Awards Summary'!$J:$J,"DOT")</f>
        <v>0</v>
      </c>
      <c r="BI101" s="55">
        <f>SUMIFS('Disbursements Summary'!$E:$E,'Disbursements Summary'!$C:$C,$C101,'Disbursements Summary'!$A:$A,"DOT")</f>
        <v>0</v>
      </c>
      <c r="BJ101" s="55">
        <f>SUMIFS('Awards Summary'!$H:$H,'Awards Summary'!$B:$B,$C101,'Awards Summary'!$J:$J,"DANC")</f>
        <v>0</v>
      </c>
      <c r="BK101" s="55">
        <f>SUMIFS('Disbursements Summary'!$E:$E,'Disbursements Summary'!$C:$C,$C101,'Disbursements Summary'!$A:$A,"DANC")</f>
        <v>0</v>
      </c>
      <c r="BL101" s="55">
        <f>SUMIFS('Awards Summary'!$H:$H,'Awards Summary'!$B:$B,$C101,'Awards Summary'!$J:$J,"DOB")</f>
        <v>0</v>
      </c>
      <c r="BM101" s="55">
        <f>SUMIFS('Disbursements Summary'!$E:$E,'Disbursements Summary'!$C:$C,$C101,'Disbursements Summary'!$A:$A,"DOB")</f>
        <v>0</v>
      </c>
      <c r="BN101" s="55">
        <f>SUMIFS('Awards Summary'!$H:$H,'Awards Summary'!$B:$B,$C101,'Awards Summary'!$J:$J,"DCJS")</f>
        <v>0</v>
      </c>
      <c r="BO101" s="55">
        <f>SUMIFS('Disbursements Summary'!$E:$E,'Disbursements Summary'!$C:$C,$C101,'Disbursements Summary'!$A:$A,"DCJS")</f>
        <v>0</v>
      </c>
      <c r="BP101" s="55">
        <f>SUMIFS('Awards Summary'!$H:$H,'Awards Summary'!$B:$B,$C101,'Awards Summary'!$J:$J,"DHSES")</f>
        <v>0</v>
      </c>
      <c r="BQ101" s="55">
        <f>SUMIFS('Disbursements Summary'!$E:$E,'Disbursements Summary'!$C:$C,$C101,'Disbursements Summary'!$A:$A,"DHSES")</f>
        <v>0</v>
      </c>
      <c r="BR101" s="55">
        <f>SUMIFS('Awards Summary'!$H:$H,'Awards Summary'!$B:$B,$C101,'Awards Summary'!$J:$J,"DHR")</f>
        <v>0</v>
      </c>
      <c r="BS101" s="55">
        <f>SUMIFS('Disbursements Summary'!$E:$E,'Disbursements Summary'!$C:$C,$C101,'Disbursements Summary'!$A:$A,"DHR")</f>
        <v>0</v>
      </c>
      <c r="BT101" s="55">
        <f>SUMIFS('Awards Summary'!$H:$H,'Awards Summary'!$B:$B,$C101,'Awards Summary'!$J:$J,"DMNA")</f>
        <v>0</v>
      </c>
      <c r="BU101" s="55">
        <f>SUMIFS('Disbursements Summary'!$E:$E,'Disbursements Summary'!$C:$C,$C101,'Disbursements Summary'!$A:$A,"DMNA")</f>
        <v>0</v>
      </c>
      <c r="BV101" s="55">
        <f>SUMIFS('Awards Summary'!$H:$H,'Awards Summary'!$B:$B,$C101,'Awards Summary'!$J:$J,"TROOPERS")</f>
        <v>0</v>
      </c>
      <c r="BW101" s="55">
        <f>SUMIFS('Disbursements Summary'!$E:$E,'Disbursements Summary'!$C:$C,$C101,'Disbursements Summary'!$A:$A,"TROOPERS")</f>
        <v>0</v>
      </c>
      <c r="BX101" s="55">
        <f>SUMIFS('Awards Summary'!$H:$H,'Awards Summary'!$B:$B,$C101,'Awards Summary'!$J:$J,"DVA")</f>
        <v>0</v>
      </c>
      <c r="BY101" s="55">
        <f>SUMIFS('Disbursements Summary'!$E:$E,'Disbursements Summary'!$C:$C,$C101,'Disbursements Summary'!$A:$A,"DVA")</f>
        <v>0</v>
      </c>
      <c r="BZ101" s="55">
        <f>SUMIFS('Awards Summary'!$H:$H,'Awards Summary'!$B:$B,$C101,'Awards Summary'!$J:$J,"DASNY")</f>
        <v>0</v>
      </c>
      <c r="CA101" s="55">
        <f>SUMIFS('Disbursements Summary'!$E:$E,'Disbursements Summary'!$C:$C,$C101,'Disbursements Summary'!$A:$A,"DASNY")</f>
        <v>0</v>
      </c>
      <c r="CB101" s="55">
        <f>SUMIFS('Awards Summary'!$H:$H,'Awards Summary'!$B:$B,$C101,'Awards Summary'!$J:$J,"EGG")</f>
        <v>0</v>
      </c>
      <c r="CC101" s="55">
        <f>SUMIFS('Disbursements Summary'!$E:$E,'Disbursements Summary'!$C:$C,$C101,'Disbursements Summary'!$A:$A,"EGG")</f>
        <v>0</v>
      </c>
      <c r="CD101" s="55">
        <f>SUMIFS('Awards Summary'!$H:$H,'Awards Summary'!$B:$B,$C101,'Awards Summary'!$J:$J,"ESD")</f>
        <v>0</v>
      </c>
      <c r="CE101" s="55">
        <f>SUMIFS('Disbursements Summary'!$E:$E,'Disbursements Summary'!$C:$C,$C101,'Disbursements Summary'!$A:$A,"ESD")</f>
        <v>0</v>
      </c>
      <c r="CF101" s="55">
        <f>SUMIFS('Awards Summary'!$H:$H,'Awards Summary'!$B:$B,$C101,'Awards Summary'!$J:$J,"EFC")</f>
        <v>0</v>
      </c>
      <c r="CG101" s="55">
        <f>SUMIFS('Disbursements Summary'!$E:$E,'Disbursements Summary'!$C:$C,$C101,'Disbursements Summary'!$A:$A,"EFC")</f>
        <v>0</v>
      </c>
      <c r="CH101" s="55">
        <f>SUMIFS('Awards Summary'!$H:$H,'Awards Summary'!$B:$B,$C101,'Awards Summary'!$J:$J,"ECFSA")</f>
        <v>0</v>
      </c>
      <c r="CI101" s="55">
        <f>SUMIFS('Disbursements Summary'!$E:$E,'Disbursements Summary'!$C:$C,$C101,'Disbursements Summary'!$A:$A,"ECFSA")</f>
        <v>0</v>
      </c>
      <c r="CJ101" s="55">
        <f>SUMIFS('Awards Summary'!$H:$H,'Awards Summary'!$B:$B,$C101,'Awards Summary'!$J:$J,"ECMC")</f>
        <v>0</v>
      </c>
      <c r="CK101" s="55">
        <f>SUMIFS('Disbursements Summary'!$E:$E,'Disbursements Summary'!$C:$C,$C101,'Disbursements Summary'!$A:$A,"ECMC")</f>
        <v>0</v>
      </c>
      <c r="CL101" s="55">
        <f>SUMIFS('Awards Summary'!$H:$H,'Awards Summary'!$B:$B,$C101,'Awards Summary'!$J:$J,"CHAMBER")</f>
        <v>0</v>
      </c>
      <c r="CM101" s="55">
        <f>SUMIFS('Disbursements Summary'!$E:$E,'Disbursements Summary'!$C:$C,$C101,'Disbursements Summary'!$A:$A,"CHAMBER")</f>
        <v>0</v>
      </c>
      <c r="CN101" s="55">
        <f>SUMIFS('Awards Summary'!$H:$H,'Awards Summary'!$B:$B,$C101,'Awards Summary'!$J:$J,"GAMING")</f>
        <v>0</v>
      </c>
      <c r="CO101" s="55">
        <f>SUMIFS('Disbursements Summary'!$E:$E,'Disbursements Summary'!$C:$C,$C101,'Disbursements Summary'!$A:$A,"GAMING")</f>
        <v>0</v>
      </c>
      <c r="CP101" s="55">
        <f>SUMIFS('Awards Summary'!$H:$H,'Awards Summary'!$B:$B,$C101,'Awards Summary'!$J:$J,"GOER")</f>
        <v>0</v>
      </c>
      <c r="CQ101" s="55">
        <f>SUMIFS('Disbursements Summary'!$E:$E,'Disbursements Summary'!$C:$C,$C101,'Disbursements Summary'!$A:$A,"GOER")</f>
        <v>0</v>
      </c>
      <c r="CR101" s="55">
        <f>SUMIFS('Awards Summary'!$H:$H,'Awards Summary'!$B:$B,$C101,'Awards Summary'!$J:$J,"HESC")</f>
        <v>0</v>
      </c>
      <c r="CS101" s="55">
        <f>SUMIFS('Disbursements Summary'!$E:$E,'Disbursements Summary'!$C:$C,$C101,'Disbursements Summary'!$A:$A,"HESC")</f>
        <v>0</v>
      </c>
      <c r="CT101" s="55">
        <f>SUMIFS('Awards Summary'!$H:$H,'Awards Summary'!$B:$B,$C101,'Awards Summary'!$J:$J,"GOSR")</f>
        <v>0</v>
      </c>
      <c r="CU101" s="55">
        <f>SUMIFS('Disbursements Summary'!$E:$E,'Disbursements Summary'!$C:$C,$C101,'Disbursements Summary'!$A:$A,"GOSR")</f>
        <v>0</v>
      </c>
      <c r="CV101" s="55">
        <f>SUMIFS('Awards Summary'!$H:$H,'Awards Summary'!$B:$B,$C101,'Awards Summary'!$J:$J,"HRPT")</f>
        <v>0</v>
      </c>
      <c r="CW101" s="55">
        <f>SUMIFS('Disbursements Summary'!$E:$E,'Disbursements Summary'!$C:$C,$C101,'Disbursements Summary'!$A:$A,"HRPT")</f>
        <v>0</v>
      </c>
      <c r="CX101" s="55">
        <f>SUMIFS('Awards Summary'!$H:$H,'Awards Summary'!$B:$B,$C101,'Awards Summary'!$J:$J,"HRBRRD")</f>
        <v>0</v>
      </c>
      <c r="CY101" s="55">
        <f>SUMIFS('Disbursements Summary'!$E:$E,'Disbursements Summary'!$C:$C,$C101,'Disbursements Summary'!$A:$A,"HRBRRD")</f>
        <v>0</v>
      </c>
      <c r="CZ101" s="55">
        <f>SUMIFS('Awards Summary'!$H:$H,'Awards Summary'!$B:$B,$C101,'Awards Summary'!$J:$J,"ITS")</f>
        <v>0</v>
      </c>
      <c r="DA101" s="55">
        <f>SUMIFS('Disbursements Summary'!$E:$E,'Disbursements Summary'!$C:$C,$C101,'Disbursements Summary'!$A:$A,"ITS")</f>
        <v>0</v>
      </c>
      <c r="DB101" s="55">
        <f>SUMIFS('Awards Summary'!$H:$H,'Awards Summary'!$B:$B,$C101,'Awards Summary'!$J:$J,"JAVITS")</f>
        <v>0</v>
      </c>
      <c r="DC101" s="55">
        <f>SUMIFS('Disbursements Summary'!$E:$E,'Disbursements Summary'!$C:$C,$C101,'Disbursements Summary'!$A:$A,"JAVITS")</f>
        <v>0</v>
      </c>
      <c r="DD101" s="55">
        <f>SUMIFS('Awards Summary'!$H:$H,'Awards Summary'!$B:$B,$C101,'Awards Summary'!$J:$J,"JCOPE")</f>
        <v>0</v>
      </c>
      <c r="DE101" s="55">
        <f>SUMIFS('Disbursements Summary'!$E:$E,'Disbursements Summary'!$C:$C,$C101,'Disbursements Summary'!$A:$A,"JCOPE")</f>
        <v>0</v>
      </c>
      <c r="DF101" s="55">
        <f>SUMIFS('Awards Summary'!$H:$H,'Awards Summary'!$B:$B,$C101,'Awards Summary'!$J:$J,"JUSTICE")</f>
        <v>0</v>
      </c>
      <c r="DG101" s="55">
        <f>SUMIFS('Disbursements Summary'!$E:$E,'Disbursements Summary'!$C:$C,$C101,'Disbursements Summary'!$A:$A,"JUSTICE")</f>
        <v>0</v>
      </c>
      <c r="DH101" s="55">
        <f>SUMIFS('Awards Summary'!$H:$H,'Awards Summary'!$B:$B,$C101,'Awards Summary'!$J:$J,"LCWSA")</f>
        <v>0</v>
      </c>
      <c r="DI101" s="55">
        <f>SUMIFS('Disbursements Summary'!$E:$E,'Disbursements Summary'!$C:$C,$C101,'Disbursements Summary'!$A:$A,"LCWSA")</f>
        <v>0</v>
      </c>
      <c r="DJ101" s="55">
        <f>SUMIFS('Awards Summary'!$H:$H,'Awards Summary'!$B:$B,$C101,'Awards Summary'!$J:$J,"LIPA")</f>
        <v>0</v>
      </c>
      <c r="DK101" s="55">
        <f>SUMIFS('Disbursements Summary'!$E:$E,'Disbursements Summary'!$C:$C,$C101,'Disbursements Summary'!$A:$A,"LIPA")</f>
        <v>0</v>
      </c>
      <c r="DL101" s="55">
        <f>SUMIFS('Awards Summary'!$H:$H,'Awards Summary'!$B:$B,$C101,'Awards Summary'!$J:$J,"MTA")</f>
        <v>0</v>
      </c>
      <c r="DM101" s="55">
        <f>SUMIFS('Disbursements Summary'!$E:$E,'Disbursements Summary'!$C:$C,$C101,'Disbursements Summary'!$A:$A,"MTA")</f>
        <v>0</v>
      </c>
      <c r="DN101" s="55">
        <f>SUMIFS('Awards Summary'!$H:$H,'Awards Summary'!$B:$B,$C101,'Awards Summary'!$J:$J,"NIFA")</f>
        <v>0</v>
      </c>
      <c r="DO101" s="55">
        <f>SUMIFS('Disbursements Summary'!$E:$E,'Disbursements Summary'!$C:$C,$C101,'Disbursements Summary'!$A:$A,"NIFA")</f>
        <v>0</v>
      </c>
      <c r="DP101" s="55">
        <f>SUMIFS('Awards Summary'!$H:$H,'Awards Summary'!$B:$B,$C101,'Awards Summary'!$J:$J,"NHCC")</f>
        <v>0</v>
      </c>
      <c r="DQ101" s="55">
        <f>SUMIFS('Disbursements Summary'!$E:$E,'Disbursements Summary'!$C:$C,$C101,'Disbursements Summary'!$A:$A,"NHCC")</f>
        <v>0</v>
      </c>
      <c r="DR101" s="55">
        <f>SUMIFS('Awards Summary'!$H:$H,'Awards Summary'!$B:$B,$C101,'Awards Summary'!$J:$J,"NHT")</f>
        <v>0</v>
      </c>
      <c r="DS101" s="55">
        <f>SUMIFS('Disbursements Summary'!$E:$E,'Disbursements Summary'!$C:$C,$C101,'Disbursements Summary'!$A:$A,"NHT")</f>
        <v>0</v>
      </c>
      <c r="DT101" s="55">
        <f>SUMIFS('Awards Summary'!$H:$H,'Awards Summary'!$B:$B,$C101,'Awards Summary'!$J:$J,"NYPA")</f>
        <v>0</v>
      </c>
      <c r="DU101" s="55">
        <f>SUMIFS('Disbursements Summary'!$E:$E,'Disbursements Summary'!$C:$C,$C101,'Disbursements Summary'!$A:$A,"NYPA")</f>
        <v>0</v>
      </c>
      <c r="DV101" s="55">
        <f>SUMIFS('Awards Summary'!$H:$H,'Awards Summary'!$B:$B,$C101,'Awards Summary'!$J:$J,"NYSBA")</f>
        <v>0</v>
      </c>
      <c r="DW101" s="55">
        <f>SUMIFS('Disbursements Summary'!$E:$E,'Disbursements Summary'!$C:$C,$C101,'Disbursements Summary'!$A:$A,"NYSBA")</f>
        <v>0</v>
      </c>
      <c r="DX101" s="55">
        <f>SUMIFS('Awards Summary'!$H:$H,'Awards Summary'!$B:$B,$C101,'Awards Summary'!$J:$J,"NYSERDA")</f>
        <v>0</v>
      </c>
      <c r="DY101" s="55">
        <f>SUMIFS('Disbursements Summary'!$E:$E,'Disbursements Summary'!$C:$C,$C101,'Disbursements Summary'!$A:$A,"NYSERDA")</f>
        <v>0</v>
      </c>
      <c r="DZ101" s="55">
        <f>SUMIFS('Awards Summary'!$H:$H,'Awards Summary'!$B:$B,$C101,'Awards Summary'!$J:$J,"DHCR")</f>
        <v>0</v>
      </c>
      <c r="EA101" s="55">
        <f>SUMIFS('Disbursements Summary'!$E:$E,'Disbursements Summary'!$C:$C,$C101,'Disbursements Summary'!$A:$A,"DHCR")</f>
        <v>0</v>
      </c>
      <c r="EB101" s="55">
        <f>SUMIFS('Awards Summary'!$H:$H,'Awards Summary'!$B:$B,$C101,'Awards Summary'!$J:$J,"HFA")</f>
        <v>0</v>
      </c>
      <c r="EC101" s="55">
        <f>SUMIFS('Disbursements Summary'!$E:$E,'Disbursements Summary'!$C:$C,$C101,'Disbursements Summary'!$A:$A,"HFA")</f>
        <v>0</v>
      </c>
      <c r="ED101" s="55">
        <f>SUMIFS('Awards Summary'!$H:$H,'Awards Summary'!$B:$B,$C101,'Awards Summary'!$J:$J,"NYSIF")</f>
        <v>0</v>
      </c>
      <c r="EE101" s="55">
        <f>SUMIFS('Disbursements Summary'!$E:$E,'Disbursements Summary'!$C:$C,$C101,'Disbursements Summary'!$A:$A,"NYSIF")</f>
        <v>0</v>
      </c>
      <c r="EF101" s="55">
        <f>SUMIFS('Awards Summary'!$H:$H,'Awards Summary'!$B:$B,$C101,'Awards Summary'!$J:$J,"NYBREDS")</f>
        <v>0</v>
      </c>
      <c r="EG101" s="55">
        <f>SUMIFS('Disbursements Summary'!$E:$E,'Disbursements Summary'!$C:$C,$C101,'Disbursements Summary'!$A:$A,"NYBREDS")</f>
        <v>0</v>
      </c>
      <c r="EH101" s="55">
        <f>SUMIFS('Awards Summary'!$H:$H,'Awards Summary'!$B:$B,$C101,'Awards Summary'!$J:$J,"NYSTA")</f>
        <v>0</v>
      </c>
      <c r="EI101" s="55">
        <f>SUMIFS('Disbursements Summary'!$E:$E,'Disbursements Summary'!$C:$C,$C101,'Disbursements Summary'!$A:$A,"NYSTA")</f>
        <v>0</v>
      </c>
      <c r="EJ101" s="55">
        <f>SUMIFS('Awards Summary'!$H:$H,'Awards Summary'!$B:$B,$C101,'Awards Summary'!$J:$J,"NFWB")</f>
        <v>0</v>
      </c>
      <c r="EK101" s="55">
        <f>SUMIFS('Disbursements Summary'!$E:$E,'Disbursements Summary'!$C:$C,$C101,'Disbursements Summary'!$A:$A,"NFWB")</f>
        <v>0</v>
      </c>
      <c r="EL101" s="55">
        <f>SUMIFS('Awards Summary'!$H:$H,'Awards Summary'!$B:$B,$C101,'Awards Summary'!$J:$J,"NFTA")</f>
        <v>0</v>
      </c>
      <c r="EM101" s="55">
        <f>SUMIFS('Disbursements Summary'!$E:$E,'Disbursements Summary'!$C:$C,$C101,'Disbursements Summary'!$A:$A,"NFTA")</f>
        <v>0</v>
      </c>
      <c r="EN101" s="55">
        <f>SUMIFS('Awards Summary'!$H:$H,'Awards Summary'!$B:$B,$C101,'Awards Summary'!$J:$J,"OPWDD")</f>
        <v>0</v>
      </c>
      <c r="EO101" s="55">
        <f>SUMIFS('Disbursements Summary'!$E:$E,'Disbursements Summary'!$C:$C,$C101,'Disbursements Summary'!$A:$A,"OPWDD")</f>
        <v>0</v>
      </c>
      <c r="EP101" s="55">
        <f>SUMIFS('Awards Summary'!$H:$H,'Awards Summary'!$B:$B,$C101,'Awards Summary'!$J:$J,"AGING")</f>
        <v>0</v>
      </c>
      <c r="EQ101" s="55">
        <f>SUMIFS('Disbursements Summary'!$E:$E,'Disbursements Summary'!$C:$C,$C101,'Disbursements Summary'!$A:$A,"AGING")</f>
        <v>0</v>
      </c>
      <c r="ER101" s="55">
        <f>SUMIFS('Awards Summary'!$H:$H,'Awards Summary'!$B:$B,$C101,'Awards Summary'!$J:$J,"OPDV")</f>
        <v>0</v>
      </c>
      <c r="ES101" s="55">
        <f>SUMIFS('Disbursements Summary'!$E:$E,'Disbursements Summary'!$C:$C,$C101,'Disbursements Summary'!$A:$A,"OPDV")</f>
        <v>0</v>
      </c>
      <c r="ET101" s="55">
        <f>SUMIFS('Awards Summary'!$H:$H,'Awards Summary'!$B:$B,$C101,'Awards Summary'!$J:$J,"OVS")</f>
        <v>0</v>
      </c>
      <c r="EU101" s="55">
        <f>SUMIFS('Disbursements Summary'!$E:$E,'Disbursements Summary'!$C:$C,$C101,'Disbursements Summary'!$A:$A,"OVS")</f>
        <v>0</v>
      </c>
      <c r="EV101" s="55">
        <f>SUMIFS('Awards Summary'!$H:$H,'Awards Summary'!$B:$B,$C101,'Awards Summary'!$J:$J,"OASAS")</f>
        <v>0</v>
      </c>
      <c r="EW101" s="55">
        <f>SUMIFS('Disbursements Summary'!$E:$E,'Disbursements Summary'!$C:$C,$C101,'Disbursements Summary'!$A:$A,"OASAS")</f>
        <v>0</v>
      </c>
      <c r="EX101" s="55">
        <f>SUMIFS('Awards Summary'!$H:$H,'Awards Summary'!$B:$B,$C101,'Awards Summary'!$J:$J,"OCFS")</f>
        <v>0</v>
      </c>
      <c r="EY101" s="55">
        <f>SUMIFS('Disbursements Summary'!$E:$E,'Disbursements Summary'!$C:$C,$C101,'Disbursements Summary'!$A:$A,"OCFS")</f>
        <v>0</v>
      </c>
      <c r="EZ101" s="55">
        <f>SUMIFS('Awards Summary'!$H:$H,'Awards Summary'!$B:$B,$C101,'Awards Summary'!$J:$J,"OGS")</f>
        <v>0</v>
      </c>
      <c r="FA101" s="55">
        <f>SUMIFS('Disbursements Summary'!$E:$E,'Disbursements Summary'!$C:$C,$C101,'Disbursements Summary'!$A:$A,"OGS")</f>
        <v>0</v>
      </c>
      <c r="FB101" s="55">
        <f>SUMIFS('Awards Summary'!$H:$H,'Awards Summary'!$B:$B,$C101,'Awards Summary'!$J:$J,"OMH")</f>
        <v>0</v>
      </c>
      <c r="FC101" s="55">
        <f>SUMIFS('Disbursements Summary'!$E:$E,'Disbursements Summary'!$C:$C,$C101,'Disbursements Summary'!$A:$A,"OMH")</f>
        <v>0</v>
      </c>
      <c r="FD101" s="55">
        <f>SUMIFS('Awards Summary'!$H:$H,'Awards Summary'!$B:$B,$C101,'Awards Summary'!$J:$J,"PARKS")</f>
        <v>0</v>
      </c>
      <c r="FE101" s="55">
        <f>SUMIFS('Disbursements Summary'!$E:$E,'Disbursements Summary'!$C:$C,$C101,'Disbursements Summary'!$A:$A,"PARKS")</f>
        <v>0</v>
      </c>
      <c r="FF101" s="55">
        <f>SUMIFS('Awards Summary'!$H:$H,'Awards Summary'!$B:$B,$C101,'Awards Summary'!$J:$J,"OTDA")</f>
        <v>0</v>
      </c>
      <c r="FG101" s="55">
        <f>SUMIFS('Disbursements Summary'!$E:$E,'Disbursements Summary'!$C:$C,$C101,'Disbursements Summary'!$A:$A,"OTDA")</f>
        <v>0</v>
      </c>
      <c r="FH101" s="55">
        <f>SUMIFS('Awards Summary'!$H:$H,'Awards Summary'!$B:$B,$C101,'Awards Summary'!$J:$J,"OIG")</f>
        <v>0</v>
      </c>
      <c r="FI101" s="55">
        <f>SUMIFS('Disbursements Summary'!$E:$E,'Disbursements Summary'!$C:$C,$C101,'Disbursements Summary'!$A:$A,"OIG")</f>
        <v>0</v>
      </c>
      <c r="FJ101" s="55">
        <f>SUMIFS('Awards Summary'!$H:$H,'Awards Summary'!$B:$B,$C101,'Awards Summary'!$J:$J,"OMIG")</f>
        <v>0</v>
      </c>
      <c r="FK101" s="55">
        <f>SUMIFS('Disbursements Summary'!$E:$E,'Disbursements Summary'!$C:$C,$C101,'Disbursements Summary'!$A:$A,"OMIG")</f>
        <v>0</v>
      </c>
      <c r="FL101" s="55">
        <f>SUMIFS('Awards Summary'!$H:$H,'Awards Summary'!$B:$B,$C101,'Awards Summary'!$J:$J,"OSC")</f>
        <v>0</v>
      </c>
      <c r="FM101" s="55">
        <f>SUMIFS('Disbursements Summary'!$E:$E,'Disbursements Summary'!$C:$C,$C101,'Disbursements Summary'!$A:$A,"OSC")</f>
        <v>0</v>
      </c>
      <c r="FN101" s="55">
        <f>SUMIFS('Awards Summary'!$H:$H,'Awards Summary'!$B:$B,$C101,'Awards Summary'!$J:$J,"OWIG")</f>
        <v>0</v>
      </c>
      <c r="FO101" s="55">
        <f>SUMIFS('Disbursements Summary'!$E:$E,'Disbursements Summary'!$C:$C,$C101,'Disbursements Summary'!$A:$A,"OWIG")</f>
        <v>0</v>
      </c>
      <c r="FP101" s="55">
        <f>SUMIFS('Awards Summary'!$H:$H,'Awards Summary'!$B:$B,$C101,'Awards Summary'!$J:$J,"OGDEN")</f>
        <v>0</v>
      </c>
      <c r="FQ101" s="55">
        <f>SUMIFS('Disbursements Summary'!$E:$E,'Disbursements Summary'!$C:$C,$C101,'Disbursements Summary'!$A:$A,"OGDEN")</f>
        <v>0</v>
      </c>
      <c r="FR101" s="55">
        <f>SUMIFS('Awards Summary'!$H:$H,'Awards Summary'!$B:$B,$C101,'Awards Summary'!$J:$J,"ORDA")</f>
        <v>0</v>
      </c>
      <c r="FS101" s="55">
        <f>SUMIFS('Disbursements Summary'!$E:$E,'Disbursements Summary'!$C:$C,$C101,'Disbursements Summary'!$A:$A,"ORDA")</f>
        <v>0</v>
      </c>
      <c r="FT101" s="55">
        <f>SUMIFS('Awards Summary'!$H:$H,'Awards Summary'!$B:$B,$C101,'Awards Summary'!$J:$J,"OSWEGO")</f>
        <v>0</v>
      </c>
      <c r="FU101" s="55">
        <f>SUMIFS('Disbursements Summary'!$E:$E,'Disbursements Summary'!$C:$C,$C101,'Disbursements Summary'!$A:$A,"OSWEGO")</f>
        <v>0</v>
      </c>
      <c r="FV101" s="55">
        <f>SUMIFS('Awards Summary'!$H:$H,'Awards Summary'!$B:$B,$C101,'Awards Summary'!$J:$J,"PERB")</f>
        <v>0</v>
      </c>
      <c r="FW101" s="55">
        <f>SUMIFS('Disbursements Summary'!$E:$E,'Disbursements Summary'!$C:$C,$C101,'Disbursements Summary'!$A:$A,"PERB")</f>
        <v>0</v>
      </c>
      <c r="FX101" s="55">
        <f>SUMIFS('Awards Summary'!$H:$H,'Awards Summary'!$B:$B,$C101,'Awards Summary'!$J:$J,"RGRTA")</f>
        <v>0</v>
      </c>
      <c r="FY101" s="55">
        <f>SUMIFS('Disbursements Summary'!$E:$E,'Disbursements Summary'!$C:$C,$C101,'Disbursements Summary'!$A:$A,"RGRTA")</f>
        <v>0</v>
      </c>
      <c r="FZ101" s="55">
        <f>SUMIFS('Awards Summary'!$H:$H,'Awards Summary'!$B:$B,$C101,'Awards Summary'!$J:$J,"RIOC")</f>
        <v>0</v>
      </c>
      <c r="GA101" s="55">
        <f>SUMIFS('Disbursements Summary'!$E:$E,'Disbursements Summary'!$C:$C,$C101,'Disbursements Summary'!$A:$A,"RIOC")</f>
        <v>0</v>
      </c>
      <c r="GB101" s="55">
        <f>SUMIFS('Awards Summary'!$H:$H,'Awards Summary'!$B:$B,$C101,'Awards Summary'!$J:$J,"RPCI")</f>
        <v>0</v>
      </c>
      <c r="GC101" s="55">
        <f>SUMIFS('Disbursements Summary'!$E:$E,'Disbursements Summary'!$C:$C,$C101,'Disbursements Summary'!$A:$A,"RPCI")</f>
        <v>0</v>
      </c>
      <c r="GD101" s="55">
        <f>SUMIFS('Awards Summary'!$H:$H,'Awards Summary'!$B:$B,$C101,'Awards Summary'!$J:$J,"SMDA")</f>
        <v>0</v>
      </c>
      <c r="GE101" s="55">
        <f>SUMIFS('Disbursements Summary'!$E:$E,'Disbursements Summary'!$C:$C,$C101,'Disbursements Summary'!$A:$A,"SMDA")</f>
        <v>0</v>
      </c>
      <c r="GF101" s="55">
        <f>SUMIFS('Awards Summary'!$H:$H,'Awards Summary'!$B:$B,$C101,'Awards Summary'!$J:$J,"SCOC")</f>
        <v>0</v>
      </c>
      <c r="GG101" s="55">
        <f>SUMIFS('Disbursements Summary'!$E:$E,'Disbursements Summary'!$C:$C,$C101,'Disbursements Summary'!$A:$A,"SCOC")</f>
        <v>0</v>
      </c>
      <c r="GH101" s="55">
        <f>SUMIFS('Awards Summary'!$H:$H,'Awards Summary'!$B:$B,$C101,'Awards Summary'!$J:$J,"SUCF")</f>
        <v>0</v>
      </c>
      <c r="GI101" s="55">
        <f>SUMIFS('Disbursements Summary'!$E:$E,'Disbursements Summary'!$C:$C,$C101,'Disbursements Summary'!$A:$A,"SUCF")</f>
        <v>0</v>
      </c>
      <c r="GJ101" s="55">
        <f>SUMIFS('Awards Summary'!$H:$H,'Awards Summary'!$B:$B,$C101,'Awards Summary'!$J:$J,"SUNY")</f>
        <v>0</v>
      </c>
      <c r="GK101" s="55">
        <f>SUMIFS('Disbursements Summary'!$E:$E,'Disbursements Summary'!$C:$C,$C101,'Disbursements Summary'!$A:$A,"SUNY")</f>
        <v>0</v>
      </c>
      <c r="GL101" s="55">
        <f>SUMIFS('Awards Summary'!$H:$H,'Awards Summary'!$B:$B,$C101,'Awards Summary'!$J:$J,"SRAA")</f>
        <v>0</v>
      </c>
      <c r="GM101" s="55">
        <f>SUMIFS('Disbursements Summary'!$E:$E,'Disbursements Summary'!$C:$C,$C101,'Disbursements Summary'!$A:$A,"SRAA")</f>
        <v>0</v>
      </c>
      <c r="GN101" s="55">
        <f>SUMIFS('Awards Summary'!$H:$H,'Awards Summary'!$B:$B,$C101,'Awards Summary'!$J:$J,"UNDC")</f>
        <v>0</v>
      </c>
      <c r="GO101" s="55">
        <f>SUMIFS('Disbursements Summary'!$E:$E,'Disbursements Summary'!$C:$C,$C101,'Disbursements Summary'!$A:$A,"UNDC")</f>
        <v>0</v>
      </c>
      <c r="GP101" s="55">
        <f>SUMIFS('Awards Summary'!$H:$H,'Awards Summary'!$B:$B,$C101,'Awards Summary'!$J:$J,"MVWA")</f>
        <v>0</v>
      </c>
      <c r="GQ101" s="55">
        <f>SUMIFS('Disbursements Summary'!$E:$E,'Disbursements Summary'!$C:$C,$C101,'Disbursements Summary'!$A:$A,"MVWA")</f>
        <v>0</v>
      </c>
      <c r="GR101" s="55">
        <f>SUMIFS('Awards Summary'!$H:$H,'Awards Summary'!$B:$B,$C101,'Awards Summary'!$J:$J,"WMC")</f>
        <v>0</v>
      </c>
      <c r="GS101" s="55">
        <f>SUMIFS('Disbursements Summary'!$E:$E,'Disbursements Summary'!$C:$C,$C101,'Disbursements Summary'!$A:$A,"WMC")</f>
        <v>0</v>
      </c>
      <c r="GT101" s="55">
        <f>SUMIFS('Awards Summary'!$H:$H,'Awards Summary'!$B:$B,$C101,'Awards Summary'!$J:$J,"WCB")</f>
        <v>0</v>
      </c>
      <c r="GU101" s="55">
        <f>SUMIFS('Disbursements Summary'!$E:$E,'Disbursements Summary'!$C:$C,$C101,'Disbursements Summary'!$A:$A,"WCB")</f>
        <v>0</v>
      </c>
      <c r="GV101" s="32">
        <f t="shared" si="10"/>
        <v>0</v>
      </c>
      <c r="GW101" s="32">
        <f t="shared" si="11"/>
        <v>0</v>
      </c>
      <c r="GX101" s="30" t="b">
        <f t="shared" si="12"/>
        <v>1</v>
      </c>
      <c r="GY101" s="30" t="b">
        <f t="shared" si="13"/>
        <v>1</v>
      </c>
    </row>
    <row r="102" spans="1:207" s="30" customFormat="1">
      <c r="A102" s="22" t="str">
        <f t="shared" si="9"/>
        <v/>
      </c>
      <c r="B102" s="18" t="s">
        <v>232</v>
      </c>
      <c r="C102" s="16">
        <v>151220</v>
      </c>
      <c r="D102" s="26">
        <f>COUNTIF('Awards Summary'!B:B,"151220")</f>
        <v>0</v>
      </c>
      <c r="E102" s="45">
        <f>SUMIFS('Awards Summary'!H:H,'Awards Summary'!B:B,"151220")</f>
        <v>0</v>
      </c>
      <c r="F102" s="46">
        <f>SUMIFS('Disbursements Summary'!E:E,'Disbursements Summary'!C:C, "151220")</f>
        <v>0</v>
      </c>
      <c r="H102" s="55">
        <f>SUMIFS('Awards Summary'!$H:$H,'Awards Summary'!$B:$B,$C102,'Awards Summary'!$J:$J,"APA")</f>
        <v>0</v>
      </c>
      <c r="I102" s="55">
        <f>SUMIFS('Disbursements Summary'!$E:$E,'Disbursements Summary'!$C:$C,$C102,'Disbursements Summary'!$A:$A,"APA")</f>
        <v>0</v>
      </c>
      <c r="J102" s="55">
        <f>SUMIFS('Awards Summary'!$H:$H,'Awards Summary'!$B:$B,$C102,'Awards Summary'!$J:$J,"Ag&amp;Horse")</f>
        <v>0</v>
      </c>
      <c r="K102" s="55">
        <f>SUMIFS('Disbursements Summary'!$E:$E,'Disbursements Summary'!$C:$C,$C102,'Disbursements Summary'!$A:$A,"Ag&amp;Horse")</f>
        <v>0</v>
      </c>
      <c r="L102" s="55">
        <f>SUMIFS('Awards Summary'!$H:$H,'Awards Summary'!$B:$B,$C102,'Awards Summary'!$J:$J,"ACAA")</f>
        <v>0</v>
      </c>
      <c r="M102" s="55">
        <f>SUMIFS('Disbursements Summary'!$E:$E,'Disbursements Summary'!$C:$C,$C102,'Disbursements Summary'!$A:$A,"ACAA")</f>
        <v>0</v>
      </c>
      <c r="N102" s="55">
        <f>SUMIFS('Awards Summary'!$H:$H,'Awards Summary'!$B:$B,$C102,'Awards Summary'!$J:$J,"PortAlbany")</f>
        <v>0</v>
      </c>
      <c r="O102" s="55">
        <f>SUMIFS('Disbursements Summary'!$E:$E,'Disbursements Summary'!$C:$C,$C102,'Disbursements Summary'!$A:$A,"PortAlbany")</f>
        <v>0</v>
      </c>
      <c r="P102" s="55">
        <f>SUMIFS('Awards Summary'!$H:$H,'Awards Summary'!$B:$B,$C102,'Awards Summary'!$J:$J,"SLA")</f>
        <v>0</v>
      </c>
      <c r="Q102" s="55">
        <f>SUMIFS('Disbursements Summary'!$E:$E,'Disbursements Summary'!$C:$C,$C102,'Disbursements Summary'!$A:$A,"SLA")</f>
        <v>0</v>
      </c>
      <c r="R102" s="55">
        <f>SUMIFS('Awards Summary'!$H:$H,'Awards Summary'!$B:$B,$C102,'Awards Summary'!$J:$J,"BPCA")</f>
        <v>0</v>
      </c>
      <c r="S102" s="55">
        <f>SUMIFS('Disbursements Summary'!$E:$E,'Disbursements Summary'!$C:$C,$C102,'Disbursements Summary'!$A:$A,"BPCA")</f>
        <v>0</v>
      </c>
      <c r="T102" s="55">
        <f>SUMIFS('Awards Summary'!$H:$H,'Awards Summary'!$B:$B,$C102,'Awards Summary'!$J:$J,"ELECTIONS")</f>
        <v>0</v>
      </c>
      <c r="U102" s="55">
        <f>SUMIFS('Disbursements Summary'!$E:$E,'Disbursements Summary'!$C:$C,$C102,'Disbursements Summary'!$A:$A,"ELECTIONS")</f>
        <v>0</v>
      </c>
      <c r="V102" s="55">
        <f>SUMIFS('Awards Summary'!$H:$H,'Awards Summary'!$B:$B,$C102,'Awards Summary'!$J:$J,"BFSA")</f>
        <v>0</v>
      </c>
      <c r="W102" s="55">
        <f>SUMIFS('Disbursements Summary'!$E:$E,'Disbursements Summary'!$C:$C,$C102,'Disbursements Summary'!$A:$A,"BFSA")</f>
        <v>0</v>
      </c>
      <c r="X102" s="55">
        <f>SUMIFS('Awards Summary'!$H:$H,'Awards Summary'!$B:$B,$C102,'Awards Summary'!$J:$J,"CDTA")</f>
        <v>0</v>
      </c>
      <c r="Y102" s="55">
        <f>SUMIFS('Disbursements Summary'!$E:$E,'Disbursements Summary'!$C:$C,$C102,'Disbursements Summary'!$A:$A,"CDTA")</f>
        <v>0</v>
      </c>
      <c r="Z102" s="55">
        <f>SUMIFS('Awards Summary'!$H:$H,'Awards Summary'!$B:$B,$C102,'Awards Summary'!$J:$J,"CCWSA")</f>
        <v>0</v>
      </c>
      <c r="AA102" s="55">
        <f>SUMIFS('Disbursements Summary'!$E:$E,'Disbursements Summary'!$C:$C,$C102,'Disbursements Summary'!$A:$A,"CCWSA")</f>
        <v>0</v>
      </c>
      <c r="AB102" s="55">
        <f>SUMIFS('Awards Summary'!$H:$H,'Awards Summary'!$B:$B,$C102,'Awards Summary'!$J:$J,"CNYRTA")</f>
        <v>0</v>
      </c>
      <c r="AC102" s="55">
        <f>SUMIFS('Disbursements Summary'!$E:$E,'Disbursements Summary'!$C:$C,$C102,'Disbursements Summary'!$A:$A,"CNYRTA")</f>
        <v>0</v>
      </c>
      <c r="AD102" s="55">
        <f>SUMIFS('Awards Summary'!$H:$H,'Awards Summary'!$B:$B,$C102,'Awards Summary'!$J:$J,"CUCF")</f>
        <v>0</v>
      </c>
      <c r="AE102" s="55">
        <f>SUMIFS('Disbursements Summary'!$E:$E,'Disbursements Summary'!$C:$C,$C102,'Disbursements Summary'!$A:$A,"CUCF")</f>
        <v>0</v>
      </c>
      <c r="AF102" s="55">
        <f>SUMIFS('Awards Summary'!$H:$H,'Awards Summary'!$B:$B,$C102,'Awards Summary'!$J:$J,"CUNY")</f>
        <v>0</v>
      </c>
      <c r="AG102" s="55">
        <f>SUMIFS('Disbursements Summary'!$E:$E,'Disbursements Summary'!$C:$C,$C102,'Disbursements Summary'!$A:$A,"CUNY")</f>
        <v>0</v>
      </c>
      <c r="AH102" s="55">
        <f>SUMIFS('Awards Summary'!$H:$H,'Awards Summary'!$B:$B,$C102,'Awards Summary'!$J:$J,"ARTS")</f>
        <v>0</v>
      </c>
      <c r="AI102" s="55">
        <f>SUMIFS('Disbursements Summary'!$E:$E,'Disbursements Summary'!$C:$C,$C102,'Disbursements Summary'!$A:$A,"ARTS")</f>
        <v>0</v>
      </c>
      <c r="AJ102" s="55">
        <f>SUMIFS('Awards Summary'!$H:$H,'Awards Summary'!$B:$B,$C102,'Awards Summary'!$J:$J,"AG&amp;MKTS")</f>
        <v>0</v>
      </c>
      <c r="AK102" s="55">
        <f>SUMIFS('Disbursements Summary'!$E:$E,'Disbursements Summary'!$C:$C,$C102,'Disbursements Summary'!$A:$A,"AG&amp;MKTS")</f>
        <v>0</v>
      </c>
      <c r="AL102" s="55">
        <f>SUMIFS('Awards Summary'!$H:$H,'Awards Summary'!$B:$B,$C102,'Awards Summary'!$J:$J,"CS")</f>
        <v>0</v>
      </c>
      <c r="AM102" s="55">
        <f>SUMIFS('Disbursements Summary'!$E:$E,'Disbursements Summary'!$C:$C,$C102,'Disbursements Summary'!$A:$A,"CS")</f>
        <v>0</v>
      </c>
      <c r="AN102" s="55">
        <f>SUMIFS('Awards Summary'!$H:$H,'Awards Summary'!$B:$B,$C102,'Awards Summary'!$J:$J,"DOCCS")</f>
        <v>0</v>
      </c>
      <c r="AO102" s="55">
        <f>SUMIFS('Disbursements Summary'!$E:$E,'Disbursements Summary'!$C:$C,$C102,'Disbursements Summary'!$A:$A,"DOCCS")</f>
        <v>0</v>
      </c>
      <c r="AP102" s="55">
        <f>SUMIFS('Awards Summary'!$H:$H,'Awards Summary'!$B:$B,$C102,'Awards Summary'!$J:$J,"DED")</f>
        <v>0</v>
      </c>
      <c r="AQ102" s="55">
        <f>SUMIFS('Disbursements Summary'!$E:$E,'Disbursements Summary'!$C:$C,$C102,'Disbursements Summary'!$A:$A,"DED")</f>
        <v>0</v>
      </c>
      <c r="AR102" s="55">
        <f>SUMIFS('Awards Summary'!$H:$H,'Awards Summary'!$B:$B,$C102,'Awards Summary'!$J:$J,"DEC")</f>
        <v>0</v>
      </c>
      <c r="AS102" s="55">
        <f>SUMIFS('Disbursements Summary'!$E:$E,'Disbursements Summary'!$C:$C,$C102,'Disbursements Summary'!$A:$A,"DEC")</f>
        <v>0</v>
      </c>
      <c r="AT102" s="55">
        <f>SUMIFS('Awards Summary'!$H:$H,'Awards Summary'!$B:$B,$C102,'Awards Summary'!$J:$J,"DFS")</f>
        <v>0</v>
      </c>
      <c r="AU102" s="55">
        <f>SUMIFS('Disbursements Summary'!$E:$E,'Disbursements Summary'!$C:$C,$C102,'Disbursements Summary'!$A:$A,"DFS")</f>
        <v>0</v>
      </c>
      <c r="AV102" s="55">
        <f>SUMIFS('Awards Summary'!$H:$H,'Awards Summary'!$B:$B,$C102,'Awards Summary'!$J:$J,"DOH")</f>
        <v>0</v>
      </c>
      <c r="AW102" s="55">
        <f>SUMIFS('Disbursements Summary'!$E:$E,'Disbursements Summary'!$C:$C,$C102,'Disbursements Summary'!$A:$A,"DOH")</f>
        <v>0</v>
      </c>
      <c r="AX102" s="55">
        <f>SUMIFS('Awards Summary'!$H:$H,'Awards Summary'!$B:$B,$C102,'Awards Summary'!$J:$J,"DOL")</f>
        <v>0</v>
      </c>
      <c r="AY102" s="55">
        <f>SUMIFS('Disbursements Summary'!$E:$E,'Disbursements Summary'!$C:$C,$C102,'Disbursements Summary'!$A:$A,"DOL")</f>
        <v>0</v>
      </c>
      <c r="AZ102" s="55">
        <f>SUMIFS('Awards Summary'!$H:$H,'Awards Summary'!$B:$B,$C102,'Awards Summary'!$J:$J,"DMV")</f>
        <v>0</v>
      </c>
      <c r="BA102" s="55">
        <f>SUMIFS('Disbursements Summary'!$E:$E,'Disbursements Summary'!$C:$C,$C102,'Disbursements Summary'!$A:$A,"DMV")</f>
        <v>0</v>
      </c>
      <c r="BB102" s="55">
        <f>SUMIFS('Awards Summary'!$H:$H,'Awards Summary'!$B:$B,$C102,'Awards Summary'!$J:$J,"DPS")</f>
        <v>0</v>
      </c>
      <c r="BC102" s="55">
        <f>SUMIFS('Disbursements Summary'!$E:$E,'Disbursements Summary'!$C:$C,$C102,'Disbursements Summary'!$A:$A,"DPS")</f>
        <v>0</v>
      </c>
      <c r="BD102" s="55">
        <f>SUMIFS('Awards Summary'!$H:$H,'Awards Summary'!$B:$B,$C102,'Awards Summary'!$J:$J,"DOS")</f>
        <v>0</v>
      </c>
      <c r="BE102" s="55">
        <f>SUMIFS('Disbursements Summary'!$E:$E,'Disbursements Summary'!$C:$C,$C102,'Disbursements Summary'!$A:$A,"DOS")</f>
        <v>0</v>
      </c>
      <c r="BF102" s="55">
        <f>SUMIFS('Awards Summary'!$H:$H,'Awards Summary'!$B:$B,$C102,'Awards Summary'!$J:$J,"TAX")</f>
        <v>0</v>
      </c>
      <c r="BG102" s="55">
        <f>SUMIFS('Disbursements Summary'!$E:$E,'Disbursements Summary'!$C:$C,$C102,'Disbursements Summary'!$A:$A,"TAX")</f>
        <v>0</v>
      </c>
      <c r="BH102" s="55">
        <f>SUMIFS('Awards Summary'!$H:$H,'Awards Summary'!$B:$B,$C102,'Awards Summary'!$J:$J,"DOT")</f>
        <v>0</v>
      </c>
      <c r="BI102" s="55">
        <f>SUMIFS('Disbursements Summary'!$E:$E,'Disbursements Summary'!$C:$C,$C102,'Disbursements Summary'!$A:$A,"DOT")</f>
        <v>0</v>
      </c>
      <c r="BJ102" s="55">
        <f>SUMIFS('Awards Summary'!$H:$H,'Awards Summary'!$B:$B,$C102,'Awards Summary'!$J:$J,"DANC")</f>
        <v>0</v>
      </c>
      <c r="BK102" s="55">
        <f>SUMIFS('Disbursements Summary'!$E:$E,'Disbursements Summary'!$C:$C,$C102,'Disbursements Summary'!$A:$A,"DANC")</f>
        <v>0</v>
      </c>
      <c r="BL102" s="55">
        <f>SUMIFS('Awards Summary'!$H:$H,'Awards Summary'!$B:$B,$C102,'Awards Summary'!$J:$J,"DOB")</f>
        <v>0</v>
      </c>
      <c r="BM102" s="55">
        <f>SUMIFS('Disbursements Summary'!$E:$E,'Disbursements Summary'!$C:$C,$C102,'Disbursements Summary'!$A:$A,"DOB")</f>
        <v>0</v>
      </c>
      <c r="BN102" s="55">
        <f>SUMIFS('Awards Summary'!$H:$H,'Awards Summary'!$B:$B,$C102,'Awards Summary'!$J:$J,"DCJS")</f>
        <v>0</v>
      </c>
      <c r="BO102" s="55">
        <f>SUMIFS('Disbursements Summary'!$E:$E,'Disbursements Summary'!$C:$C,$C102,'Disbursements Summary'!$A:$A,"DCJS")</f>
        <v>0</v>
      </c>
      <c r="BP102" s="55">
        <f>SUMIFS('Awards Summary'!$H:$H,'Awards Summary'!$B:$B,$C102,'Awards Summary'!$J:$J,"DHSES")</f>
        <v>0</v>
      </c>
      <c r="BQ102" s="55">
        <f>SUMIFS('Disbursements Summary'!$E:$E,'Disbursements Summary'!$C:$C,$C102,'Disbursements Summary'!$A:$A,"DHSES")</f>
        <v>0</v>
      </c>
      <c r="BR102" s="55">
        <f>SUMIFS('Awards Summary'!$H:$H,'Awards Summary'!$B:$B,$C102,'Awards Summary'!$J:$J,"DHR")</f>
        <v>0</v>
      </c>
      <c r="BS102" s="55">
        <f>SUMIFS('Disbursements Summary'!$E:$E,'Disbursements Summary'!$C:$C,$C102,'Disbursements Summary'!$A:$A,"DHR")</f>
        <v>0</v>
      </c>
      <c r="BT102" s="55">
        <f>SUMIFS('Awards Summary'!$H:$H,'Awards Summary'!$B:$B,$C102,'Awards Summary'!$J:$J,"DMNA")</f>
        <v>0</v>
      </c>
      <c r="BU102" s="55">
        <f>SUMIFS('Disbursements Summary'!$E:$E,'Disbursements Summary'!$C:$C,$C102,'Disbursements Summary'!$A:$A,"DMNA")</f>
        <v>0</v>
      </c>
      <c r="BV102" s="55">
        <f>SUMIFS('Awards Summary'!$H:$H,'Awards Summary'!$B:$B,$C102,'Awards Summary'!$J:$J,"TROOPERS")</f>
        <v>0</v>
      </c>
      <c r="BW102" s="55">
        <f>SUMIFS('Disbursements Summary'!$E:$E,'Disbursements Summary'!$C:$C,$C102,'Disbursements Summary'!$A:$A,"TROOPERS")</f>
        <v>0</v>
      </c>
      <c r="BX102" s="55">
        <f>SUMIFS('Awards Summary'!$H:$H,'Awards Summary'!$B:$B,$C102,'Awards Summary'!$J:$J,"DVA")</f>
        <v>0</v>
      </c>
      <c r="BY102" s="55">
        <f>SUMIFS('Disbursements Summary'!$E:$E,'Disbursements Summary'!$C:$C,$C102,'Disbursements Summary'!$A:$A,"DVA")</f>
        <v>0</v>
      </c>
      <c r="BZ102" s="55">
        <f>SUMIFS('Awards Summary'!$H:$H,'Awards Summary'!$B:$B,$C102,'Awards Summary'!$J:$J,"DASNY")</f>
        <v>0</v>
      </c>
      <c r="CA102" s="55">
        <f>SUMIFS('Disbursements Summary'!$E:$E,'Disbursements Summary'!$C:$C,$C102,'Disbursements Summary'!$A:$A,"DASNY")</f>
        <v>0</v>
      </c>
      <c r="CB102" s="55">
        <f>SUMIFS('Awards Summary'!$H:$H,'Awards Summary'!$B:$B,$C102,'Awards Summary'!$J:$J,"EGG")</f>
        <v>0</v>
      </c>
      <c r="CC102" s="55">
        <f>SUMIFS('Disbursements Summary'!$E:$E,'Disbursements Summary'!$C:$C,$C102,'Disbursements Summary'!$A:$A,"EGG")</f>
        <v>0</v>
      </c>
      <c r="CD102" s="55">
        <f>SUMIFS('Awards Summary'!$H:$H,'Awards Summary'!$B:$B,$C102,'Awards Summary'!$J:$J,"ESD")</f>
        <v>0</v>
      </c>
      <c r="CE102" s="55">
        <f>SUMIFS('Disbursements Summary'!$E:$E,'Disbursements Summary'!$C:$C,$C102,'Disbursements Summary'!$A:$A,"ESD")</f>
        <v>0</v>
      </c>
      <c r="CF102" s="55">
        <f>SUMIFS('Awards Summary'!$H:$H,'Awards Summary'!$B:$B,$C102,'Awards Summary'!$J:$J,"EFC")</f>
        <v>0</v>
      </c>
      <c r="CG102" s="55">
        <f>SUMIFS('Disbursements Summary'!$E:$E,'Disbursements Summary'!$C:$C,$C102,'Disbursements Summary'!$A:$A,"EFC")</f>
        <v>0</v>
      </c>
      <c r="CH102" s="55">
        <f>SUMIFS('Awards Summary'!$H:$H,'Awards Summary'!$B:$B,$C102,'Awards Summary'!$J:$J,"ECFSA")</f>
        <v>0</v>
      </c>
      <c r="CI102" s="55">
        <f>SUMIFS('Disbursements Summary'!$E:$E,'Disbursements Summary'!$C:$C,$C102,'Disbursements Summary'!$A:$A,"ECFSA")</f>
        <v>0</v>
      </c>
      <c r="CJ102" s="55">
        <f>SUMIFS('Awards Summary'!$H:$H,'Awards Summary'!$B:$B,$C102,'Awards Summary'!$J:$J,"ECMC")</f>
        <v>0</v>
      </c>
      <c r="CK102" s="55">
        <f>SUMIFS('Disbursements Summary'!$E:$E,'Disbursements Summary'!$C:$C,$C102,'Disbursements Summary'!$A:$A,"ECMC")</f>
        <v>0</v>
      </c>
      <c r="CL102" s="55">
        <f>SUMIFS('Awards Summary'!$H:$H,'Awards Summary'!$B:$B,$C102,'Awards Summary'!$J:$J,"CHAMBER")</f>
        <v>0</v>
      </c>
      <c r="CM102" s="55">
        <f>SUMIFS('Disbursements Summary'!$E:$E,'Disbursements Summary'!$C:$C,$C102,'Disbursements Summary'!$A:$A,"CHAMBER")</f>
        <v>0</v>
      </c>
      <c r="CN102" s="55">
        <f>SUMIFS('Awards Summary'!$H:$H,'Awards Summary'!$B:$B,$C102,'Awards Summary'!$J:$J,"GAMING")</f>
        <v>0</v>
      </c>
      <c r="CO102" s="55">
        <f>SUMIFS('Disbursements Summary'!$E:$E,'Disbursements Summary'!$C:$C,$C102,'Disbursements Summary'!$A:$A,"GAMING")</f>
        <v>0</v>
      </c>
      <c r="CP102" s="55">
        <f>SUMIFS('Awards Summary'!$H:$H,'Awards Summary'!$B:$B,$C102,'Awards Summary'!$J:$J,"GOER")</f>
        <v>0</v>
      </c>
      <c r="CQ102" s="55">
        <f>SUMIFS('Disbursements Summary'!$E:$E,'Disbursements Summary'!$C:$C,$C102,'Disbursements Summary'!$A:$A,"GOER")</f>
        <v>0</v>
      </c>
      <c r="CR102" s="55">
        <f>SUMIFS('Awards Summary'!$H:$H,'Awards Summary'!$B:$B,$C102,'Awards Summary'!$J:$J,"HESC")</f>
        <v>0</v>
      </c>
      <c r="CS102" s="55">
        <f>SUMIFS('Disbursements Summary'!$E:$E,'Disbursements Summary'!$C:$C,$C102,'Disbursements Summary'!$A:$A,"HESC")</f>
        <v>0</v>
      </c>
      <c r="CT102" s="55">
        <f>SUMIFS('Awards Summary'!$H:$H,'Awards Summary'!$B:$B,$C102,'Awards Summary'!$J:$J,"GOSR")</f>
        <v>0</v>
      </c>
      <c r="CU102" s="55">
        <f>SUMIFS('Disbursements Summary'!$E:$E,'Disbursements Summary'!$C:$C,$C102,'Disbursements Summary'!$A:$A,"GOSR")</f>
        <v>0</v>
      </c>
      <c r="CV102" s="55">
        <f>SUMIFS('Awards Summary'!$H:$H,'Awards Summary'!$B:$B,$C102,'Awards Summary'!$J:$J,"HRPT")</f>
        <v>0</v>
      </c>
      <c r="CW102" s="55">
        <f>SUMIFS('Disbursements Summary'!$E:$E,'Disbursements Summary'!$C:$C,$C102,'Disbursements Summary'!$A:$A,"HRPT")</f>
        <v>0</v>
      </c>
      <c r="CX102" s="55">
        <f>SUMIFS('Awards Summary'!$H:$H,'Awards Summary'!$B:$B,$C102,'Awards Summary'!$J:$J,"HRBRRD")</f>
        <v>0</v>
      </c>
      <c r="CY102" s="55">
        <f>SUMIFS('Disbursements Summary'!$E:$E,'Disbursements Summary'!$C:$C,$C102,'Disbursements Summary'!$A:$A,"HRBRRD")</f>
        <v>0</v>
      </c>
      <c r="CZ102" s="55">
        <f>SUMIFS('Awards Summary'!$H:$H,'Awards Summary'!$B:$B,$C102,'Awards Summary'!$J:$J,"ITS")</f>
        <v>0</v>
      </c>
      <c r="DA102" s="55">
        <f>SUMIFS('Disbursements Summary'!$E:$E,'Disbursements Summary'!$C:$C,$C102,'Disbursements Summary'!$A:$A,"ITS")</f>
        <v>0</v>
      </c>
      <c r="DB102" s="55">
        <f>SUMIFS('Awards Summary'!$H:$H,'Awards Summary'!$B:$B,$C102,'Awards Summary'!$J:$J,"JAVITS")</f>
        <v>0</v>
      </c>
      <c r="DC102" s="55">
        <f>SUMIFS('Disbursements Summary'!$E:$E,'Disbursements Summary'!$C:$C,$C102,'Disbursements Summary'!$A:$A,"JAVITS")</f>
        <v>0</v>
      </c>
      <c r="DD102" s="55">
        <f>SUMIFS('Awards Summary'!$H:$H,'Awards Summary'!$B:$B,$C102,'Awards Summary'!$J:$J,"JCOPE")</f>
        <v>0</v>
      </c>
      <c r="DE102" s="55">
        <f>SUMIFS('Disbursements Summary'!$E:$E,'Disbursements Summary'!$C:$C,$C102,'Disbursements Summary'!$A:$A,"JCOPE")</f>
        <v>0</v>
      </c>
      <c r="DF102" s="55">
        <f>SUMIFS('Awards Summary'!$H:$H,'Awards Summary'!$B:$B,$C102,'Awards Summary'!$J:$J,"JUSTICE")</f>
        <v>0</v>
      </c>
      <c r="DG102" s="55">
        <f>SUMIFS('Disbursements Summary'!$E:$E,'Disbursements Summary'!$C:$C,$C102,'Disbursements Summary'!$A:$A,"JUSTICE")</f>
        <v>0</v>
      </c>
      <c r="DH102" s="55">
        <f>SUMIFS('Awards Summary'!$H:$H,'Awards Summary'!$B:$B,$C102,'Awards Summary'!$J:$J,"LCWSA")</f>
        <v>0</v>
      </c>
      <c r="DI102" s="55">
        <f>SUMIFS('Disbursements Summary'!$E:$E,'Disbursements Summary'!$C:$C,$C102,'Disbursements Summary'!$A:$A,"LCWSA")</f>
        <v>0</v>
      </c>
      <c r="DJ102" s="55">
        <f>SUMIFS('Awards Summary'!$H:$H,'Awards Summary'!$B:$B,$C102,'Awards Summary'!$J:$J,"LIPA")</f>
        <v>0</v>
      </c>
      <c r="DK102" s="55">
        <f>SUMIFS('Disbursements Summary'!$E:$E,'Disbursements Summary'!$C:$C,$C102,'Disbursements Summary'!$A:$A,"LIPA")</f>
        <v>0</v>
      </c>
      <c r="DL102" s="55">
        <f>SUMIFS('Awards Summary'!$H:$H,'Awards Summary'!$B:$B,$C102,'Awards Summary'!$J:$J,"MTA")</f>
        <v>0</v>
      </c>
      <c r="DM102" s="55">
        <f>SUMIFS('Disbursements Summary'!$E:$E,'Disbursements Summary'!$C:$C,$C102,'Disbursements Summary'!$A:$A,"MTA")</f>
        <v>0</v>
      </c>
      <c r="DN102" s="55">
        <f>SUMIFS('Awards Summary'!$H:$H,'Awards Summary'!$B:$B,$C102,'Awards Summary'!$J:$J,"NIFA")</f>
        <v>0</v>
      </c>
      <c r="DO102" s="55">
        <f>SUMIFS('Disbursements Summary'!$E:$E,'Disbursements Summary'!$C:$C,$C102,'Disbursements Summary'!$A:$A,"NIFA")</f>
        <v>0</v>
      </c>
      <c r="DP102" s="55">
        <f>SUMIFS('Awards Summary'!$H:$H,'Awards Summary'!$B:$B,$C102,'Awards Summary'!$J:$J,"NHCC")</f>
        <v>0</v>
      </c>
      <c r="DQ102" s="55">
        <f>SUMIFS('Disbursements Summary'!$E:$E,'Disbursements Summary'!$C:$C,$C102,'Disbursements Summary'!$A:$A,"NHCC")</f>
        <v>0</v>
      </c>
      <c r="DR102" s="55">
        <f>SUMIFS('Awards Summary'!$H:$H,'Awards Summary'!$B:$B,$C102,'Awards Summary'!$J:$J,"NHT")</f>
        <v>0</v>
      </c>
      <c r="DS102" s="55">
        <f>SUMIFS('Disbursements Summary'!$E:$E,'Disbursements Summary'!$C:$C,$C102,'Disbursements Summary'!$A:$A,"NHT")</f>
        <v>0</v>
      </c>
      <c r="DT102" s="55">
        <f>SUMIFS('Awards Summary'!$H:$H,'Awards Summary'!$B:$B,$C102,'Awards Summary'!$J:$J,"NYPA")</f>
        <v>0</v>
      </c>
      <c r="DU102" s="55">
        <f>SUMIFS('Disbursements Summary'!$E:$E,'Disbursements Summary'!$C:$C,$C102,'Disbursements Summary'!$A:$A,"NYPA")</f>
        <v>0</v>
      </c>
      <c r="DV102" s="55">
        <f>SUMIFS('Awards Summary'!$H:$H,'Awards Summary'!$B:$B,$C102,'Awards Summary'!$J:$J,"NYSBA")</f>
        <v>0</v>
      </c>
      <c r="DW102" s="55">
        <f>SUMIFS('Disbursements Summary'!$E:$E,'Disbursements Summary'!$C:$C,$C102,'Disbursements Summary'!$A:$A,"NYSBA")</f>
        <v>0</v>
      </c>
      <c r="DX102" s="55">
        <f>SUMIFS('Awards Summary'!$H:$H,'Awards Summary'!$B:$B,$C102,'Awards Summary'!$J:$J,"NYSERDA")</f>
        <v>0</v>
      </c>
      <c r="DY102" s="55">
        <f>SUMIFS('Disbursements Summary'!$E:$E,'Disbursements Summary'!$C:$C,$C102,'Disbursements Summary'!$A:$A,"NYSERDA")</f>
        <v>0</v>
      </c>
      <c r="DZ102" s="55">
        <f>SUMIFS('Awards Summary'!$H:$H,'Awards Summary'!$B:$B,$C102,'Awards Summary'!$J:$J,"DHCR")</f>
        <v>0</v>
      </c>
      <c r="EA102" s="55">
        <f>SUMIFS('Disbursements Summary'!$E:$E,'Disbursements Summary'!$C:$C,$C102,'Disbursements Summary'!$A:$A,"DHCR")</f>
        <v>0</v>
      </c>
      <c r="EB102" s="55">
        <f>SUMIFS('Awards Summary'!$H:$H,'Awards Summary'!$B:$B,$C102,'Awards Summary'!$J:$J,"HFA")</f>
        <v>0</v>
      </c>
      <c r="EC102" s="55">
        <f>SUMIFS('Disbursements Summary'!$E:$E,'Disbursements Summary'!$C:$C,$C102,'Disbursements Summary'!$A:$A,"HFA")</f>
        <v>0</v>
      </c>
      <c r="ED102" s="55">
        <f>SUMIFS('Awards Summary'!$H:$H,'Awards Summary'!$B:$B,$C102,'Awards Summary'!$J:$J,"NYSIF")</f>
        <v>0</v>
      </c>
      <c r="EE102" s="55">
        <f>SUMIFS('Disbursements Summary'!$E:$E,'Disbursements Summary'!$C:$C,$C102,'Disbursements Summary'!$A:$A,"NYSIF")</f>
        <v>0</v>
      </c>
      <c r="EF102" s="55">
        <f>SUMIFS('Awards Summary'!$H:$H,'Awards Summary'!$B:$B,$C102,'Awards Summary'!$J:$J,"NYBREDS")</f>
        <v>0</v>
      </c>
      <c r="EG102" s="55">
        <f>SUMIFS('Disbursements Summary'!$E:$E,'Disbursements Summary'!$C:$C,$C102,'Disbursements Summary'!$A:$A,"NYBREDS")</f>
        <v>0</v>
      </c>
      <c r="EH102" s="55">
        <f>SUMIFS('Awards Summary'!$H:$H,'Awards Summary'!$B:$B,$C102,'Awards Summary'!$J:$J,"NYSTA")</f>
        <v>0</v>
      </c>
      <c r="EI102" s="55">
        <f>SUMIFS('Disbursements Summary'!$E:$E,'Disbursements Summary'!$C:$C,$C102,'Disbursements Summary'!$A:$A,"NYSTA")</f>
        <v>0</v>
      </c>
      <c r="EJ102" s="55">
        <f>SUMIFS('Awards Summary'!$H:$H,'Awards Summary'!$B:$B,$C102,'Awards Summary'!$J:$J,"NFWB")</f>
        <v>0</v>
      </c>
      <c r="EK102" s="55">
        <f>SUMIFS('Disbursements Summary'!$E:$E,'Disbursements Summary'!$C:$C,$C102,'Disbursements Summary'!$A:$A,"NFWB")</f>
        <v>0</v>
      </c>
      <c r="EL102" s="55">
        <f>SUMIFS('Awards Summary'!$H:$H,'Awards Summary'!$B:$B,$C102,'Awards Summary'!$J:$J,"NFTA")</f>
        <v>0</v>
      </c>
      <c r="EM102" s="55">
        <f>SUMIFS('Disbursements Summary'!$E:$E,'Disbursements Summary'!$C:$C,$C102,'Disbursements Summary'!$A:$A,"NFTA")</f>
        <v>0</v>
      </c>
      <c r="EN102" s="55">
        <f>SUMIFS('Awards Summary'!$H:$H,'Awards Summary'!$B:$B,$C102,'Awards Summary'!$J:$J,"OPWDD")</f>
        <v>0</v>
      </c>
      <c r="EO102" s="55">
        <f>SUMIFS('Disbursements Summary'!$E:$E,'Disbursements Summary'!$C:$C,$C102,'Disbursements Summary'!$A:$A,"OPWDD")</f>
        <v>0</v>
      </c>
      <c r="EP102" s="55">
        <f>SUMIFS('Awards Summary'!$H:$H,'Awards Summary'!$B:$B,$C102,'Awards Summary'!$J:$J,"AGING")</f>
        <v>0</v>
      </c>
      <c r="EQ102" s="55">
        <f>SUMIFS('Disbursements Summary'!$E:$E,'Disbursements Summary'!$C:$C,$C102,'Disbursements Summary'!$A:$A,"AGING")</f>
        <v>0</v>
      </c>
      <c r="ER102" s="55">
        <f>SUMIFS('Awards Summary'!$H:$H,'Awards Summary'!$B:$B,$C102,'Awards Summary'!$J:$J,"OPDV")</f>
        <v>0</v>
      </c>
      <c r="ES102" s="55">
        <f>SUMIFS('Disbursements Summary'!$E:$E,'Disbursements Summary'!$C:$C,$C102,'Disbursements Summary'!$A:$A,"OPDV")</f>
        <v>0</v>
      </c>
      <c r="ET102" s="55">
        <f>SUMIFS('Awards Summary'!$H:$H,'Awards Summary'!$B:$B,$C102,'Awards Summary'!$J:$J,"OVS")</f>
        <v>0</v>
      </c>
      <c r="EU102" s="55">
        <f>SUMIFS('Disbursements Summary'!$E:$E,'Disbursements Summary'!$C:$C,$C102,'Disbursements Summary'!$A:$A,"OVS")</f>
        <v>0</v>
      </c>
      <c r="EV102" s="55">
        <f>SUMIFS('Awards Summary'!$H:$H,'Awards Summary'!$B:$B,$C102,'Awards Summary'!$J:$J,"OASAS")</f>
        <v>0</v>
      </c>
      <c r="EW102" s="55">
        <f>SUMIFS('Disbursements Summary'!$E:$E,'Disbursements Summary'!$C:$C,$C102,'Disbursements Summary'!$A:$A,"OASAS")</f>
        <v>0</v>
      </c>
      <c r="EX102" s="55">
        <f>SUMIFS('Awards Summary'!$H:$H,'Awards Summary'!$B:$B,$C102,'Awards Summary'!$J:$J,"OCFS")</f>
        <v>0</v>
      </c>
      <c r="EY102" s="55">
        <f>SUMIFS('Disbursements Summary'!$E:$E,'Disbursements Summary'!$C:$C,$C102,'Disbursements Summary'!$A:$A,"OCFS")</f>
        <v>0</v>
      </c>
      <c r="EZ102" s="55">
        <f>SUMIFS('Awards Summary'!$H:$H,'Awards Summary'!$B:$B,$C102,'Awards Summary'!$J:$J,"OGS")</f>
        <v>0</v>
      </c>
      <c r="FA102" s="55">
        <f>SUMIFS('Disbursements Summary'!$E:$E,'Disbursements Summary'!$C:$C,$C102,'Disbursements Summary'!$A:$A,"OGS")</f>
        <v>0</v>
      </c>
      <c r="FB102" s="55">
        <f>SUMIFS('Awards Summary'!$H:$H,'Awards Summary'!$B:$B,$C102,'Awards Summary'!$J:$J,"OMH")</f>
        <v>0</v>
      </c>
      <c r="FC102" s="55">
        <f>SUMIFS('Disbursements Summary'!$E:$E,'Disbursements Summary'!$C:$C,$C102,'Disbursements Summary'!$A:$A,"OMH")</f>
        <v>0</v>
      </c>
      <c r="FD102" s="55">
        <f>SUMIFS('Awards Summary'!$H:$H,'Awards Summary'!$B:$B,$C102,'Awards Summary'!$J:$J,"PARKS")</f>
        <v>0</v>
      </c>
      <c r="FE102" s="55">
        <f>SUMIFS('Disbursements Summary'!$E:$E,'Disbursements Summary'!$C:$C,$C102,'Disbursements Summary'!$A:$A,"PARKS")</f>
        <v>0</v>
      </c>
      <c r="FF102" s="55">
        <f>SUMIFS('Awards Summary'!$H:$H,'Awards Summary'!$B:$B,$C102,'Awards Summary'!$J:$J,"OTDA")</f>
        <v>0</v>
      </c>
      <c r="FG102" s="55">
        <f>SUMIFS('Disbursements Summary'!$E:$E,'Disbursements Summary'!$C:$C,$C102,'Disbursements Summary'!$A:$A,"OTDA")</f>
        <v>0</v>
      </c>
      <c r="FH102" s="55">
        <f>SUMIFS('Awards Summary'!$H:$H,'Awards Summary'!$B:$B,$C102,'Awards Summary'!$J:$J,"OIG")</f>
        <v>0</v>
      </c>
      <c r="FI102" s="55">
        <f>SUMIFS('Disbursements Summary'!$E:$E,'Disbursements Summary'!$C:$C,$C102,'Disbursements Summary'!$A:$A,"OIG")</f>
        <v>0</v>
      </c>
      <c r="FJ102" s="55">
        <f>SUMIFS('Awards Summary'!$H:$H,'Awards Summary'!$B:$B,$C102,'Awards Summary'!$J:$J,"OMIG")</f>
        <v>0</v>
      </c>
      <c r="FK102" s="55">
        <f>SUMIFS('Disbursements Summary'!$E:$E,'Disbursements Summary'!$C:$C,$C102,'Disbursements Summary'!$A:$A,"OMIG")</f>
        <v>0</v>
      </c>
      <c r="FL102" s="55">
        <f>SUMIFS('Awards Summary'!$H:$H,'Awards Summary'!$B:$B,$C102,'Awards Summary'!$J:$J,"OSC")</f>
        <v>0</v>
      </c>
      <c r="FM102" s="55">
        <f>SUMIFS('Disbursements Summary'!$E:$E,'Disbursements Summary'!$C:$C,$C102,'Disbursements Summary'!$A:$A,"OSC")</f>
        <v>0</v>
      </c>
      <c r="FN102" s="55">
        <f>SUMIFS('Awards Summary'!$H:$H,'Awards Summary'!$B:$B,$C102,'Awards Summary'!$J:$J,"OWIG")</f>
        <v>0</v>
      </c>
      <c r="FO102" s="55">
        <f>SUMIFS('Disbursements Summary'!$E:$E,'Disbursements Summary'!$C:$C,$C102,'Disbursements Summary'!$A:$A,"OWIG")</f>
        <v>0</v>
      </c>
      <c r="FP102" s="55">
        <f>SUMIFS('Awards Summary'!$H:$H,'Awards Summary'!$B:$B,$C102,'Awards Summary'!$J:$J,"OGDEN")</f>
        <v>0</v>
      </c>
      <c r="FQ102" s="55">
        <f>SUMIFS('Disbursements Summary'!$E:$E,'Disbursements Summary'!$C:$C,$C102,'Disbursements Summary'!$A:$A,"OGDEN")</f>
        <v>0</v>
      </c>
      <c r="FR102" s="55">
        <f>SUMIFS('Awards Summary'!$H:$H,'Awards Summary'!$B:$B,$C102,'Awards Summary'!$J:$J,"ORDA")</f>
        <v>0</v>
      </c>
      <c r="FS102" s="55">
        <f>SUMIFS('Disbursements Summary'!$E:$E,'Disbursements Summary'!$C:$C,$C102,'Disbursements Summary'!$A:$A,"ORDA")</f>
        <v>0</v>
      </c>
      <c r="FT102" s="55">
        <f>SUMIFS('Awards Summary'!$H:$H,'Awards Summary'!$B:$B,$C102,'Awards Summary'!$J:$J,"OSWEGO")</f>
        <v>0</v>
      </c>
      <c r="FU102" s="55">
        <f>SUMIFS('Disbursements Summary'!$E:$E,'Disbursements Summary'!$C:$C,$C102,'Disbursements Summary'!$A:$A,"OSWEGO")</f>
        <v>0</v>
      </c>
      <c r="FV102" s="55">
        <f>SUMIFS('Awards Summary'!$H:$H,'Awards Summary'!$B:$B,$C102,'Awards Summary'!$J:$J,"PERB")</f>
        <v>0</v>
      </c>
      <c r="FW102" s="55">
        <f>SUMIFS('Disbursements Summary'!$E:$E,'Disbursements Summary'!$C:$C,$C102,'Disbursements Summary'!$A:$A,"PERB")</f>
        <v>0</v>
      </c>
      <c r="FX102" s="55">
        <f>SUMIFS('Awards Summary'!$H:$H,'Awards Summary'!$B:$B,$C102,'Awards Summary'!$J:$J,"RGRTA")</f>
        <v>0</v>
      </c>
      <c r="FY102" s="55">
        <f>SUMIFS('Disbursements Summary'!$E:$E,'Disbursements Summary'!$C:$C,$C102,'Disbursements Summary'!$A:$A,"RGRTA")</f>
        <v>0</v>
      </c>
      <c r="FZ102" s="55">
        <f>SUMIFS('Awards Summary'!$H:$H,'Awards Summary'!$B:$B,$C102,'Awards Summary'!$J:$J,"RIOC")</f>
        <v>0</v>
      </c>
      <c r="GA102" s="55">
        <f>SUMIFS('Disbursements Summary'!$E:$E,'Disbursements Summary'!$C:$C,$C102,'Disbursements Summary'!$A:$A,"RIOC")</f>
        <v>0</v>
      </c>
      <c r="GB102" s="55">
        <f>SUMIFS('Awards Summary'!$H:$H,'Awards Summary'!$B:$B,$C102,'Awards Summary'!$J:$J,"RPCI")</f>
        <v>0</v>
      </c>
      <c r="GC102" s="55">
        <f>SUMIFS('Disbursements Summary'!$E:$E,'Disbursements Summary'!$C:$C,$C102,'Disbursements Summary'!$A:$A,"RPCI")</f>
        <v>0</v>
      </c>
      <c r="GD102" s="55">
        <f>SUMIFS('Awards Summary'!$H:$H,'Awards Summary'!$B:$B,$C102,'Awards Summary'!$J:$J,"SMDA")</f>
        <v>0</v>
      </c>
      <c r="GE102" s="55">
        <f>SUMIFS('Disbursements Summary'!$E:$E,'Disbursements Summary'!$C:$C,$C102,'Disbursements Summary'!$A:$A,"SMDA")</f>
        <v>0</v>
      </c>
      <c r="GF102" s="55">
        <f>SUMIFS('Awards Summary'!$H:$H,'Awards Summary'!$B:$B,$C102,'Awards Summary'!$J:$J,"SCOC")</f>
        <v>0</v>
      </c>
      <c r="GG102" s="55">
        <f>SUMIFS('Disbursements Summary'!$E:$E,'Disbursements Summary'!$C:$C,$C102,'Disbursements Summary'!$A:$A,"SCOC")</f>
        <v>0</v>
      </c>
      <c r="GH102" s="55">
        <f>SUMIFS('Awards Summary'!$H:$H,'Awards Summary'!$B:$B,$C102,'Awards Summary'!$J:$J,"SUCF")</f>
        <v>0</v>
      </c>
      <c r="GI102" s="55">
        <f>SUMIFS('Disbursements Summary'!$E:$E,'Disbursements Summary'!$C:$C,$C102,'Disbursements Summary'!$A:$A,"SUCF")</f>
        <v>0</v>
      </c>
      <c r="GJ102" s="55">
        <f>SUMIFS('Awards Summary'!$H:$H,'Awards Summary'!$B:$B,$C102,'Awards Summary'!$J:$J,"SUNY")</f>
        <v>0</v>
      </c>
      <c r="GK102" s="55">
        <f>SUMIFS('Disbursements Summary'!$E:$E,'Disbursements Summary'!$C:$C,$C102,'Disbursements Summary'!$A:$A,"SUNY")</f>
        <v>0</v>
      </c>
      <c r="GL102" s="55">
        <f>SUMIFS('Awards Summary'!$H:$H,'Awards Summary'!$B:$B,$C102,'Awards Summary'!$J:$J,"SRAA")</f>
        <v>0</v>
      </c>
      <c r="GM102" s="55">
        <f>SUMIFS('Disbursements Summary'!$E:$E,'Disbursements Summary'!$C:$C,$C102,'Disbursements Summary'!$A:$A,"SRAA")</f>
        <v>0</v>
      </c>
      <c r="GN102" s="55">
        <f>SUMIFS('Awards Summary'!$H:$H,'Awards Summary'!$B:$B,$C102,'Awards Summary'!$J:$J,"UNDC")</f>
        <v>0</v>
      </c>
      <c r="GO102" s="55">
        <f>SUMIFS('Disbursements Summary'!$E:$E,'Disbursements Summary'!$C:$C,$C102,'Disbursements Summary'!$A:$A,"UNDC")</f>
        <v>0</v>
      </c>
      <c r="GP102" s="55">
        <f>SUMIFS('Awards Summary'!$H:$H,'Awards Summary'!$B:$B,$C102,'Awards Summary'!$J:$J,"MVWA")</f>
        <v>0</v>
      </c>
      <c r="GQ102" s="55">
        <f>SUMIFS('Disbursements Summary'!$E:$E,'Disbursements Summary'!$C:$C,$C102,'Disbursements Summary'!$A:$A,"MVWA")</f>
        <v>0</v>
      </c>
      <c r="GR102" s="55">
        <f>SUMIFS('Awards Summary'!$H:$H,'Awards Summary'!$B:$B,$C102,'Awards Summary'!$J:$J,"WMC")</f>
        <v>0</v>
      </c>
      <c r="GS102" s="55">
        <f>SUMIFS('Disbursements Summary'!$E:$E,'Disbursements Summary'!$C:$C,$C102,'Disbursements Summary'!$A:$A,"WMC")</f>
        <v>0</v>
      </c>
      <c r="GT102" s="55">
        <f>SUMIFS('Awards Summary'!$H:$H,'Awards Summary'!$B:$B,$C102,'Awards Summary'!$J:$J,"WCB")</f>
        <v>0</v>
      </c>
      <c r="GU102" s="55">
        <f>SUMIFS('Disbursements Summary'!$E:$E,'Disbursements Summary'!$C:$C,$C102,'Disbursements Summary'!$A:$A,"WCB")</f>
        <v>0</v>
      </c>
      <c r="GV102" s="32">
        <f t="shared" si="10"/>
        <v>0</v>
      </c>
      <c r="GW102" s="32">
        <f t="shared" si="11"/>
        <v>0</v>
      </c>
      <c r="GX102" s="30" t="b">
        <f t="shared" si="12"/>
        <v>1</v>
      </c>
      <c r="GY102" s="30" t="b">
        <f t="shared" si="13"/>
        <v>1</v>
      </c>
    </row>
    <row r="103" spans="1:207" s="30" customFormat="1">
      <c r="A103" s="22" t="str">
        <f t="shared" si="9"/>
        <v/>
      </c>
      <c r="B103" s="40" t="s">
        <v>117</v>
      </c>
      <c r="C103" s="16">
        <v>151223</v>
      </c>
      <c r="D103" s="26">
        <f>COUNTIF('Awards Summary'!B:B,"151223")</f>
        <v>0</v>
      </c>
      <c r="E103" s="45">
        <f>SUMIFS('Awards Summary'!H:H,'Awards Summary'!B:B,"151223")</f>
        <v>0</v>
      </c>
      <c r="F103" s="46">
        <f>SUMIFS('Disbursements Summary'!E:E,'Disbursements Summary'!C:C, "151223")</f>
        <v>0</v>
      </c>
      <c r="H103" s="55">
        <f>SUMIFS('Awards Summary'!$H:$H,'Awards Summary'!$B:$B,$C103,'Awards Summary'!$J:$J,"APA")</f>
        <v>0</v>
      </c>
      <c r="I103" s="55">
        <f>SUMIFS('Disbursements Summary'!$E:$E,'Disbursements Summary'!$C:$C,$C103,'Disbursements Summary'!$A:$A,"APA")</f>
        <v>0</v>
      </c>
      <c r="J103" s="55">
        <f>SUMIFS('Awards Summary'!$H:$H,'Awards Summary'!$B:$B,$C103,'Awards Summary'!$J:$J,"Ag&amp;Horse")</f>
        <v>0</v>
      </c>
      <c r="K103" s="55">
        <f>SUMIFS('Disbursements Summary'!$E:$E,'Disbursements Summary'!$C:$C,$C103,'Disbursements Summary'!$A:$A,"Ag&amp;Horse")</f>
        <v>0</v>
      </c>
      <c r="L103" s="55">
        <f>SUMIFS('Awards Summary'!$H:$H,'Awards Summary'!$B:$B,$C103,'Awards Summary'!$J:$J,"ACAA")</f>
        <v>0</v>
      </c>
      <c r="M103" s="55">
        <f>SUMIFS('Disbursements Summary'!$E:$E,'Disbursements Summary'!$C:$C,$C103,'Disbursements Summary'!$A:$A,"ACAA")</f>
        <v>0</v>
      </c>
      <c r="N103" s="55">
        <f>SUMIFS('Awards Summary'!$H:$H,'Awards Summary'!$B:$B,$C103,'Awards Summary'!$J:$J,"PortAlbany")</f>
        <v>0</v>
      </c>
      <c r="O103" s="55">
        <f>SUMIFS('Disbursements Summary'!$E:$E,'Disbursements Summary'!$C:$C,$C103,'Disbursements Summary'!$A:$A,"PortAlbany")</f>
        <v>0</v>
      </c>
      <c r="P103" s="55">
        <f>SUMIFS('Awards Summary'!$H:$H,'Awards Summary'!$B:$B,$C103,'Awards Summary'!$J:$J,"SLA")</f>
        <v>0</v>
      </c>
      <c r="Q103" s="55">
        <f>SUMIFS('Disbursements Summary'!$E:$E,'Disbursements Summary'!$C:$C,$C103,'Disbursements Summary'!$A:$A,"SLA")</f>
        <v>0</v>
      </c>
      <c r="R103" s="55">
        <f>SUMIFS('Awards Summary'!$H:$H,'Awards Summary'!$B:$B,$C103,'Awards Summary'!$J:$J,"BPCA")</f>
        <v>0</v>
      </c>
      <c r="S103" s="55">
        <f>SUMIFS('Disbursements Summary'!$E:$E,'Disbursements Summary'!$C:$C,$C103,'Disbursements Summary'!$A:$A,"BPCA")</f>
        <v>0</v>
      </c>
      <c r="T103" s="55">
        <f>SUMIFS('Awards Summary'!$H:$H,'Awards Summary'!$B:$B,$C103,'Awards Summary'!$J:$J,"ELECTIONS")</f>
        <v>0</v>
      </c>
      <c r="U103" s="55">
        <f>SUMIFS('Disbursements Summary'!$E:$E,'Disbursements Summary'!$C:$C,$C103,'Disbursements Summary'!$A:$A,"ELECTIONS")</f>
        <v>0</v>
      </c>
      <c r="V103" s="55">
        <f>SUMIFS('Awards Summary'!$H:$H,'Awards Summary'!$B:$B,$C103,'Awards Summary'!$J:$J,"BFSA")</f>
        <v>0</v>
      </c>
      <c r="W103" s="55">
        <f>SUMIFS('Disbursements Summary'!$E:$E,'Disbursements Summary'!$C:$C,$C103,'Disbursements Summary'!$A:$A,"BFSA")</f>
        <v>0</v>
      </c>
      <c r="X103" s="55">
        <f>SUMIFS('Awards Summary'!$H:$H,'Awards Summary'!$B:$B,$C103,'Awards Summary'!$J:$J,"CDTA")</f>
        <v>0</v>
      </c>
      <c r="Y103" s="55">
        <f>SUMIFS('Disbursements Summary'!$E:$E,'Disbursements Summary'!$C:$C,$C103,'Disbursements Summary'!$A:$A,"CDTA")</f>
        <v>0</v>
      </c>
      <c r="Z103" s="55">
        <f>SUMIFS('Awards Summary'!$H:$H,'Awards Summary'!$B:$B,$C103,'Awards Summary'!$J:$J,"CCWSA")</f>
        <v>0</v>
      </c>
      <c r="AA103" s="55">
        <f>SUMIFS('Disbursements Summary'!$E:$E,'Disbursements Summary'!$C:$C,$C103,'Disbursements Summary'!$A:$A,"CCWSA")</f>
        <v>0</v>
      </c>
      <c r="AB103" s="55">
        <f>SUMIFS('Awards Summary'!$H:$H,'Awards Summary'!$B:$B,$C103,'Awards Summary'!$J:$J,"CNYRTA")</f>
        <v>0</v>
      </c>
      <c r="AC103" s="55">
        <f>SUMIFS('Disbursements Summary'!$E:$E,'Disbursements Summary'!$C:$C,$C103,'Disbursements Summary'!$A:$A,"CNYRTA")</f>
        <v>0</v>
      </c>
      <c r="AD103" s="55">
        <f>SUMIFS('Awards Summary'!$H:$H,'Awards Summary'!$B:$B,$C103,'Awards Summary'!$J:$J,"CUCF")</f>
        <v>0</v>
      </c>
      <c r="AE103" s="55">
        <f>SUMIFS('Disbursements Summary'!$E:$E,'Disbursements Summary'!$C:$C,$C103,'Disbursements Summary'!$A:$A,"CUCF")</f>
        <v>0</v>
      </c>
      <c r="AF103" s="55">
        <f>SUMIFS('Awards Summary'!$H:$H,'Awards Summary'!$B:$B,$C103,'Awards Summary'!$J:$J,"CUNY")</f>
        <v>0</v>
      </c>
      <c r="AG103" s="55">
        <f>SUMIFS('Disbursements Summary'!$E:$E,'Disbursements Summary'!$C:$C,$C103,'Disbursements Summary'!$A:$A,"CUNY")</f>
        <v>0</v>
      </c>
      <c r="AH103" s="55">
        <f>SUMIFS('Awards Summary'!$H:$H,'Awards Summary'!$B:$B,$C103,'Awards Summary'!$J:$J,"ARTS")</f>
        <v>0</v>
      </c>
      <c r="AI103" s="55">
        <f>SUMIFS('Disbursements Summary'!$E:$E,'Disbursements Summary'!$C:$C,$C103,'Disbursements Summary'!$A:$A,"ARTS")</f>
        <v>0</v>
      </c>
      <c r="AJ103" s="55">
        <f>SUMIFS('Awards Summary'!$H:$H,'Awards Summary'!$B:$B,$C103,'Awards Summary'!$J:$J,"AG&amp;MKTS")</f>
        <v>0</v>
      </c>
      <c r="AK103" s="55">
        <f>SUMIFS('Disbursements Summary'!$E:$E,'Disbursements Summary'!$C:$C,$C103,'Disbursements Summary'!$A:$A,"AG&amp;MKTS")</f>
        <v>0</v>
      </c>
      <c r="AL103" s="55">
        <f>SUMIFS('Awards Summary'!$H:$H,'Awards Summary'!$B:$B,$C103,'Awards Summary'!$J:$J,"CS")</f>
        <v>0</v>
      </c>
      <c r="AM103" s="55">
        <f>SUMIFS('Disbursements Summary'!$E:$E,'Disbursements Summary'!$C:$C,$C103,'Disbursements Summary'!$A:$A,"CS")</f>
        <v>0</v>
      </c>
      <c r="AN103" s="55">
        <f>SUMIFS('Awards Summary'!$H:$H,'Awards Summary'!$B:$B,$C103,'Awards Summary'!$J:$J,"DOCCS")</f>
        <v>0</v>
      </c>
      <c r="AO103" s="55">
        <f>SUMIFS('Disbursements Summary'!$E:$E,'Disbursements Summary'!$C:$C,$C103,'Disbursements Summary'!$A:$A,"DOCCS")</f>
        <v>0</v>
      </c>
      <c r="AP103" s="55">
        <f>SUMIFS('Awards Summary'!$H:$H,'Awards Summary'!$B:$B,$C103,'Awards Summary'!$J:$J,"DED")</f>
        <v>0</v>
      </c>
      <c r="AQ103" s="55">
        <f>SUMIFS('Disbursements Summary'!$E:$E,'Disbursements Summary'!$C:$C,$C103,'Disbursements Summary'!$A:$A,"DED")</f>
        <v>0</v>
      </c>
      <c r="AR103" s="55">
        <f>SUMIFS('Awards Summary'!$H:$H,'Awards Summary'!$B:$B,$C103,'Awards Summary'!$J:$J,"DEC")</f>
        <v>0</v>
      </c>
      <c r="AS103" s="55">
        <f>SUMIFS('Disbursements Summary'!$E:$E,'Disbursements Summary'!$C:$C,$C103,'Disbursements Summary'!$A:$A,"DEC")</f>
        <v>0</v>
      </c>
      <c r="AT103" s="55">
        <f>SUMIFS('Awards Summary'!$H:$H,'Awards Summary'!$B:$B,$C103,'Awards Summary'!$J:$J,"DFS")</f>
        <v>0</v>
      </c>
      <c r="AU103" s="55">
        <f>SUMIFS('Disbursements Summary'!$E:$E,'Disbursements Summary'!$C:$C,$C103,'Disbursements Summary'!$A:$A,"DFS")</f>
        <v>0</v>
      </c>
      <c r="AV103" s="55">
        <f>SUMIFS('Awards Summary'!$H:$H,'Awards Summary'!$B:$B,$C103,'Awards Summary'!$J:$J,"DOH")</f>
        <v>0</v>
      </c>
      <c r="AW103" s="55">
        <f>SUMIFS('Disbursements Summary'!$E:$E,'Disbursements Summary'!$C:$C,$C103,'Disbursements Summary'!$A:$A,"DOH")</f>
        <v>0</v>
      </c>
      <c r="AX103" s="55">
        <f>SUMIFS('Awards Summary'!$H:$H,'Awards Summary'!$B:$B,$C103,'Awards Summary'!$J:$J,"DOL")</f>
        <v>0</v>
      </c>
      <c r="AY103" s="55">
        <f>SUMIFS('Disbursements Summary'!$E:$E,'Disbursements Summary'!$C:$C,$C103,'Disbursements Summary'!$A:$A,"DOL")</f>
        <v>0</v>
      </c>
      <c r="AZ103" s="55">
        <f>SUMIFS('Awards Summary'!$H:$H,'Awards Summary'!$B:$B,$C103,'Awards Summary'!$J:$J,"DMV")</f>
        <v>0</v>
      </c>
      <c r="BA103" s="55">
        <f>SUMIFS('Disbursements Summary'!$E:$E,'Disbursements Summary'!$C:$C,$C103,'Disbursements Summary'!$A:$A,"DMV")</f>
        <v>0</v>
      </c>
      <c r="BB103" s="55">
        <f>SUMIFS('Awards Summary'!$H:$H,'Awards Summary'!$B:$B,$C103,'Awards Summary'!$J:$J,"DPS")</f>
        <v>0</v>
      </c>
      <c r="BC103" s="55">
        <f>SUMIFS('Disbursements Summary'!$E:$E,'Disbursements Summary'!$C:$C,$C103,'Disbursements Summary'!$A:$A,"DPS")</f>
        <v>0</v>
      </c>
      <c r="BD103" s="55">
        <f>SUMIFS('Awards Summary'!$H:$H,'Awards Summary'!$B:$B,$C103,'Awards Summary'!$J:$J,"DOS")</f>
        <v>0</v>
      </c>
      <c r="BE103" s="55">
        <f>SUMIFS('Disbursements Summary'!$E:$E,'Disbursements Summary'!$C:$C,$C103,'Disbursements Summary'!$A:$A,"DOS")</f>
        <v>0</v>
      </c>
      <c r="BF103" s="55">
        <f>SUMIFS('Awards Summary'!$H:$H,'Awards Summary'!$B:$B,$C103,'Awards Summary'!$J:$J,"TAX")</f>
        <v>0</v>
      </c>
      <c r="BG103" s="55">
        <f>SUMIFS('Disbursements Summary'!$E:$E,'Disbursements Summary'!$C:$C,$C103,'Disbursements Summary'!$A:$A,"TAX")</f>
        <v>0</v>
      </c>
      <c r="BH103" s="55">
        <f>SUMIFS('Awards Summary'!$H:$H,'Awards Summary'!$B:$B,$C103,'Awards Summary'!$J:$J,"DOT")</f>
        <v>0</v>
      </c>
      <c r="BI103" s="55">
        <f>SUMIFS('Disbursements Summary'!$E:$E,'Disbursements Summary'!$C:$C,$C103,'Disbursements Summary'!$A:$A,"DOT")</f>
        <v>0</v>
      </c>
      <c r="BJ103" s="55">
        <f>SUMIFS('Awards Summary'!$H:$H,'Awards Summary'!$B:$B,$C103,'Awards Summary'!$J:$J,"DANC")</f>
        <v>0</v>
      </c>
      <c r="BK103" s="55">
        <f>SUMIFS('Disbursements Summary'!$E:$E,'Disbursements Summary'!$C:$C,$C103,'Disbursements Summary'!$A:$A,"DANC")</f>
        <v>0</v>
      </c>
      <c r="BL103" s="55">
        <f>SUMIFS('Awards Summary'!$H:$H,'Awards Summary'!$B:$B,$C103,'Awards Summary'!$J:$J,"DOB")</f>
        <v>0</v>
      </c>
      <c r="BM103" s="55">
        <f>SUMIFS('Disbursements Summary'!$E:$E,'Disbursements Summary'!$C:$C,$C103,'Disbursements Summary'!$A:$A,"DOB")</f>
        <v>0</v>
      </c>
      <c r="BN103" s="55">
        <f>SUMIFS('Awards Summary'!$H:$H,'Awards Summary'!$B:$B,$C103,'Awards Summary'!$J:$J,"DCJS")</f>
        <v>0</v>
      </c>
      <c r="BO103" s="55">
        <f>SUMIFS('Disbursements Summary'!$E:$E,'Disbursements Summary'!$C:$C,$C103,'Disbursements Summary'!$A:$A,"DCJS")</f>
        <v>0</v>
      </c>
      <c r="BP103" s="55">
        <f>SUMIFS('Awards Summary'!$H:$H,'Awards Summary'!$B:$B,$C103,'Awards Summary'!$J:$J,"DHSES")</f>
        <v>0</v>
      </c>
      <c r="BQ103" s="55">
        <f>SUMIFS('Disbursements Summary'!$E:$E,'Disbursements Summary'!$C:$C,$C103,'Disbursements Summary'!$A:$A,"DHSES")</f>
        <v>0</v>
      </c>
      <c r="BR103" s="55">
        <f>SUMIFS('Awards Summary'!$H:$H,'Awards Summary'!$B:$B,$C103,'Awards Summary'!$J:$J,"DHR")</f>
        <v>0</v>
      </c>
      <c r="BS103" s="55">
        <f>SUMIFS('Disbursements Summary'!$E:$E,'Disbursements Summary'!$C:$C,$C103,'Disbursements Summary'!$A:$A,"DHR")</f>
        <v>0</v>
      </c>
      <c r="BT103" s="55">
        <f>SUMIFS('Awards Summary'!$H:$H,'Awards Summary'!$B:$B,$C103,'Awards Summary'!$J:$J,"DMNA")</f>
        <v>0</v>
      </c>
      <c r="BU103" s="55">
        <f>SUMIFS('Disbursements Summary'!$E:$E,'Disbursements Summary'!$C:$C,$C103,'Disbursements Summary'!$A:$A,"DMNA")</f>
        <v>0</v>
      </c>
      <c r="BV103" s="55">
        <f>SUMIFS('Awards Summary'!$H:$H,'Awards Summary'!$B:$B,$C103,'Awards Summary'!$J:$J,"TROOPERS")</f>
        <v>0</v>
      </c>
      <c r="BW103" s="55">
        <f>SUMIFS('Disbursements Summary'!$E:$E,'Disbursements Summary'!$C:$C,$C103,'Disbursements Summary'!$A:$A,"TROOPERS")</f>
        <v>0</v>
      </c>
      <c r="BX103" s="55">
        <f>SUMIFS('Awards Summary'!$H:$H,'Awards Summary'!$B:$B,$C103,'Awards Summary'!$J:$J,"DVA")</f>
        <v>0</v>
      </c>
      <c r="BY103" s="55">
        <f>SUMIFS('Disbursements Summary'!$E:$E,'Disbursements Summary'!$C:$C,$C103,'Disbursements Summary'!$A:$A,"DVA")</f>
        <v>0</v>
      </c>
      <c r="BZ103" s="55">
        <f>SUMIFS('Awards Summary'!$H:$H,'Awards Summary'!$B:$B,$C103,'Awards Summary'!$J:$J,"DASNY")</f>
        <v>0</v>
      </c>
      <c r="CA103" s="55">
        <f>SUMIFS('Disbursements Summary'!$E:$E,'Disbursements Summary'!$C:$C,$C103,'Disbursements Summary'!$A:$A,"DASNY")</f>
        <v>0</v>
      </c>
      <c r="CB103" s="55">
        <f>SUMIFS('Awards Summary'!$H:$H,'Awards Summary'!$B:$B,$C103,'Awards Summary'!$J:$J,"EGG")</f>
        <v>0</v>
      </c>
      <c r="CC103" s="55">
        <f>SUMIFS('Disbursements Summary'!$E:$E,'Disbursements Summary'!$C:$C,$C103,'Disbursements Summary'!$A:$A,"EGG")</f>
        <v>0</v>
      </c>
      <c r="CD103" s="55">
        <f>SUMIFS('Awards Summary'!$H:$H,'Awards Summary'!$B:$B,$C103,'Awards Summary'!$J:$J,"ESD")</f>
        <v>0</v>
      </c>
      <c r="CE103" s="55">
        <f>SUMIFS('Disbursements Summary'!$E:$E,'Disbursements Summary'!$C:$C,$C103,'Disbursements Summary'!$A:$A,"ESD")</f>
        <v>0</v>
      </c>
      <c r="CF103" s="55">
        <f>SUMIFS('Awards Summary'!$H:$H,'Awards Summary'!$B:$B,$C103,'Awards Summary'!$J:$J,"EFC")</f>
        <v>0</v>
      </c>
      <c r="CG103" s="55">
        <f>SUMIFS('Disbursements Summary'!$E:$E,'Disbursements Summary'!$C:$C,$C103,'Disbursements Summary'!$A:$A,"EFC")</f>
        <v>0</v>
      </c>
      <c r="CH103" s="55">
        <f>SUMIFS('Awards Summary'!$H:$H,'Awards Summary'!$B:$B,$C103,'Awards Summary'!$J:$J,"ECFSA")</f>
        <v>0</v>
      </c>
      <c r="CI103" s="55">
        <f>SUMIFS('Disbursements Summary'!$E:$E,'Disbursements Summary'!$C:$C,$C103,'Disbursements Summary'!$A:$A,"ECFSA")</f>
        <v>0</v>
      </c>
      <c r="CJ103" s="55">
        <f>SUMIFS('Awards Summary'!$H:$H,'Awards Summary'!$B:$B,$C103,'Awards Summary'!$J:$J,"ECMC")</f>
        <v>0</v>
      </c>
      <c r="CK103" s="55">
        <f>SUMIFS('Disbursements Summary'!$E:$E,'Disbursements Summary'!$C:$C,$C103,'Disbursements Summary'!$A:$A,"ECMC")</f>
        <v>0</v>
      </c>
      <c r="CL103" s="55">
        <f>SUMIFS('Awards Summary'!$H:$H,'Awards Summary'!$B:$B,$C103,'Awards Summary'!$J:$J,"CHAMBER")</f>
        <v>0</v>
      </c>
      <c r="CM103" s="55">
        <f>SUMIFS('Disbursements Summary'!$E:$E,'Disbursements Summary'!$C:$C,$C103,'Disbursements Summary'!$A:$A,"CHAMBER")</f>
        <v>0</v>
      </c>
      <c r="CN103" s="55">
        <f>SUMIFS('Awards Summary'!$H:$H,'Awards Summary'!$B:$B,$C103,'Awards Summary'!$J:$J,"GAMING")</f>
        <v>0</v>
      </c>
      <c r="CO103" s="55">
        <f>SUMIFS('Disbursements Summary'!$E:$E,'Disbursements Summary'!$C:$C,$C103,'Disbursements Summary'!$A:$A,"GAMING")</f>
        <v>0</v>
      </c>
      <c r="CP103" s="55">
        <f>SUMIFS('Awards Summary'!$H:$H,'Awards Summary'!$B:$B,$C103,'Awards Summary'!$J:$J,"GOER")</f>
        <v>0</v>
      </c>
      <c r="CQ103" s="55">
        <f>SUMIFS('Disbursements Summary'!$E:$E,'Disbursements Summary'!$C:$C,$C103,'Disbursements Summary'!$A:$A,"GOER")</f>
        <v>0</v>
      </c>
      <c r="CR103" s="55">
        <f>SUMIFS('Awards Summary'!$H:$H,'Awards Summary'!$B:$B,$C103,'Awards Summary'!$J:$J,"HESC")</f>
        <v>0</v>
      </c>
      <c r="CS103" s="55">
        <f>SUMIFS('Disbursements Summary'!$E:$E,'Disbursements Summary'!$C:$C,$C103,'Disbursements Summary'!$A:$A,"HESC")</f>
        <v>0</v>
      </c>
      <c r="CT103" s="55">
        <f>SUMIFS('Awards Summary'!$H:$H,'Awards Summary'!$B:$B,$C103,'Awards Summary'!$J:$J,"GOSR")</f>
        <v>0</v>
      </c>
      <c r="CU103" s="55">
        <f>SUMIFS('Disbursements Summary'!$E:$E,'Disbursements Summary'!$C:$C,$C103,'Disbursements Summary'!$A:$A,"GOSR")</f>
        <v>0</v>
      </c>
      <c r="CV103" s="55">
        <f>SUMIFS('Awards Summary'!$H:$H,'Awards Summary'!$B:$B,$C103,'Awards Summary'!$J:$J,"HRPT")</f>
        <v>0</v>
      </c>
      <c r="CW103" s="55">
        <f>SUMIFS('Disbursements Summary'!$E:$E,'Disbursements Summary'!$C:$C,$C103,'Disbursements Summary'!$A:$A,"HRPT")</f>
        <v>0</v>
      </c>
      <c r="CX103" s="55">
        <f>SUMIFS('Awards Summary'!$H:$H,'Awards Summary'!$B:$B,$C103,'Awards Summary'!$J:$J,"HRBRRD")</f>
        <v>0</v>
      </c>
      <c r="CY103" s="55">
        <f>SUMIFS('Disbursements Summary'!$E:$E,'Disbursements Summary'!$C:$C,$C103,'Disbursements Summary'!$A:$A,"HRBRRD")</f>
        <v>0</v>
      </c>
      <c r="CZ103" s="55">
        <f>SUMIFS('Awards Summary'!$H:$H,'Awards Summary'!$B:$B,$C103,'Awards Summary'!$J:$J,"ITS")</f>
        <v>0</v>
      </c>
      <c r="DA103" s="55">
        <f>SUMIFS('Disbursements Summary'!$E:$E,'Disbursements Summary'!$C:$C,$C103,'Disbursements Summary'!$A:$A,"ITS")</f>
        <v>0</v>
      </c>
      <c r="DB103" s="55">
        <f>SUMIFS('Awards Summary'!$H:$H,'Awards Summary'!$B:$B,$C103,'Awards Summary'!$J:$J,"JAVITS")</f>
        <v>0</v>
      </c>
      <c r="DC103" s="55">
        <f>SUMIFS('Disbursements Summary'!$E:$E,'Disbursements Summary'!$C:$C,$C103,'Disbursements Summary'!$A:$A,"JAVITS")</f>
        <v>0</v>
      </c>
      <c r="DD103" s="55">
        <f>SUMIFS('Awards Summary'!$H:$H,'Awards Summary'!$B:$B,$C103,'Awards Summary'!$J:$J,"JCOPE")</f>
        <v>0</v>
      </c>
      <c r="DE103" s="55">
        <f>SUMIFS('Disbursements Summary'!$E:$E,'Disbursements Summary'!$C:$C,$C103,'Disbursements Summary'!$A:$A,"JCOPE")</f>
        <v>0</v>
      </c>
      <c r="DF103" s="55">
        <f>SUMIFS('Awards Summary'!$H:$H,'Awards Summary'!$B:$B,$C103,'Awards Summary'!$J:$J,"JUSTICE")</f>
        <v>0</v>
      </c>
      <c r="DG103" s="55">
        <f>SUMIFS('Disbursements Summary'!$E:$E,'Disbursements Summary'!$C:$C,$C103,'Disbursements Summary'!$A:$A,"JUSTICE")</f>
        <v>0</v>
      </c>
      <c r="DH103" s="55">
        <f>SUMIFS('Awards Summary'!$H:$H,'Awards Summary'!$B:$B,$C103,'Awards Summary'!$J:$J,"LCWSA")</f>
        <v>0</v>
      </c>
      <c r="DI103" s="55">
        <f>SUMIFS('Disbursements Summary'!$E:$E,'Disbursements Summary'!$C:$C,$C103,'Disbursements Summary'!$A:$A,"LCWSA")</f>
        <v>0</v>
      </c>
      <c r="DJ103" s="55">
        <f>SUMIFS('Awards Summary'!$H:$H,'Awards Summary'!$B:$B,$C103,'Awards Summary'!$J:$J,"LIPA")</f>
        <v>0</v>
      </c>
      <c r="DK103" s="55">
        <f>SUMIFS('Disbursements Summary'!$E:$E,'Disbursements Summary'!$C:$C,$C103,'Disbursements Summary'!$A:$A,"LIPA")</f>
        <v>0</v>
      </c>
      <c r="DL103" s="55">
        <f>SUMIFS('Awards Summary'!$H:$H,'Awards Summary'!$B:$B,$C103,'Awards Summary'!$J:$J,"MTA")</f>
        <v>0</v>
      </c>
      <c r="DM103" s="55">
        <f>SUMIFS('Disbursements Summary'!$E:$E,'Disbursements Summary'!$C:$C,$C103,'Disbursements Summary'!$A:$A,"MTA")</f>
        <v>0</v>
      </c>
      <c r="DN103" s="55">
        <f>SUMIFS('Awards Summary'!$H:$H,'Awards Summary'!$B:$B,$C103,'Awards Summary'!$J:$J,"NIFA")</f>
        <v>0</v>
      </c>
      <c r="DO103" s="55">
        <f>SUMIFS('Disbursements Summary'!$E:$E,'Disbursements Summary'!$C:$C,$C103,'Disbursements Summary'!$A:$A,"NIFA")</f>
        <v>0</v>
      </c>
      <c r="DP103" s="55">
        <f>SUMIFS('Awards Summary'!$H:$H,'Awards Summary'!$B:$B,$C103,'Awards Summary'!$J:$J,"NHCC")</f>
        <v>0</v>
      </c>
      <c r="DQ103" s="55">
        <f>SUMIFS('Disbursements Summary'!$E:$E,'Disbursements Summary'!$C:$C,$C103,'Disbursements Summary'!$A:$A,"NHCC")</f>
        <v>0</v>
      </c>
      <c r="DR103" s="55">
        <f>SUMIFS('Awards Summary'!$H:$H,'Awards Summary'!$B:$B,$C103,'Awards Summary'!$J:$J,"NHT")</f>
        <v>0</v>
      </c>
      <c r="DS103" s="55">
        <f>SUMIFS('Disbursements Summary'!$E:$E,'Disbursements Summary'!$C:$C,$C103,'Disbursements Summary'!$A:$A,"NHT")</f>
        <v>0</v>
      </c>
      <c r="DT103" s="55">
        <f>SUMIFS('Awards Summary'!$H:$H,'Awards Summary'!$B:$B,$C103,'Awards Summary'!$J:$J,"NYPA")</f>
        <v>0</v>
      </c>
      <c r="DU103" s="55">
        <f>SUMIFS('Disbursements Summary'!$E:$E,'Disbursements Summary'!$C:$C,$C103,'Disbursements Summary'!$A:$A,"NYPA")</f>
        <v>0</v>
      </c>
      <c r="DV103" s="55">
        <f>SUMIFS('Awards Summary'!$H:$H,'Awards Summary'!$B:$B,$C103,'Awards Summary'!$J:$J,"NYSBA")</f>
        <v>0</v>
      </c>
      <c r="DW103" s="55">
        <f>SUMIFS('Disbursements Summary'!$E:$E,'Disbursements Summary'!$C:$C,$C103,'Disbursements Summary'!$A:$A,"NYSBA")</f>
        <v>0</v>
      </c>
      <c r="DX103" s="55">
        <f>SUMIFS('Awards Summary'!$H:$H,'Awards Summary'!$B:$B,$C103,'Awards Summary'!$J:$J,"NYSERDA")</f>
        <v>0</v>
      </c>
      <c r="DY103" s="55">
        <f>SUMIFS('Disbursements Summary'!$E:$E,'Disbursements Summary'!$C:$C,$C103,'Disbursements Summary'!$A:$A,"NYSERDA")</f>
        <v>0</v>
      </c>
      <c r="DZ103" s="55">
        <f>SUMIFS('Awards Summary'!$H:$H,'Awards Summary'!$B:$B,$C103,'Awards Summary'!$J:$J,"DHCR")</f>
        <v>0</v>
      </c>
      <c r="EA103" s="55">
        <f>SUMIFS('Disbursements Summary'!$E:$E,'Disbursements Summary'!$C:$C,$C103,'Disbursements Summary'!$A:$A,"DHCR")</f>
        <v>0</v>
      </c>
      <c r="EB103" s="55">
        <f>SUMIFS('Awards Summary'!$H:$H,'Awards Summary'!$B:$B,$C103,'Awards Summary'!$J:$J,"HFA")</f>
        <v>0</v>
      </c>
      <c r="EC103" s="55">
        <f>SUMIFS('Disbursements Summary'!$E:$E,'Disbursements Summary'!$C:$C,$C103,'Disbursements Summary'!$A:$A,"HFA")</f>
        <v>0</v>
      </c>
      <c r="ED103" s="55">
        <f>SUMIFS('Awards Summary'!$H:$H,'Awards Summary'!$B:$B,$C103,'Awards Summary'!$J:$J,"NYSIF")</f>
        <v>0</v>
      </c>
      <c r="EE103" s="55">
        <f>SUMIFS('Disbursements Summary'!$E:$E,'Disbursements Summary'!$C:$C,$C103,'Disbursements Summary'!$A:$A,"NYSIF")</f>
        <v>0</v>
      </c>
      <c r="EF103" s="55">
        <f>SUMIFS('Awards Summary'!$H:$H,'Awards Summary'!$B:$B,$C103,'Awards Summary'!$J:$J,"NYBREDS")</f>
        <v>0</v>
      </c>
      <c r="EG103" s="55">
        <f>SUMIFS('Disbursements Summary'!$E:$E,'Disbursements Summary'!$C:$C,$C103,'Disbursements Summary'!$A:$A,"NYBREDS")</f>
        <v>0</v>
      </c>
      <c r="EH103" s="55">
        <f>SUMIFS('Awards Summary'!$H:$H,'Awards Summary'!$B:$B,$C103,'Awards Summary'!$J:$J,"NYSTA")</f>
        <v>0</v>
      </c>
      <c r="EI103" s="55">
        <f>SUMIFS('Disbursements Summary'!$E:$E,'Disbursements Summary'!$C:$C,$C103,'Disbursements Summary'!$A:$A,"NYSTA")</f>
        <v>0</v>
      </c>
      <c r="EJ103" s="55">
        <f>SUMIFS('Awards Summary'!$H:$H,'Awards Summary'!$B:$B,$C103,'Awards Summary'!$J:$J,"NFWB")</f>
        <v>0</v>
      </c>
      <c r="EK103" s="55">
        <f>SUMIFS('Disbursements Summary'!$E:$E,'Disbursements Summary'!$C:$C,$C103,'Disbursements Summary'!$A:$A,"NFWB")</f>
        <v>0</v>
      </c>
      <c r="EL103" s="55">
        <f>SUMIFS('Awards Summary'!$H:$H,'Awards Summary'!$B:$B,$C103,'Awards Summary'!$J:$J,"NFTA")</f>
        <v>0</v>
      </c>
      <c r="EM103" s="55">
        <f>SUMIFS('Disbursements Summary'!$E:$E,'Disbursements Summary'!$C:$C,$C103,'Disbursements Summary'!$A:$A,"NFTA")</f>
        <v>0</v>
      </c>
      <c r="EN103" s="55">
        <f>SUMIFS('Awards Summary'!$H:$H,'Awards Summary'!$B:$B,$C103,'Awards Summary'!$J:$J,"OPWDD")</f>
        <v>0</v>
      </c>
      <c r="EO103" s="55">
        <f>SUMIFS('Disbursements Summary'!$E:$E,'Disbursements Summary'!$C:$C,$C103,'Disbursements Summary'!$A:$A,"OPWDD")</f>
        <v>0</v>
      </c>
      <c r="EP103" s="55">
        <f>SUMIFS('Awards Summary'!$H:$H,'Awards Summary'!$B:$B,$C103,'Awards Summary'!$J:$J,"AGING")</f>
        <v>0</v>
      </c>
      <c r="EQ103" s="55">
        <f>SUMIFS('Disbursements Summary'!$E:$E,'Disbursements Summary'!$C:$C,$C103,'Disbursements Summary'!$A:$A,"AGING")</f>
        <v>0</v>
      </c>
      <c r="ER103" s="55">
        <f>SUMIFS('Awards Summary'!$H:$H,'Awards Summary'!$B:$B,$C103,'Awards Summary'!$J:$J,"OPDV")</f>
        <v>0</v>
      </c>
      <c r="ES103" s="55">
        <f>SUMIFS('Disbursements Summary'!$E:$E,'Disbursements Summary'!$C:$C,$C103,'Disbursements Summary'!$A:$A,"OPDV")</f>
        <v>0</v>
      </c>
      <c r="ET103" s="55">
        <f>SUMIFS('Awards Summary'!$H:$H,'Awards Summary'!$B:$B,$C103,'Awards Summary'!$J:$J,"OVS")</f>
        <v>0</v>
      </c>
      <c r="EU103" s="55">
        <f>SUMIFS('Disbursements Summary'!$E:$E,'Disbursements Summary'!$C:$C,$C103,'Disbursements Summary'!$A:$A,"OVS")</f>
        <v>0</v>
      </c>
      <c r="EV103" s="55">
        <f>SUMIFS('Awards Summary'!$H:$H,'Awards Summary'!$B:$B,$C103,'Awards Summary'!$J:$J,"OASAS")</f>
        <v>0</v>
      </c>
      <c r="EW103" s="55">
        <f>SUMIFS('Disbursements Summary'!$E:$E,'Disbursements Summary'!$C:$C,$C103,'Disbursements Summary'!$A:$A,"OASAS")</f>
        <v>0</v>
      </c>
      <c r="EX103" s="55">
        <f>SUMIFS('Awards Summary'!$H:$H,'Awards Summary'!$B:$B,$C103,'Awards Summary'!$J:$J,"OCFS")</f>
        <v>0</v>
      </c>
      <c r="EY103" s="55">
        <f>SUMIFS('Disbursements Summary'!$E:$E,'Disbursements Summary'!$C:$C,$C103,'Disbursements Summary'!$A:$A,"OCFS")</f>
        <v>0</v>
      </c>
      <c r="EZ103" s="55">
        <f>SUMIFS('Awards Summary'!$H:$H,'Awards Summary'!$B:$B,$C103,'Awards Summary'!$J:$J,"OGS")</f>
        <v>0</v>
      </c>
      <c r="FA103" s="55">
        <f>SUMIFS('Disbursements Summary'!$E:$E,'Disbursements Summary'!$C:$C,$C103,'Disbursements Summary'!$A:$A,"OGS")</f>
        <v>0</v>
      </c>
      <c r="FB103" s="55">
        <f>SUMIFS('Awards Summary'!$H:$H,'Awards Summary'!$B:$B,$C103,'Awards Summary'!$J:$J,"OMH")</f>
        <v>0</v>
      </c>
      <c r="FC103" s="55">
        <f>SUMIFS('Disbursements Summary'!$E:$E,'Disbursements Summary'!$C:$C,$C103,'Disbursements Summary'!$A:$A,"OMH")</f>
        <v>0</v>
      </c>
      <c r="FD103" s="55">
        <f>SUMIFS('Awards Summary'!$H:$H,'Awards Summary'!$B:$B,$C103,'Awards Summary'!$J:$J,"PARKS")</f>
        <v>0</v>
      </c>
      <c r="FE103" s="55">
        <f>SUMIFS('Disbursements Summary'!$E:$E,'Disbursements Summary'!$C:$C,$C103,'Disbursements Summary'!$A:$A,"PARKS")</f>
        <v>0</v>
      </c>
      <c r="FF103" s="55">
        <f>SUMIFS('Awards Summary'!$H:$H,'Awards Summary'!$B:$B,$C103,'Awards Summary'!$J:$J,"OTDA")</f>
        <v>0</v>
      </c>
      <c r="FG103" s="55">
        <f>SUMIFS('Disbursements Summary'!$E:$E,'Disbursements Summary'!$C:$C,$C103,'Disbursements Summary'!$A:$A,"OTDA")</f>
        <v>0</v>
      </c>
      <c r="FH103" s="55">
        <f>SUMIFS('Awards Summary'!$H:$H,'Awards Summary'!$B:$B,$C103,'Awards Summary'!$J:$J,"OIG")</f>
        <v>0</v>
      </c>
      <c r="FI103" s="55">
        <f>SUMIFS('Disbursements Summary'!$E:$E,'Disbursements Summary'!$C:$C,$C103,'Disbursements Summary'!$A:$A,"OIG")</f>
        <v>0</v>
      </c>
      <c r="FJ103" s="55">
        <f>SUMIFS('Awards Summary'!$H:$H,'Awards Summary'!$B:$B,$C103,'Awards Summary'!$J:$J,"OMIG")</f>
        <v>0</v>
      </c>
      <c r="FK103" s="55">
        <f>SUMIFS('Disbursements Summary'!$E:$E,'Disbursements Summary'!$C:$C,$C103,'Disbursements Summary'!$A:$A,"OMIG")</f>
        <v>0</v>
      </c>
      <c r="FL103" s="55">
        <f>SUMIFS('Awards Summary'!$H:$H,'Awards Summary'!$B:$B,$C103,'Awards Summary'!$J:$J,"OSC")</f>
        <v>0</v>
      </c>
      <c r="FM103" s="55">
        <f>SUMIFS('Disbursements Summary'!$E:$E,'Disbursements Summary'!$C:$C,$C103,'Disbursements Summary'!$A:$A,"OSC")</f>
        <v>0</v>
      </c>
      <c r="FN103" s="55">
        <f>SUMIFS('Awards Summary'!$H:$H,'Awards Summary'!$B:$B,$C103,'Awards Summary'!$J:$J,"OWIG")</f>
        <v>0</v>
      </c>
      <c r="FO103" s="55">
        <f>SUMIFS('Disbursements Summary'!$E:$E,'Disbursements Summary'!$C:$C,$C103,'Disbursements Summary'!$A:$A,"OWIG")</f>
        <v>0</v>
      </c>
      <c r="FP103" s="55">
        <f>SUMIFS('Awards Summary'!$H:$H,'Awards Summary'!$B:$B,$C103,'Awards Summary'!$J:$J,"OGDEN")</f>
        <v>0</v>
      </c>
      <c r="FQ103" s="55">
        <f>SUMIFS('Disbursements Summary'!$E:$E,'Disbursements Summary'!$C:$C,$C103,'Disbursements Summary'!$A:$A,"OGDEN")</f>
        <v>0</v>
      </c>
      <c r="FR103" s="55">
        <f>SUMIFS('Awards Summary'!$H:$H,'Awards Summary'!$B:$B,$C103,'Awards Summary'!$J:$J,"ORDA")</f>
        <v>0</v>
      </c>
      <c r="FS103" s="55">
        <f>SUMIFS('Disbursements Summary'!$E:$E,'Disbursements Summary'!$C:$C,$C103,'Disbursements Summary'!$A:$A,"ORDA")</f>
        <v>0</v>
      </c>
      <c r="FT103" s="55">
        <f>SUMIFS('Awards Summary'!$H:$H,'Awards Summary'!$B:$B,$C103,'Awards Summary'!$J:$J,"OSWEGO")</f>
        <v>0</v>
      </c>
      <c r="FU103" s="55">
        <f>SUMIFS('Disbursements Summary'!$E:$E,'Disbursements Summary'!$C:$C,$C103,'Disbursements Summary'!$A:$A,"OSWEGO")</f>
        <v>0</v>
      </c>
      <c r="FV103" s="55">
        <f>SUMIFS('Awards Summary'!$H:$H,'Awards Summary'!$B:$B,$C103,'Awards Summary'!$J:$J,"PERB")</f>
        <v>0</v>
      </c>
      <c r="FW103" s="55">
        <f>SUMIFS('Disbursements Summary'!$E:$E,'Disbursements Summary'!$C:$C,$C103,'Disbursements Summary'!$A:$A,"PERB")</f>
        <v>0</v>
      </c>
      <c r="FX103" s="55">
        <f>SUMIFS('Awards Summary'!$H:$H,'Awards Summary'!$B:$B,$C103,'Awards Summary'!$J:$J,"RGRTA")</f>
        <v>0</v>
      </c>
      <c r="FY103" s="55">
        <f>SUMIFS('Disbursements Summary'!$E:$E,'Disbursements Summary'!$C:$C,$C103,'Disbursements Summary'!$A:$A,"RGRTA")</f>
        <v>0</v>
      </c>
      <c r="FZ103" s="55">
        <f>SUMIFS('Awards Summary'!$H:$H,'Awards Summary'!$B:$B,$C103,'Awards Summary'!$J:$J,"RIOC")</f>
        <v>0</v>
      </c>
      <c r="GA103" s="55">
        <f>SUMIFS('Disbursements Summary'!$E:$E,'Disbursements Summary'!$C:$C,$C103,'Disbursements Summary'!$A:$A,"RIOC")</f>
        <v>0</v>
      </c>
      <c r="GB103" s="55">
        <f>SUMIFS('Awards Summary'!$H:$H,'Awards Summary'!$B:$B,$C103,'Awards Summary'!$J:$J,"RPCI")</f>
        <v>0</v>
      </c>
      <c r="GC103" s="55">
        <f>SUMIFS('Disbursements Summary'!$E:$E,'Disbursements Summary'!$C:$C,$C103,'Disbursements Summary'!$A:$A,"RPCI")</f>
        <v>0</v>
      </c>
      <c r="GD103" s="55">
        <f>SUMIFS('Awards Summary'!$H:$H,'Awards Summary'!$B:$B,$C103,'Awards Summary'!$J:$J,"SMDA")</f>
        <v>0</v>
      </c>
      <c r="GE103" s="55">
        <f>SUMIFS('Disbursements Summary'!$E:$E,'Disbursements Summary'!$C:$C,$C103,'Disbursements Summary'!$A:$A,"SMDA")</f>
        <v>0</v>
      </c>
      <c r="GF103" s="55">
        <f>SUMIFS('Awards Summary'!$H:$H,'Awards Summary'!$B:$B,$C103,'Awards Summary'!$J:$J,"SCOC")</f>
        <v>0</v>
      </c>
      <c r="GG103" s="55">
        <f>SUMIFS('Disbursements Summary'!$E:$E,'Disbursements Summary'!$C:$C,$C103,'Disbursements Summary'!$A:$A,"SCOC")</f>
        <v>0</v>
      </c>
      <c r="GH103" s="55">
        <f>SUMIFS('Awards Summary'!$H:$H,'Awards Summary'!$B:$B,$C103,'Awards Summary'!$J:$J,"SUCF")</f>
        <v>0</v>
      </c>
      <c r="GI103" s="55">
        <f>SUMIFS('Disbursements Summary'!$E:$E,'Disbursements Summary'!$C:$C,$C103,'Disbursements Summary'!$A:$A,"SUCF")</f>
        <v>0</v>
      </c>
      <c r="GJ103" s="55">
        <f>SUMIFS('Awards Summary'!$H:$H,'Awards Summary'!$B:$B,$C103,'Awards Summary'!$J:$J,"SUNY")</f>
        <v>0</v>
      </c>
      <c r="GK103" s="55">
        <f>SUMIFS('Disbursements Summary'!$E:$E,'Disbursements Summary'!$C:$C,$C103,'Disbursements Summary'!$A:$A,"SUNY")</f>
        <v>0</v>
      </c>
      <c r="GL103" s="55">
        <f>SUMIFS('Awards Summary'!$H:$H,'Awards Summary'!$B:$B,$C103,'Awards Summary'!$J:$J,"SRAA")</f>
        <v>0</v>
      </c>
      <c r="GM103" s="55">
        <f>SUMIFS('Disbursements Summary'!$E:$E,'Disbursements Summary'!$C:$C,$C103,'Disbursements Summary'!$A:$A,"SRAA")</f>
        <v>0</v>
      </c>
      <c r="GN103" s="55">
        <f>SUMIFS('Awards Summary'!$H:$H,'Awards Summary'!$B:$B,$C103,'Awards Summary'!$J:$J,"UNDC")</f>
        <v>0</v>
      </c>
      <c r="GO103" s="55">
        <f>SUMIFS('Disbursements Summary'!$E:$E,'Disbursements Summary'!$C:$C,$C103,'Disbursements Summary'!$A:$A,"UNDC")</f>
        <v>0</v>
      </c>
      <c r="GP103" s="55">
        <f>SUMIFS('Awards Summary'!$H:$H,'Awards Summary'!$B:$B,$C103,'Awards Summary'!$J:$J,"MVWA")</f>
        <v>0</v>
      </c>
      <c r="GQ103" s="55">
        <f>SUMIFS('Disbursements Summary'!$E:$E,'Disbursements Summary'!$C:$C,$C103,'Disbursements Summary'!$A:$A,"MVWA")</f>
        <v>0</v>
      </c>
      <c r="GR103" s="55">
        <f>SUMIFS('Awards Summary'!$H:$H,'Awards Summary'!$B:$B,$C103,'Awards Summary'!$J:$J,"WMC")</f>
        <v>0</v>
      </c>
      <c r="GS103" s="55">
        <f>SUMIFS('Disbursements Summary'!$E:$E,'Disbursements Summary'!$C:$C,$C103,'Disbursements Summary'!$A:$A,"WMC")</f>
        <v>0</v>
      </c>
      <c r="GT103" s="55">
        <f>SUMIFS('Awards Summary'!$H:$H,'Awards Summary'!$B:$B,$C103,'Awards Summary'!$J:$J,"WCB")</f>
        <v>0</v>
      </c>
      <c r="GU103" s="55">
        <f>SUMIFS('Disbursements Summary'!$E:$E,'Disbursements Summary'!$C:$C,$C103,'Disbursements Summary'!$A:$A,"WCB")</f>
        <v>0</v>
      </c>
      <c r="GV103" s="32">
        <f t="shared" si="10"/>
        <v>0</v>
      </c>
      <c r="GW103" s="32">
        <f t="shared" si="11"/>
        <v>0</v>
      </c>
      <c r="GX103" s="30" t="b">
        <f t="shared" si="12"/>
        <v>1</v>
      </c>
      <c r="GY103" s="30" t="b">
        <f t="shared" si="13"/>
        <v>1</v>
      </c>
    </row>
    <row r="104" spans="1:207" s="30" customFormat="1">
      <c r="A104" s="22" t="str">
        <f t="shared" si="9"/>
        <v/>
      </c>
      <c r="B104" s="40" t="s">
        <v>197</v>
      </c>
      <c r="C104" s="16">
        <v>151227</v>
      </c>
      <c r="D104" s="26">
        <f>COUNTIF('Awards Summary'!B:B,"151227")</f>
        <v>0</v>
      </c>
      <c r="E104" s="45">
        <f>SUMIFS('Awards Summary'!H:H,'Awards Summary'!B:B,"151227")</f>
        <v>0</v>
      </c>
      <c r="F104" s="46">
        <f>SUMIFS('Disbursements Summary'!E:E,'Disbursements Summary'!C:C, "151227")</f>
        <v>0</v>
      </c>
      <c r="H104" s="55">
        <f>SUMIFS('Awards Summary'!$H:$H,'Awards Summary'!$B:$B,$C104,'Awards Summary'!$J:$J,"APA")</f>
        <v>0</v>
      </c>
      <c r="I104" s="55">
        <f>SUMIFS('Disbursements Summary'!$E:$E,'Disbursements Summary'!$C:$C,$C104,'Disbursements Summary'!$A:$A,"APA")</f>
        <v>0</v>
      </c>
      <c r="J104" s="55">
        <f>SUMIFS('Awards Summary'!$H:$H,'Awards Summary'!$B:$B,$C104,'Awards Summary'!$J:$J,"Ag&amp;Horse")</f>
        <v>0</v>
      </c>
      <c r="K104" s="55">
        <f>SUMIFS('Disbursements Summary'!$E:$E,'Disbursements Summary'!$C:$C,$C104,'Disbursements Summary'!$A:$A,"Ag&amp;Horse")</f>
        <v>0</v>
      </c>
      <c r="L104" s="55">
        <f>SUMIFS('Awards Summary'!$H:$H,'Awards Summary'!$B:$B,$C104,'Awards Summary'!$J:$J,"ACAA")</f>
        <v>0</v>
      </c>
      <c r="M104" s="55">
        <f>SUMIFS('Disbursements Summary'!$E:$E,'Disbursements Summary'!$C:$C,$C104,'Disbursements Summary'!$A:$A,"ACAA")</f>
        <v>0</v>
      </c>
      <c r="N104" s="55">
        <f>SUMIFS('Awards Summary'!$H:$H,'Awards Summary'!$B:$B,$C104,'Awards Summary'!$J:$J,"PortAlbany")</f>
        <v>0</v>
      </c>
      <c r="O104" s="55">
        <f>SUMIFS('Disbursements Summary'!$E:$E,'Disbursements Summary'!$C:$C,$C104,'Disbursements Summary'!$A:$A,"PortAlbany")</f>
        <v>0</v>
      </c>
      <c r="P104" s="55">
        <f>SUMIFS('Awards Summary'!$H:$H,'Awards Summary'!$B:$B,$C104,'Awards Summary'!$J:$J,"SLA")</f>
        <v>0</v>
      </c>
      <c r="Q104" s="55">
        <f>SUMIFS('Disbursements Summary'!$E:$E,'Disbursements Summary'!$C:$C,$C104,'Disbursements Summary'!$A:$A,"SLA")</f>
        <v>0</v>
      </c>
      <c r="R104" s="55">
        <f>SUMIFS('Awards Summary'!$H:$H,'Awards Summary'!$B:$B,$C104,'Awards Summary'!$J:$J,"BPCA")</f>
        <v>0</v>
      </c>
      <c r="S104" s="55">
        <f>SUMIFS('Disbursements Summary'!$E:$E,'Disbursements Summary'!$C:$C,$C104,'Disbursements Summary'!$A:$A,"BPCA")</f>
        <v>0</v>
      </c>
      <c r="T104" s="55">
        <f>SUMIFS('Awards Summary'!$H:$H,'Awards Summary'!$B:$B,$C104,'Awards Summary'!$J:$J,"ELECTIONS")</f>
        <v>0</v>
      </c>
      <c r="U104" s="55">
        <f>SUMIFS('Disbursements Summary'!$E:$E,'Disbursements Summary'!$C:$C,$C104,'Disbursements Summary'!$A:$A,"ELECTIONS")</f>
        <v>0</v>
      </c>
      <c r="V104" s="55">
        <f>SUMIFS('Awards Summary'!$H:$H,'Awards Summary'!$B:$B,$C104,'Awards Summary'!$J:$J,"BFSA")</f>
        <v>0</v>
      </c>
      <c r="W104" s="55">
        <f>SUMIFS('Disbursements Summary'!$E:$E,'Disbursements Summary'!$C:$C,$C104,'Disbursements Summary'!$A:$A,"BFSA")</f>
        <v>0</v>
      </c>
      <c r="X104" s="55">
        <f>SUMIFS('Awards Summary'!$H:$H,'Awards Summary'!$B:$B,$C104,'Awards Summary'!$J:$J,"CDTA")</f>
        <v>0</v>
      </c>
      <c r="Y104" s="55">
        <f>SUMIFS('Disbursements Summary'!$E:$E,'Disbursements Summary'!$C:$C,$C104,'Disbursements Summary'!$A:$A,"CDTA")</f>
        <v>0</v>
      </c>
      <c r="Z104" s="55">
        <f>SUMIFS('Awards Summary'!$H:$H,'Awards Summary'!$B:$B,$C104,'Awards Summary'!$J:$J,"CCWSA")</f>
        <v>0</v>
      </c>
      <c r="AA104" s="55">
        <f>SUMIFS('Disbursements Summary'!$E:$E,'Disbursements Summary'!$C:$C,$C104,'Disbursements Summary'!$A:$A,"CCWSA")</f>
        <v>0</v>
      </c>
      <c r="AB104" s="55">
        <f>SUMIFS('Awards Summary'!$H:$H,'Awards Summary'!$B:$B,$C104,'Awards Summary'!$J:$J,"CNYRTA")</f>
        <v>0</v>
      </c>
      <c r="AC104" s="55">
        <f>SUMIFS('Disbursements Summary'!$E:$E,'Disbursements Summary'!$C:$C,$C104,'Disbursements Summary'!$A:$A,"CNYRTA")</f>
        <v>0</v>
      </c>
      <c r="AD104" s="55">
        <f>SUMIFS('Awards Summary'!$H:$H,'Awards Summary'!$B:$B,$C104,'Awards Summary'!$J:$J,"CUCF")</f>
        <v>0</v>
      </c>
      <c r="AE104" s="55">
        <f>SUMIFS('Disbursements Summary'!$E:$E,'Disbursements Summary'!$C:$C,$C104,'Disbursements Summary'!$A:$A,"CUCF")</f>
        <v>0</v>
      </c>
      <c r="AF104" s="55">
        <f>SUMIFS('Awards Summary'!$H:$H,'Awards Summary'!$B:$B,$C104,'Awards Summary'!$J:$J,"CUNY")</f>
        <v>0</v>
      </c>
      <c r="AG104" s="55">
        <f>SUMIFS('Disbursements Summary'!$E:$E,'Disbursements Summary'!$C:$C,$C104,'Disbursements Summary'!$A:$A,"CUNY")</f>
        <v>0</v>
      </c>
      <c r="AH104" s="55">
        <f>SUMIFS('Awards Summary'!$H:$H,'Awards Summary'!$B:$B,$C104,'Awards Summary'!$J:$J,"ARTS")</f>
        <v>0</v>
      </c>
      <c r="AI104" s="55">
        <f>SUMIFS('Disbursements Summary'!$E:$E,'Disbursements Summary'!$C:$C,$C104,'Disbursements Summary'!$A:$A,"ARTS")</f>
        <v>0</v>
      </c>
      <c r="AJ104" s="55">
        <f>SUMIFS('Awards Summary'!$H:$H,'Awards Summary'!$B:$B,$C104,'Awards Summary'!$J:$J,"AG&amp;MKTS")</f>
        <v>0</v>
      </c>
      <c r="AK104" s="55">
        <f>SUMIFS('Disbursements Summary'!$E:$E,'Disbursements Summary'!$C:$C,$C104,'Disbursements Summary'!$A:$A,"AG&amp;MKTS")</f>
        <v>0</v>
      </c>
      <c r="AL104" s="55">
        <f>SUMIFS('Awards Summary'!$H:$H,'Awards Summary'!$B:$B,$C104,'Awards Summary'!$J:$J,"CS")</f>
        <v>0</v>
      </c>
      <c r="AM104" s="55">
        <f>SUMIFS('Disbursements Summary'!$E:$E,'Disbursements Summary'!$C:$C,$C104,'Disbursements Summary'!$A:$A,"CS")</f>
        <v>0</v>
      </c>
      <c r="AN104" s="55">
        <f>SUMIFS('Awards Summary'!$H:$H,'Awards Summary'!$B:$B,$C104,'Awards Summary'!$J:$J,"DOCCS")</f>
        <v>0</v>
      </c>
      <c r="AO104" s="55">
        <f>SUMIFS('Disbursements Summary'!$E:$E,'Disbursements Summary'!$C:$C,$C104,'Disbursements Summary'!$A:$A,"DOCCS")</f>
        <v>0</v>
      </c>
      <c r="AP104" s="55">
        <f>SUMIFS('Awards Summary'!$H:$H,'Awards Summary'!$B:$B,$C104,'Awards Summary'!$J:$J,"DED")</f>
        <v>0</v>
      </c>
      <c r="AQ104" s="55">
        <f>SUMIFS('Disbursements Summary'!$E:$E,'Disbursements Summary'!$C:$C,$C104,'Disbursements Summary'!$A:$A,"DED")</f>
        <v>0</v>
      </c>
      <c r="AR104" s="55">
        <f>SUMIFS('Awards Summary'!$H:$H,'Awards Summary'!$B:$B,$C104,'Awards Summary'!$J:$J,"DEC")</f>
        <v>0</v>
      </c>
      <c r="AS104" s="55">
        <f>SUMIFS('Disbursements Summary'!$E:$E,'Disbursements Summary'!$C:$C,$C104,'Disbursements Summary'!$A:$A,"DEC")</f>
        <v>0</v>
      </c>
      <c r="AT104" s="55">
        <f>SUMIFS('Awards Summary'!$H:$H,'Awards Summary'!$B:$B,$C104,'Awards Summary'!$J:$J,"DFS")</f>
        <v>0</v>
      </c>
      <c r="AU104" s="55">
        <f>SUMIFS('Disbursements Summary'!$E:$E,'Disbursements Summary'!$C:$C,$C104,'Disbursements Summary'!$A:$A,"DFS")</f>
        <v>0</v>
      </c>
      <c r="AV104" s="55">
        <f>SUMIFS('Awards Summary'!$H:$H,'Awards Summary'!$B:$B,$C104,'Awards Summary'!$J:$J,"DOH")</f>
        <v>0</v>
      </c>
      <c r="AW104" s="55">
        <f>SUMIFS('Disbursements Summary'!$E:$E,'Disbursements Summary'!$C:$C,$C104,'Disbursements Summary'!$A:$A,"DOH")</f>
        <v>0</v>
      </c>
      <c r="AX104" s="55">
        <f>SUMIFS('Awards Summary'!$H:$H,'Awards Summary'!$B:$B,$C104,'Awards Summary'!$J:$J,"DOL")</f>
        <v>0</v>
      </c>
      <c r="AY104" s="55">
        <f>SUMIFS('Disbursements Summary'!$E:$E,'Disbursements Summary'!$C:$C,$C104,'Disbursements Summary'!$A:$A,"DOL")</f>
        <v>0</v>
      </c>
      <c r="AZ104" s="55">
        <f>SUMIFS('Awards Summary'!$H:$H,'Awards Summary'!$B:$B,$C104,'Awards Summary'!$J:$J,"DMV")</f>
        <v>0</v>
      </c>
      <c r="BA104" s="55">
        <f>SUMIFS('Disbursements Summary'!$E:$E,'Disbursements Summary'!$C:$C,$C104,'Disbursements Summary'!$A:$A,"DMV")</f>
        <v>0</v>
      </c>
      <c r="BB104" s="55">
        <f>SUMIFS('Awards Summary'!$H:$H,'Awards Summary'!$B:$B,$C104,'Awards Summary'!$J:$J,"DPS")</f>
        <v>0</v>
      </c>
      <c r="BC104" s="55">
        <f>SUMIFS('Disbursements Summary'!$E:$E,'Disbursements Summary'!$C:$C,$C104,'Disbursements Summary'!$A:$A,"DPS")</f>
        <v>0</v>
      </c>
      <c r="BD104" s="55">
        <f>SUMIFS('Awards Summary'!$H:$H,'Awards Summary'!$B:$B,$C104,'Awards Summary'!$J:$J,"DOS")</f>
        <v>0</v>
      </c>
      <c r="BE104" s="55">
        <f>SUMIFS('Disbursements Summary'!$E:$E,'Disbursements Summary'!$C:$C,$C104,'Disbursements Summary'!$A:$A,"DOS")</f>
        <v>0</v>
      </c>
      <c r="BF104" s="55">
        <f>SUMIFS('Awards Summary'!$H:$H,'Awards Summary'!$B:$B,$C104,'Awards Summary'!$J:$J,"TAX")</f>
        <v>0</v>
      </c>
      <c r="BG104" s="55">
        <f>SUMIFS('Disbursements Summary'!$E:$E,'Disbursements Summary'!$C:$C,$C104,'Disbursements Summary'!$A:$A,"TAX")</f>
        <v>0</v>
      </c>
      <c r="BH104" s="55">
        <f>SUMIFS('Awards Summary'!$H:$H,'Awards Summary'!$B:$B,$C104,'Awards Summary'!$J:$J,"DOT")</f>
        <v>0</v>
      </c>
      <c r="BI104" s="55">
        <f>SUMIFS('Disbursements Summary'!$E:$E,'Disbursements Summary'!$C:$C,$C104,'Disbursements Summary'!$A:$A,"DOT")</f>
        <v>0</v>
      </c>
      <c r="BJ104" s="55">
        <f>SUMIFS('Awards Summary'!$H:$H,'Awards Summary'!$B:$B,$C104,'Awards Summary'!$J:$J,"DANC")</f>
        <v>0</v>
      </c>
      <c r="BK104" s="55">
        <f>SUMIFS('Disbursements Summary'!$E:$E,'Disbursements Summary'!$C:$C,$C104,'Disbursements Summary'!$A:$A,"DANC")</f>
        <v>0</v>
      </c>
      <c r="BL104" s="55">
        <f>SUMIFS('Awards Summary'!$H:$H,'Awards Summary'!$B:$B,$C104,'Awards Summary'!$J:$J,"DOB")</f>
        <v>0</v>
      </c>
      <c r="BM104" s="55">
        <f>SUMIFS('Disbursements Summary'!$E:$E,'Disbursements Summary'!$C:$C,$C104,'Disbursements Summary'!$A:$A,"DOB")</f>
        <v>0</v>
      </c>
      <c r="BN104" s="55">
        <f>SUMIFS('Awards Summary'!$H:$H,'Awards Summary'!$B:$B,$C104,'Awards Summary'!$J:$J,"DCJS")</f>
        <v>0</v>
      </c>
      <c r="BO104" s="55">
        <f>SUMIFS('Disbursements Summary'!$E:$E,'Disbursements Summary'!$C:$C,$C104,'Disbursements Summary'!$A:$A,"DCJS")</f>
        <v>0</v>
      </c>
      <c r="BP104" s="55">
        <f>SUMIFS('Awards Summary'!$H:$H,'Awards Summary'!$B:$B,$C104,'Awards Summary'!$J:$J,"DHSES")</f>
        <v>0</v>
      </c>
      <c r="BQ104" s="55">
        <f>SUMIFS('Disbursements Summary'!$E:$E,'Disbursements Summary'!$C:$C,$C104,'Disbursements Summary'!$A:$A,"DHSES")</f>
        <v>0</v>
      </c>
      <c r="BR104" s="55">
        <f>SUMIFS('Awards Summary'!$H:$H,'Awards Summary'!$B:$B,$C104,'Awards Summary'!$J:$J,"DHR")</f>
        <v>0</v>
      </c>
      <c r="BS104" s="55">
        <f>SUMIFS('Disbursements Summary'!$E:$E,'Disbursements Summary'!$C:$C,$C104,'Disbursements Summary'!$A:$A,"DHR")</f>
        <v>0</v>
      </c>
      <c r="BT104" s="55">
        <f>SUMIFS('Awards Summary'!$H:$H,'Awards Summary'!$B:$B,$C104,'Awards Summary'!$J:$J,"DMNA")</f>
        <v>0</v>
      </c>
      <c r="BU104" s="55">
        <f>SUMIFS('Disbursements Summary'!$E:$E,'Disbursements Summary'!$C:$C,$C104,'Disbursements Summary'!$A:$A,"DMNA")</f>
        <v>0</v>
      </c>
      <c r="BV104" s="55">
        <f>SUMIFS('Awards Summary'!$H:$H,'Awards Summary'!$B:$B,$C104,'Awards Summary'!$J:$J,"TROOPERS")</f>
        <v>0</v>
      </c>
      <c r="BW104" s="55">
        <f>SUMIFS('Disbursements Summary'!$E:$E,'Disbursements Summary'!$C:$C,$C104,'Disbursements Summary'!$A:$A,"TROOPERS")</f>
        <v>0</v>
      </c>
      <c r="BX104" s="55">
        <f>SUMIFS('Awards Summary'!$H:$H,'Awards Summary'!$B:$B,$C104,'Awards Summary'!$J:$J,"DVA")</f>
        <v>0</v>
      </c>
      <c r="BY104" s="55">
        <f>SUMIFS('Disbursements Summary'!$E:$E,'Disbursements Summary'!$C:$C,$C104,'Disbursements Summary'!$A:$A,"DVA")</f>
        <v>0</v>
      </c>
      <c r="BZ104" s="55">
        <f>SUMIFS('Awards Summary'!$H:$H,'Awards Summary'!$B:$B,$C104,'Awards Summary'!$J:$J,"DASNY")</f>
        <v>0</v>
      </c>
      <c r="CA104" s="55">
        <f>SUMIFS('Disbursements Summary'!$E:$E,'Disbursements Summary'!$C:$C,$C104,'Disbursements Summary'!$A:$A,"DASNY")</f>
        <v>0</v>
      </c>
      <c r="CB104" s="55">
        <f>SUMIFS('Awards Summary'!$H:$H,'Awards Summary'!$B:$B,$C104,'Awards Summary'!$J:$J,"EGG")</f>
        <v>0</v>
      </c>
      <c r="CC104" s="55">
        <f>SUMIFS('Disbursements Summary'!$E:$E,'Disbursements Summary'!$C:$C,$C104,'Disbursements Summary'!$A:$A,"EGG")</f>
        <v>0</v>
      </c>
      <c r="CD104" s="55">
        <f>SUMIFS('Awards Summary'!$H:$H,'Awards Summary'!$B:$B,$C104,'Awards Summary'!$J:$J,"ESD")</f>
        <v>0</v>
      </c>
      <c r="CE104" s="55">
        <f>SUMIFS('Disbursements Summary'!$E:$E,'Disbursements Summary'!$C:$C,$C104,'Disbursements Summary'!$A:$A,"ESD")</f>
        <v>0</v>
      </c>
      <c r="CF104" s="55">
        <f>SUMIFS('Awards Summary'!$H:$H,'Awards Summary'!$B:$B,$C104,'Awards Summary'!$J:$J,"EFC")</f>
        <v>0</v>
      </c>
      <c r="CG104" s="55">
        <f>SUMIFS('Disbursements Summary'!$E:$E,'Disbursements Summary'!$C:$C,$C104,'Disbursements Summary'!$A:$A,"EFC")</f>
        <v>0</v>
      </c>
      <c r="CH104" s="55">
        <f>SUMIFS('Awards Summary'!$H:$H,'Awards Summary'!$B:$B,$C104,'Awards Summary'!$J:$J,"ECFSA")</f>
        <v>0</v>
      </c>
      <c r="CI104" s="55">
        <f>SUMIFS('Disbursements Summary'!$E:$E,'Disbursements Summary'!$C:$C,$C104,'Disbursements Summary'!$A:$A,"ECFSA")</f>
        <v>0</v>
      </c>
      <c r="CJ104" s="55">
        <f>SUMIFS('Awards Summary'!$H:$H,'Awards Summary'!$B:$B,$C104,'Awards Summary'!$J:$J,"ECMC")</f>
        <v>0</v>
      </c>
      <c r="CK104" s="55">
        <f>SUMIFS('Disbursements Summary'!$E:$E,'Disbursements Summary'!$C:$C,$C104,'Disbursements Summary'!$A:$A,"ECMC")</f>
        <v>0</v>
      </c>
      <c r="CL104" s="55">
        <f>SUMIFS('Awards Summary'!$H:$H,'Awards Summary'!$B:$B,$C104,'Awards Summary'!$J:$J,"CHAMBER")</f>
        <v>0</v>
      </c>
      <c r="CM104" s="55">
        <f>SUMIFS('Disbursements Summary'!$E:$E,'Disbursements Summary'!$C:$C,$C104,'Disbursements Summary'!$A:$A,"CHAMBER")</f>
        <v>0</v>
      </c>
      <c r="CN104" s="55">
        <f>SUMIFS('Awards Summary'!$H:$H,'Awards Summary'!$B:$B,$C104,'Awards Summary'!$J:$J,"GAMING")</f>
        <v>0</v>
      </c>
      <c r="CO104" s="55">
        <f>SUMIFS('Disbursements Summary'!$E:$E,'Disbursements Summary'!$C:$C,$C104,'Disbursements Summary'!$A:$A,"GAMING")</f>
        <v>0</v>
      </c>
      <c r="CP104" s="55">
        <f>SUMIFS('Awards Summary'!$H:$H,'Awards Summary'!$B:$B,$C104,'Awards Summary'!$J:$J,"GOER")</f>
        <v>0</v>
      </c>
      <c r="CQ104" s="55">
        <f>SUMIFS('Disbursements Summary'!$E:$E,'Disbursements Summary'!$C:$C,$C104,'Disbursements Summary'!$A:$A,"GOER")</f>
        <v>0</v>
      </c>
      <c r="CR104" s="55">
        <f>SUMIFS('Awards Summary'!$H:$H,'Awards Summary'!$B:$B,$C104,'Awards Summary'!$J:$J,"HESC")</f>
        <v>0</v>
      </c>
      <c r="CS104" s="55">
        <f>SUMIFS('Disbursements Summary'!$E:$E,'Disbursements Summary'!$C:$C,$C104,'Disbursements Summary'!$A:$A,"HESC")</f>
        <v>0</v>
      </c>
      <c r="CT104" s="55">
        <f>SUMIFS('Awards Summary'!$H:$H,'Awards Summary'!$B:$B,$C104,'Awards Summary'!$J:$J,"GOSR")</f>
        <v>0</v>
      </c>
      <c r="CU104" s="55">
        <f>SUMIFS('Disbursements Summary'!$E:$E,'Disbursements Summary'!$C:$C,$C104,'Disbursements Summary'!$A:$A,"GOSR")</f>
        <v>0</v>
      </c>
      <c r="CV104" s="55">
        <f>SUMIFS('Awards Summary'!$H:$H,'Awards Summary'!$B:$B,$C104,'Awards Summary'!$J:$J,"HRPT")</f>
        <v>0</v>
      </c>
      <c r="CW104" s="55">
        <f>SUMIFS('Disbursements Summary'!$E:$E,'Disbursements Summary'!$C:$C,$C104,'Disbursements Summary'!$A:$A,"HRPT")</f>
        <v>0</v>
      </c>
      <c r="CX104" s="55">
        <f>SUMIFS('Awards Summary'!$H:$H,'Awards Summary'!$B:$B,$C104,'Awards Summary'!$J:$J,"HRBRRD")</f>
        <v>0</v>
      </c>
      <c r="CY104" s="55">
        <f>SUMIFS('Disbursements Summary'!$E:$E,'Disbursements Summary'!$C:$C,$C104,'Disbursements Summary'!$A:$A,"HRBRRD")</f>
        <v>0</v>
      </c>
      <c r="CZ104" s="55">
        <f>SUMIFS('Awards Summary'!$H:$H,'Awards Summary'!$B:$B,$C104,'Awards Summary'!$J:$J,"ITS")</f>
        <v>0</v>
      </c>
      <c r="DA104" s="55">
        <f>SUMIFS('Disbursements Summary'!$E:$E,'Disbursements Summary'!$C:$C,$C104,'Disbursements Summary'!$A:$A,"ITS")</f>
        <v>0</v>
      </c>
      <c r="DB104" s="55">
        <f>SUMIFS('Awards Summary'!$H:$H,'Awards Summary'!$B:$B,$C104,'Awards Summary'!$J:$J,"JAVITS")</f>
        <v>0</v>
      </c>
      <c r="DC104" s="55">
        <f>SUMIFS('Disbursements Summary'!$E:$E,'Disbursements Summary'!$C:$C,$C104,'Disbursements Summary'!$A:$A,"JAVITS")</f>
        <v>0</v>
      </c>
      <c r="DD104" s="55">
        <f>SUMIFS('Awards Summary'!$H:$H,'Awards Summary'!$B:$B,$C104,'Awards Summary'!$J:$J,"JCOPE")</f>
        <v>0</v>
      </c>
      <c r="DE104" s="55">
        <f>SUMIFS('Disbursements Summary'!$E:$E,'Disbursements Summary'!$C:$C,$C104,'Disbursements Summary'!$A:$A,"JCOPE")</f>
        <v>0</v>
      </c>
      <c r="DF104" s="55">
        <f>SUMIFS('Awards Summary'!$H:$H,'Awards Summary'!$B:$B,$C104,'Awards Summary'!$J:$J,"JUSTICE")</f>
        <v>0</v>
      </c>
      <c r="DG104" s="55">
        <f>SUMIFS('Disbursements Summary'!$E:$E,'Disbursements Summary'!$C:$C,$C104,'Disbursements Summary'!$A:$A,"JUSTICE")</f>
        <v>0</v>
      </c>
      <c r="DH104" s="55">
        <f>SUMIFS('Awards Summary'!$H:$H,'Awards Summary'!$B:$B,$C104,'Awards Summary'!$J:$J,"LCWSA")</f>
        <v>0</v>
      </c>
      <c r="DI104" s="55">
        <f>SUMIFS('Disbursements Summary'!$E:$E,'Disbursements Summary'!$C:$C,$C104,'Disbursements Summary'!$A:$A,"LCWSA")</f>
        <v>0</v>
      </c>
      <c r="DJ104" s="55">
        <f>SUMIFS('Awards Summary'!$H:$H,'Awards Summary'!$B:$B,$C104,'Awards Summary'!$J:$J,"LIPA")</f>
        <v>0</v>
      </c>
      <c r="DK104" s="55">
        <f>SUMIFS('Disbursements Summary'!$E:$E,'Disbursements Summary'!$C:$C,$C104,'Disbursements Summary'!$A:$A,"LIPA")</f>
        <v>0</v>
      </c>
      <c r="DL104" s="55">
        <f>SUMIFS('Awards Summary'!$H:$H,'Awards Summary'!$B:$B,$C104,'Awards Summary'!$J:$J,"MTA")</f>
        <v>0</v>
      </c>
      <c r="DM104" s="55">
        <f>SUMIFS('Disbursements Summary'!$E:$E,'Disbursements Summary'!$C:$C,$C104,'Disbursements Summary'!$A:$A,"MTA")</f>
        <v>0</v>
      </c>
      <c r="DN104" s="55">
        <f>SUMIFS('Awards Summary'!$H:$H,'Awards Summary'!$B:$B,$C104,'Awards Summary'!$J:$J,"NIFA")</f>
        <v>0</v>
      </c>
      <c r="DO104" s="55">
        <f>SUMIFS('Disbursements Summary'!$E:$E,'Disbursements Summary'!$C:$C,$C104,'Disbursements Summary'!$A:$A,"NIFA")</f>
        <v>0</v>
      </c>
      <c r="DP104" s="55">
        <f>SUMIFS('Awards Summary'!$H:$H,'Awards Summary'!$B:$B,$C104,'Awards Summary'!$J:$J,"NHCC")</f>
        <v>0</v>
      </c>
      <c r="DQ104" s="55">
        <f>SUMIFS('Disbursements Summary'!$E:$E,'Disbursements Summary'!$C:$C,$C104,'Disbursements Summary'!$A:$A,"NHCC")</f>
        <v>0</v>
      </c>
      <c r="DR104" s="55">
        <f>SUMIFS('Awards Summary'!$H:$H,'Awards Summary'!$B:$B,$C104,'Awards Summary'!$J:$J,"NHT")</f>
        <v>0</v>
      </c>
      <c r="DS104" s="55">
        <f>SUMIFS('Disbursements Summary'!$E:$E,'Disbursements Summary'!$C:$C,$C104,'Disbursements Summary'!$A:$A,"NHT")</f>
        <v>0</v>
      </c>
      <c r="DT104" s="55">
        <f>SUMIFS('Awards Summary'!$H:$H,'Awards Summary'!$B:$B,$C104,'Awards Summary'!$J:$J,"NYPA")</f>
        <v>0</v>
      </c>
      <c r="DU104" s="55">
        <f>SUMIFS('Disbursements Summary'!$E:$E,'Disbursements Summary'!$C:$C,$C104,'Disbursements Summary'!$A:$A,"NYPA")</f>
        <v>0</v>
      </c>
      <c r="DV104" s="55">
        <f>SUMIFS('Awards Summary'!$H:$H,'Awards Summary'!$B:$B,$C104,'Awards Summary'!$J:$J,"NYSBA")</f>
        <v>0</v>
      </c>
      <c r="DW104" s="55">
        <f>SUMIFS('Disbursements Summary'!$E:$E,'Disbursements Summary'!$C:$C,$C104,'Disbursements Summary'!$A:$A,"NYSBA")</f>
        <v>0</v>
      </c>
      <c r="DX104" s="55">
        <f>SUMIFS('Awards Summary'!$H:$H,'Awards Summary'!$B:$B,$C104,'Awards Summary'!$J:$J,"NYSERDA")</f>
        <v>0</v>
      </c>
      <c r="DY104" s="55">
        <f>SUMIFS('Disbursements Summary'!$E:$E,'Disbursements Summary'!$C:$C,$C104,'Disbursements Summary'!$A:$A,"NYSERDA")</f>
        <v>0</v>
      </c>
      <c r="DZ104" s="55">
        <f>SUMIFS('Awards Summary'!$H:$H,'Awards Summary'!$B:$B,$C104,'Awards Summary'!$J:$J,"DHCR")</f>
        <v>0</v>
      </c>
      <c r="EA104" s="55">
        <f>SUMIFS('Disbursements Summary'!$E:$E,'Disbursements Summary'!$C:$C,$C104,'Disbursements Summary'!$A:$A,"DHCR")</f>
        <v>0</v>
      </c>
      <c r="EB104" s="55">
        <f>SUMIFS('Awards Summary'!$H:$H,'Awards Summary'!$B:$B,$C104,'Awards Summary'!$J:$J,"HFA")</f>
        <v>0</v>
      </c>
      <c r="EC104" s="55">
        <f>SUMIFS('Disbursements Summary'!$E:$E,'Disbursements Summary'!$C:$C,$C104,'Disbursements Summary'!$A:$A,"HFA")</f>
        <v>0</v>
      </c>
      <c r="ED104" s="55">
        <f>SUMIFS('Awards Summary'!$H:$H,'Awards Summary'!$B:$B,$C104,'Awards Summary'!$J:$J,"NYSIF")</f>
        <v>0</v>
      </c>
      <c r="EE104" s="55">
        <f>SUMIFS('Disbursements Summary'!$E:$E,'Disbursements Summary'!$C:$C,$C104,'Disbursements Summary'!$A:$A,"NYSIF")</f>
        <v>0</v>
      </c>
      <c r="EF104" s="55">
        <f>SUMIFS('Awards Summary'!$H:$H,'Awards Summary'!$B:$B,$C104,'Awards Summary'!$J:$J,"NYBREDS")</f>
        <v>0</v>
      </c>
      <c r="EG104" s="55">
        <f>SUMIFS('Disbursements Summary'!$E:$E,'Disbursements Summary'!$C:$C,$C104,'Disbursements Summary'!$A:$A,"NYBREDS")</f>
        <v>0</v>
      </c>
      <c r="EH104" s="55">
        <f>SUMIFS('Awards Summary'!$H:$H,'Awards Summary'!$B:$B,$C104,'Awards Summary'!$J:$J,"NYSTA")</f>
        <v>0</v>
      </c>
      <c r="EI104" s="55">
        <f>SUMIFS('Disbursements Summary'!$E:$E,'Disbursements Summary'!$C:$C,$C104,'Disbursements Summary'!$A:$A,"NYSTA")</f>
        <v>0</v>
      </c>
      <c r="EJ104" s="55">
        <f>SUMIFS('Awards Summary'!$H:$H,'Awards Summary'!$B:$B,$C104,'Awards Summary'!$J:$J,"NFWB")</f>
        <v>0</v>
      </c>
      <c r="EK104" s="55">
        <f>SUMIFS('Disbursements Summary'!$E:$E,'Disbursements Summary'!$C:$C,$C104,'Disbursements Summary'!$A:$A,"NFWB")</f>
        <v>0</v>
      </c>
      <c r="EL104" s="55">
        <f>SUMIFS('Awards Summary'!$H:$H,'Awards Summary'!$B:$B,$C104,'Awards Summary'!$J:$J,"NFTA")</f>
        <v>0</v>
      </c>
      <c r="EM104" s="55">
        <f>SUMIFS('Disbursements Summary'!$E:$E,'Disbursements Summary'!$C:$C,$C104,'Disbursements Summary'!$A:$A,"NFTA")</f>
        <v>0</v>
      </c>
      <c r="EN104" s="55">
        <f>SUMIFS('Awards Summary'!$H:$H,'Awards Summary'!$B:$B,$C104,'Awards Summary'!$J:$J,"OPWDD")</f>
        <v>0</v>
      </c>
      <c r="EO104" s="55">
        <f>SUMIFS('Disbursements Summary'!$E:$E,'Disbursements Summary'!$C:$C,$C104,'Disbursements Summary'!$A:$A,"OPWDD")</f>
        <v>0</v>
      </c>
      <c r="EP104" s="55">
        <f>SUMIFS('Awards Summary'!$H:$H,'Awards Summary'!$B:$B,$C104,'Awards Summary'!$J:$J,"AGING")</f>
        <v>0</v>
      </c>
      <c r="EQ104" s="55">
        <f>SUMIFS('Disbursements Summary'!$E:$E,'Disbursements Summary'!$C:$C,$C104,'Disbursements Summary'!$A:$A,"AGING")</f>
        <v>0</v>
      </c>
      <c r="ER104" s="55">
        <f>SUMIFS('Awards Summary'!$H:$H,'Awards Summary'!$B:$B,$C104,'Awards Summary'!$J:$J,"OPDV")</f>
        <v>0</v>
      </c>
      <c r="ES104" s="55">
        <f>SUMIFS('Disbursements Summary'!$E:$E,'Disbursements Summary'!$C:$C,$C104,'Disbursements Summary'!$A:$A,"OPDV")</f>
        <v>0</v>
      </c>
      <c r="ET104" s="55">
        <f>SUMIFS('Awards Summary'!$H:$H,'Awards Summary'!$B:$B,$C104,'Awards Summary'!$J:$J,"OVS")</f>
        <v>0</v>
      </c>
      <c r="EU104" s="55">
        <f>SUMIFS('Disbursements Summary'!$E:$E,'Disbursements Summary'!$C:$C,$C104,'Disbursements Summary'!$A:$A,"OVS")</f>
        <v>0</v>
      </c>
      <c r="EV104" s="55">
        <f>SUMIFS('Awards Summary'!$H:$H,'Awards Summary'!$B:$B,$C104,'Awards Summary'!$J:$J,"OASAS")</f>
        <v>0</v>
      </c>
      <c r="EW104" s="55">
        <f>SUMIFS('Disbursements Summary'!$E:$E,'Disbursements Summary'!$C:$C,$C104,'Disbursements Summary'!$A:$A,"OASAS")</f>
        <v>0</v>
      </c>
      <c r="EX104" s="55">
        <f>SUMIFS('Awards Summary'!$H:$H,'Awards Summary'!$B:$B,$C104,'Awards Summary'!$J:$J,"OCFS")</f>
        <v>0</v>
      </c>
      <c r="EY104" s="55">
        <f>SUMIFS('Disbursements Summary'!$E:$E,'Disbursements Summary'!$C:$C,$C104,'Disbursements Summary'!$A:$A,"OCFS")</f>
        <v>0</v>
      </c>
      <c r="EZ104" s="55">
        <f>SUMIFS('Awards Summary'!$H:$H,'Awards Summary'!$B:$B,$C104,'Awards Summary'!$J:$J,"OGS")</f>
        <v>0</v>
      </c>
      <c r="FA104" s="55">
        <f>SUMIFS('Disbursements Summary'!$E:$E,'Disbursements Summary'!$C:$C,$C104,'Disbursements Summary'!$A:$A,"OGS")</f>
        <v>0</v>
      </c>
      <c r="FB104" s="55">
        <f>SUMIFS('Awards Summary'!$H:$H,'Awards Summary'!$B:$B,$C104,'Awards Summary'!$J:$J,"OMH")</f>
        <v>0</v>
      </c>
      <c r="FC104" s="55">
        <f>SUMIFS('Disbursements Summary'!$E:$E,'Disbursements Summary'!$C:$C,$C104,'Disbursements Summary'!$A:$A,"OMH")</f>
        <v>0</v>
      </c>
      <c r="FD104" s="55">
        <f>SUMIFS('Awards Summary'!$H:$H,'Awards Summary'!$B:$B,$C104,'Awards Summary'!$J:$J,"PARKS")</f>
        <v>0</v>
      </c>
      <c r="FE104" s="55">
        <f>SUMIFS('Disbursements Summary'!$E:$E,'Disbursements Summary'!$C:$C,$C104,'Disbursements Summary'!$A:$A,"PARKS")</f>
        <v>0</v>
      </c>
      <c r="FF104" s="55">
        <f>SUMIFS('Awards Summary'!$H:$H,'Awards Summary'!$B:$B,$C104,'Awards Summary'!$J:$J,"OTDA")</f>
        <v>0</v>
      </c>
      <c r="FG104" s="55">
        <f>SUMIFS('Disbursements Summary'!$E:$E,'Disbursements Summary'!$C:$C,$C104,'Disbursements Summary'!$A:$A,"OTDA")</f>
        <v>0</v>
      </c>
      <c r="FH104" s="55">
        <f>SUMIFS('Awards Summary'!$H:$H,'Awards Summary'!$B:$B,$C104,'Awards Summary'!$J:$J,"OIG")</f>
        <v>0</v>
      </c>
      <c r="FI104" s="55">
        <f>SUMIFS('Disbursements Summary'!$E:$E,'Disbursements Summary'!$C:$C,$C104,'Disbursements Summary'!$A:$A,"OIG")</f>
        <v>0</v>
      </c>
      <c r="FJ104" s="55">
        <f>SUMIFS('Awards Summary'!$H:$H,'Awards Summary'!$B:$B,$C104,'Awards Summary'!$J:$J,"OMIG")</f>
        <v>0</v>
      </c>
      <c r="FK104" s="55">
        <f>SUMIFS('Disbursements Summary'!$E:$E,'Disbursements Summary'!$C:$C,$C104,'Disbursements Summary'!$A:$A,"OMIG")</f>
        <v>0</v>
      </c>
      <c r="FL104" s="55">
        <f>SUMIFS('Awards Summary'!$H:$H,'Awards Summary'!$B:$B,$C104,'Awards Summary'!$J:$J,"OSC")</f>
        <v>0</v>
      </c>
      <c r="FM104" s="55">
        <f>SUMIFS('Disbursements Summary'!$E:$E,'Disbursements Summary'!$C:$C,$C104,'Disbursements Summary'!$A:$A,"OSC")</f>
        <v>0</v>
      </c>
      <c r="FN104" s="55">
        <f>SUMIFS('Awards Summary'!$H:$H,'Awards Summary'!$B:$B,$C104,'Awards Summary'!$J:$J,"OWIG")</f>
        <v>0</v>
      </c>
      <c r="FO104" s="55">
        <f>SUMIFS('Disbursements Summary'!$E:$E,'Disbursements Summary'!$C:$C,$C104,'Disbursements Summary'!$A:$A,"OWIG")</f>
        <v>0</v>
      </c>
      <c r="FP104" s="55">
        <f>SUMIFS('Awards Summary'!$H:$H,'Awards Summary'!$B:$B,$C104,'Awards Summary'!$J:$J,"OGDEN")</f>
        <v>0</v>
      </c>
      <c r="FQ104" s="55">
        <f>SUMIFS('Disbursements Summary'!$E:$E,'Disbursements Summary'!$C:$C,$C104,'Disbursements Summary'!$A:$A,"OGDEN")</f>
        <v>0</v>
      </c>
      <c r="FR104" s="55">
        <f>SUMIFS('Awards Summary'!$H:$H,'Awards Summary'!$B:$B,$C104,'Awards Summary'!$J:$J,"ORDA")</f>
        <v>0</v>
      </c>
      <c r="FS104" s="55">
        <f>SUMIFS('Disbursements Summary'!$E:$E,'Disbursements Summary'!$C:$C,$C104,'Disbursements Summary'!$A:$A,"ORDA")</f>
        <v>0</v>
      </c>
      <c r="FT104" s="55">
        <f>SUMIFS('Awards Summary'!$H:$H,'Awards Summary'!$B:$B,$C104,'Awards Summary'!$J:$J,"OSWEGO")</f>
        <v>0</v>
      </c>
      <c r="FU104" s="55">
        <f>SUMIFS('Disbursements Summary'!$E:$E,'Disbursements Summary'!$C:$C,$C104,'Disbursements Summary'!$A:$A,"OSWEGO")</f>
        <v>0</v>
      </c>
      <c r="FV104" s="55">
        <f>SUMIFS('Awards Summary'!$H:$H,'Awards Summary'!$B:$B,$C104,'Awards Summary'!$J:$J,"PERB")</f>
        <v>0</v>
      </c>
      <c r="FW104" s="55">
        <f>SUMIFS('Disbursements Summary'!$E:$E,'Disbursements Summary'!$C:$C,$C104,'Disbursements Summary'!$A:$A,"PERB")</f>
        <v>0</v>
      </c>
      <c r="FX104" s="55">
        <f>SUMIFS('Awards Summary'!$H:$H,'Awards Summary'!$B:$B,$C104,'Awards Summary'!$J:$J,"RGRTA")</f>
        <v>0</v>
      </c>
      <c r="FY104" s="55">
        <f>SUMIFS('Disbursements Summary'!$E:$E,'Disbursements Summary'!$C:$C,$C104,'Disbursements Summary'!$A:$A,"RGRTA")</f>
        <v>0</v>
      </c>
      <c r="FZ104" s="55">
        <f>SUMIFS('Awards Summary'!$H:$H,'Awards Summary'!$B:$B,$C104,'Awards Summary'!$J:$J,"RIOC")</f>
        <v>0</v>
      </c>
      <c r="GA104" s="55">
        <f>SUMIFS('Disbursements Summary'!$E:$E,'Disbursements Summary'!$C:$C,$C104,'Disbursements Summary'!$A:$A,"RIOC")</f>
        <v>0</v>
      </c>
      <c r="GB104" s="55">
        <f>SUMIFS('Awards Summary'!$H:$H,'Awards Summary'!$B:$B,$C104,'Awards Summary'!$J:$J,"RPCI")</f>
        <v>0</v>
      </c>
      <c r="GC104" s="55">
        <f>SUMIFS('Disbursements Summary'!$E:$E,'Disbursements Summary'!$C:$C,$C104,'Disbursements Summary'!$A:$A,"RPCI")</f>
        <v>0</v>
      </c>
      <c r="GD104" s="55">
        <f>SUMIFS('Awards Summary'!$H:$H,'Awards Summary'!$B:$B,$C104,'Awards Summary'!$J:$J,"SMDA")</f>
        <v>0</v>
      </c>
      <c r="GE104" s="55">
        <f>SUMIFS('Disbursements Summary'!$E:$E,'Disbursements Summary'!$C:$C,$C104,'Disbursements Summary'!$A:$A,"SMDA")</f>
        <v>0</v>
      </c>
      <c r="GF104" s="55">
        <f>SUMIFS('Awards Summary'!$H:$H,'Awards Summary'!$B:$B,$C104,'Awards Summary'!$J:$J,"SCOC")</f>
        <v>0</v>
      </c>
      <c r="GG104" s="55">
        <f>SUMIFS('Disbursements Summary'!$E:$E,'Disbursements Summary'!$C:$C,$C104,'Disbursements Summary'!$A:$A,"SCOC")</f>
        <v>0</v>
      </c>
      <c r="GH104" s="55">
        <f>SUMIFS('Awards Summary'!$H:$H,'Awards Summary'!$B:$B,$C104,'Awards Summary'!$J:$J,"SUCF")</f>
        <v>0</v>
      </c>
      <c r="GI104" s="55">
        <f>SUMIFS('Disbursements Summary'!$E:$E,'Disbursements Summary'!$C:$C,$C104,'Disbursements Summary'!$A:$A,"SUCF")</f>
        <v>0</v>
      </c>
      <c r="GJ104" s="55">
        <f>SUMIFS('Awards Summary'!$H:$H,'Awards Summary'!$B:$B,$C104,'Awards Summary'!$J:$J,"SUNY")</f>
        <v>0</v>
      </c>
      <c r="GK104" s="55">
        <f>SUMIFS('Disbursements Summary'!$E:$E,'Disbursements Summary'!$C:$C,$C104,'Disbursements Summary'!$A:$A,"SUNY")</f>
        <v>0</v>
      </c>
      <c r="GL104" s="55">
        <f>SUMIFS('Awards Summary'!$H:$H,'Awards Summary'!$B:$B,$C104,'Awards Summary'!$J:$J,"SRAA")</f>
        <v>0</v>
      </c>
      <c r="GM104" s="55">
        <f>SUMIFS('Disbursements Summary'!$E:$E,'Disbursements Summary'!$C:$C,$C104,'Disbursements Summary'!$A:$A,"SRAA")</f>
        <v>0</v>
      </c>
      <c r="GN104" s="55">
        <f>SUMIFS('Awards Summary'!$H:$H,'Awards Summary'!$B:$B,$C104,'Awards Summary'!$J:$J,"UNDC")</f>
        <v>0</v>
      </c>
      <c r="GO104" s="55">
        <f>SUMIFS('Disbursements Summary'!$E:$E,'Disbursements Summary'!$C:$C,$C104,'Disbursements Summary'!$A:$A,"UNDC")</f>
        <v>0</v>
      </c>
      <c r="GP104" s="55">
        <f>SUMIFS('Awards Summary'!$H:$H,'Awards Summary'!$B:$B,$C104,'Awards Summary'!$J:$J,"MVWA")</f>
        <v>0</v>
      </c>
      <c r="GQ104" s="55">
        <f>SUMIFS('Disbursements Summary'!$E:$E,'Disbursements Summary'!$C:$C,$C104,'Disbursements Summary'!$A:$A,"MVWA")</f>
        <v>0</v>
      </c>
      <c r="GR104" s="55">
        <f>SUMIFS('Awards Summary'!$H:$H,'Awards Summary'!$B:$B,$C104,'Awards Summary'!$J:$J,"WMC")</f>
        <v>0</v>
      </c>
      <c r="GS104" s="55">
        <f>SUMIFS('Disbursements Summary'!$E:$E,'Disbursements Summary'!$C:$C,$C104,'Disbursements Summary'!$A:$A,"WMC")</f>
        <v>0</v>
      </c>
      <c r="GT104" s="55">
        <f>SUMIFS('Awards Summary'!$H:$H,'Awards Summary'!$B:$B,$C104,'Awards Summary'!$J:$J,"WCB")</f>
        <v>0</v>
      </c>
      <c r="GU104" s="55">
        <f>SUMIFS('Disbursements Summary'!$E:$E,'Disbursements Summary'!$C:$C,$C104,'Disbursements Summary'!$A:$A,"WCB")</f>
        <v>0</v>
      </c>
      <c r="GV104" s="32">
        <f t="shared" si="10"/>
        <v>0</v>
      </c>
      <c r="GW104" s="32">
        <f t="shared" si="11"/>
        <v>0</v>
      </c>
      <c r="GX104" s="30" t="b">
        <f t="shared" si="12"/>
        <v>1</v>
      </c>
      <c r="GY104" s="30" t="b">
        <f t="shared" si="13"/>
        <v>1</v>
      </c>
    </row>
    <row r="105" spans="1:207" s="30" customFormat="1">
      <c r="A105" s="22" t="str">
        <f t="shared" si="9"/>
        <v/>
      </c>
      <c r="B105" s="40" t="s">
        <v>211</v>
      </c>
      <c r="C105" s="16">
        <v>151228</v>
      </c>
      <c r="D105" s="26">
        <f>COUNTIF('Awards Summary'!B:B,"151228")</f>
        <v>0</v>
      </c>
      <c r="E105" s="45">
        <f>SUMIFS('Awards Summary'!H:H,'Awards Summary'!B:B,"151228")</f>
        <v>0</v>
      </c>
      <c r="F105" s="46">
        <f>SUMIFS('Disbursements Summary'!E:E,'Disbursements Summary'!C:C, "151228")</f>
        <v>0</v>
      </c>
      <c r="H105" s="55">
        <f>SUMIFS('Awards Summary'!$H:$H,'Awards Summary'!$B:$B,$C105,'Awards Summary'!$J:$J,"APA")</f>
        <v>0</v>
      </c>
      <c r="I105" s="55">
        <f>SUMIFS('Disbursements Summary'!$E:$E,'Disbursements Summary'!$C:$C,$C105,'Disbursements Summary'!$A:$A,"APA")</f>
        <v>0</v>
      </c>
      <c r="J105" s="55">
        <f>SUMIFS('Awards Summary'!$H:$H,'Awards Summary'!$B:$B,$C105,'Awards Summary'!$J:$J,"Ag&amp;Horse")</f>
        <v>0</v>
      </c>
      <c r="K105" s="55">
        <f>SUMIFS('Disbursements Summary'!$E:$E,'Disbursements Summary'!$C:$C,$C105,'Disbursements Summary'!$A:$A,"Ag&amp;Horse")</f>
        <v>0</v>
      </c>
      <c r="L105" s="55">
        <f>SUMIFS('Awards Summary'!$H:$H,'Awards Summary'!$B:$B,$C105,'Awards Summary'!$J:$J,"ACAA")</f>
        <v>0</v>
      </c>
      <c r="M105" s="55">
        <f>SUMIFS('Disbursements Summary'!$E:$E,'Disbursements Summary'!$C:$C,$C105,'Disbursements Summary'!$A:$A,"ACAA")</f>
        <v>0</v>
      </c>
      <c r="N105" s="55">
        <f>SUMIFS('Awards Summary'!$H:$H,'Awards Summary'!$B:$B,$C105,'Awards Summary'!$J:$J,"PortAlbany")</f>
        <v>0</v>
      </c>
      <c r="O105" s="55">
        <f>SUMIFS('Disbursements Summary'!$E:$E,'Disbursements Summary'!$C:$C,$C105,'Disbursements Summary'!$A:$A,"PortAlbany")</f>
        <v>0</v>
      </c>
      <c r="P105" s="55">
        <f>SUMIFS('Awards Summary'!$H:$H,'Awards Summary'!$B:$B,$C105,'Awards Summary'!$J:$J,"SLA")</f>
        <v>0</v>
      </c>
      <c r="Q105" s="55">
        <f>SUMIFS('Disbursements Summary'!$E:$E,'Disbursements Summary'!$C:$C,$C105,'Disbursements Summary'!$A:$A,"SLA")</f>
        <v>0</v>
      </c>
      <c r="R105" s="55">
        <f>SUMIFS('Awards Summary'!$H:$H,'Awards Summary'!$B:$B,$C105,'Awards Summary'!$J:$J,"BPCA")</f>
        <v>0</v>
      </c>
      <c r="S105" s="55">
        <f>SUMIFS('Disbursements Summary'!$E:$E,'Disbursements Summary'!$C:$C,$C105,'Disbursements Summary'!$A:$A,"BPCA")</f>
        <v>0</v>
      </c>
      <c r="T105" s="55">
        <f>SUMIFS('Awards Summary'!$H:$H,'Awards Summary'!$B:$B,$C105,'Awards Summary'!$J:$J,"ELECTIONS")</f>
        <v>0</v>
      </c>
      <c r="U105" s="55">
        <f>SUMIFS('Disbursements Summary'!$E:$E,'Disbursements Summary'!$C:$C,$C105,'Disbursements Summary'!$A:$A,"ELECTIONS")</f>
        <v>0</v>
      </c>
      <c r="V105" s="55">
        <f>SUMIFS('Awards Summary'!$H:$H,'Awards Summary'!$B:$B,$C105,'Awards Summary'!$J:$J,"BFSA")</f>
        <v>0</v>
      </c>
      <c r="W105" s="55">
        <f>SUMIFS('Disbursements Summary'!$E:$E,'Disbursements Summary'!$C:$C,$C105,'Disbursements Summary'!$A:$A,"BFSA")</f>
        <v>0</v>
      </c>
      <c r="X105" s="55">
        <f>SUMIFS('Awards Summary'!$H:$H,'Awards Summary'!$B:$B,$C105,'Awards Summary'!$J:$J,"CDTA")</f>
        <v>0</v>
      </c>
      <c r="Y105" s="55">
        <f>SUMIFS('Disbursements Summary'!$E:$E,'Disbursements Summary'!$C:$C,$C105,'Disbursements Summary'!$A:$A,"CDTA")</f>
        <v>0</v>
      </c>
      <c r="Z105" s="55">
        <f>SUMIFS('Awards Summary'!$H:$H,'Awards Summary'!$B:$B,$C105,'Awards Summary'!$J:$J,"CCWSA")</f>
        <v>0</v>
      </c>
      <c r="AA105" s="55">
        <f>SUMIFS('Disbursements Summary'!$E:$E,'Disbursements Summary'!$C:$C,$C105,'Disbursements Summary'!$A:$A,"CCWSA")</f>
        <v>0</v>
      </c>
      <c r="AB105" s="55">
        <f>SUMIFS('Awards Summary'!$H:$H,'Awards Summary'!$B:$B,$C105,'Awards Summary'!$J:$J,"CNYRTA")</f>
        <v>0</v>
      </c>
      <c r="AC105" s="55">
        <f>SUMIFS('Disbursements Summary'!$E:$E,'Disbursements Summary'!$C:$C,$C105,'Disbursements Summary'!$A:$A,"CNYRTA")</f>
        <v>0</v>
      </c>
      <c r="AD105" s="55">
        <f>SUMIFS('Awards Summary'!$H:$H,'Awards Summary'!$B:$B,$C105,'Awards Summary'!$J:$J,"CUCF")</f>
        <v>0</v>
      </c>
      <c r="AE105" s="55">
        <f>SUMIFS('Disbursements Summary'!$E:$E,'Disbursements Summary'!$C:$C,$C105,'Disbursements Summary'!$A:$A,"CUCF")</f>
        <v>0</v>
      </c>
      <c r="AF105" s="55">
        <f>SUMIFS('Awards Summary'!$H:$H,'Awards Summary'!$B:$B,$C105,'Awards Summary'!$J:$J,"CUNY")</f>
        <v>0</v>
      </c>
      <c r="AG105" s="55">
        <f>SUMIFS('Disbursements Summary'!$E:$E,'Disbursements Summary'!$C:$C,$C105,'Disbursements Summary'!$A:$A,"CUNY")</f>
        <v>0</v>
      </c>
      <c r="AH105" s="55">
        <f>SUMIFS('Awards Summary'!$H:$H,'Awards Summary'!$B:$B,$C105,'Awards Summary'!$J:$J,"ARTS")</f>
        <v>0</v>
      </c>
      <c r="AI105" s="55">
        <f>SUMIFS('Disbursements Summary'!$E:$E,'Disbursements Summary'!$C:$C,$C105,'Disbursements Summary'!$A:$A,"ARTS")</f>
        <v>0</v>
      </c>
      <c r="AJ105" s="55">
        <f>SUMIFS('Awards Summary'!$H:$H,'Awards Summary'!$B:$B,$C105,'Awards Summary'!$J:$J,"AG&amp;MKTS")</f>
        <v>0</v>
      </c>
      <c r="AK105" s="55">
        <f>SUMIFS('Disbursements Summary'!$E:$E,'Disbursements Summary'!$C:$C,$C105,'Disbursements Summary'!$A:$A,"AG&amp;MKTS")</f>
        <v>0</v>
      </c>
      <c r="AL105" s="55">
        <f>SUMIFS('Awards Summary'!$H:$H,'Awards Summary'!$B:$B,$C105,'Awards Summary'!$J:$J,"CS")</f>
        <v>0</v>
      </c>
      <c r="AM105" s="55">
        <f>SUMIFS('Disbursements Summary'!$E:$E,'Disbursements Summary'!$C:$C,$C105,'Disbursements Summary'!$A:$A,"CS")</f>
        <v>0</v>
      </c>
      <c r="AN105" s="55">
        <f>SUMIFS('Awards Summary'!$H:$H,'Awards Summary'!$B:$B,$C105,'Awards Summary'!$J:$J,"DOCCS")</f>
        <v>0</v>
      </c>
      <c r="AO105" s="55">
        <f>SUMIFS('Disbursements Summary'!$E:$E,'Disbursements Summary'!$C:$C,$C105,'Disbursements Summary'!$A:$A,"DOCCS")</f>
        <v>0</v>
      </c>
      <c r="AP105" s="55">
        <f>SUMIFS('Awards Summary'!$H:$H,'Awards Summary'!$B:$B,$C105,'Awards Summary'!$J:$J,"DED")</f>
        <v>0</v>
      </c>
      <c r="AQ105" s="55">
        <f>SUMIFS('Disbursements Summary'!$E:$E,'Disbursements Summary'!$C:$C,$C105,'Disbursements Summary'!$A:$A,"DED")</f>
        <v>0</v>
      </c>
      <c r="AR105" s="55">
        <f>SUMIFS('Awards Summary'!$H:$H,'Awards Summary'!$B:$B,$C105,'Awards Summary'!$J:$J,"DEC")</f>
        <v>0</v>
      </c>
      <c r="AS105" s="55">
        <f>SUMIFS('Disbursements Summary'!$E:$E,'Disbursements Summary'!$C:$C,$C105,'Disbursements Summary'!$A:$A,"DEC")</f>
        <v>0</v>
      </c>
      <c r="AT105" s="55">
        <f>SUMIFS('Awards Summary'!$H:$H,'Awards Summary'!$B:$B,$C105,'Awards Summary'!$J:$J,"DFS")</f>
        <v>0</v>
      </c>
      <c r="AU105" s="55">
        <f>SUMIFS('Disbursements Summary'!$E:$E,'Disbursements Summary'!$C:$C,$C105,'Disbursements Summary'!$A:$A,"DFS")</f>
        <v>0</v>
      </c>
      <c r="AV105" s="55">
        <f>SUMIFS('Awards Summary'!$H:$H,'Awards Summary'!$B:$B,$C105,'Awards Summary'!$J:$J,"DOH")</f>
        <v>0</v>
      </c>
      <c r="AW105" s="55">
        <f>SUMIFS('Disbursements Summary'!$E:$E,'Disbursements Summary'!$C:$C,$C105,'Disbursements Summary'!$A:$A,"DOH")</f>
        <v>0</v>
      </c>
      <c r="AX105" s="55">
        <f>SUMIFS('Awards Summary'!$H:$H,'Awards Summary'!$B:$B,$C105,'Awards Summary'!$J:$J,"DOL")</f>
        <v>0</v>
      </c>
      <c r="AY105" s="55">
        <f>SUMIFS('Disbursements Summary'!$E:$E,'Disbursements Summary'!$C:$C,$C105,'Disbursements Summary'!$A:$A,"DOL")</f>
        <v>0</v>
      </c>
      <c r="AZ105" s="55">
        <f>SUMIFS('Awards Summary'!$H:$H,'Awards Summary'!$B:$B,$C105,'Awards Summary'!$J:$J,"DMV")</f>
        <v>0</v>
      </c>
      <c r="BA105" s="55">
        <f>SUMIFS('Disbursements Summary'!$E:$E,'Disbursements Summary'!$C:$C,$C105,'Disbursements Summary'!$A:$A,"DMV")</f>
        <v>0</v>
      </c>
      <c r="BB105" s="55">
        <f>SUMIFS('Awards Summary'!$H:$H,'Awards Summary'!$B:$B,$C105,'Awards Summary'!$J:$J,"DPS")</f>
        <v>0</v>
      </c>
      <c r="BC105" s="55">
        <f>SUMIFS('Disbursements Summary'!$E:$E,'Disbursements Summary'!$C:$C,$C105,'Disbursements Summary'!$A:$A,"DPS")</f>
        <v>0</v>
      </c>
      <c r="BD105" s="55">
        <f>SUMIFS('Awards Summary'!$H:$H,'Awards Summary'!$B:$B,$C105,'Awards Summary'!$J:$J,"DOS")</f>
        <v>0</v>
      </c>
      <c r="BE105" s="55">
        <f>SUMIFS('Disbursements Summary'!$E:$E,'Disbursements Summary'!$C:$C,$C105,'Disbursements Summary'!$A:$A,"DOS")</f>
        <v>0</v>
      </c>
      <c r="BF105" s="55">
        <f>SUMIFS('Awards Summary'!$H:$H,'Awards Summary'!$B:$B,$C105,'Awards Summary'!$J:$J,"TAX")</f>
        <v>0</v>
      </c>
      <c r="BG105" s="55">
        <f>SUMIFS('Disbursements Summary'!$E:$E,'Disbursements Summary'!$C:$C,$C105,'Disbursements Summary'!$A:$A,"TAX")</f>
        <v>0</v>
      </c>
      <c r="BH105" s="55">
        <f>SUMIFS('Awards Summary'!$H:$H,'Awards Summary'!$B:$B,$C105,'Awards Summary'!$J:$J,"DOT")</f>
        <v>0</v>
      </c>
      <c r="BI105" s="55">
        <f>SUMIFS('Disbursements Summary'!$E:$E,'Disbursements Summary'!$C:$C,$C105,'Disbursements Summary'!$A:$A,"DOT")</f>
        <v>0</v>
      </c>
      <c r="BJ105" s="55">
        <f>SUMIFS('Awards Summary'!$H:$H,'Awards Summary'!$B:$B,$C105,'Awards Summary'!$J:$J,"DANC")</f>
        <v>0</v>
      </c>
      <c r="BK105" s="55">
        <f>SUMIFS('Disbursements Summary'!$E:$E,'Disbursements Summary'!$C:$C,$C105,'Disbursements Summary'!$A:$A,"DANC")</f>
        <v>0</v>
      </c>
      <c r="BL105" s="55">
        <f>SUMIFS('Awards Summary'!$H:$H,'Awards Summary'!$B:$B,$C105,'Awards Summary'!$J:$J,"DOB")</f>
        <v>0</v>
      </c>
      <c r="BM105" s="55">
        <f>SUMIFS('Disbursements Summary'!$E:$E,'Disbursements Summary'!$C:$C,$C105,'Disbursements Summary'!$A:$A,"DOB")</f>
        <v>0</v>
      </c>
      <c r="BN105" s="55">
        <f>SUMIFS('Awards Summary'!$H:$H,'Awards Summary'!$B:$B,$C105,'Awards Summary'!$J:$J,"DCJS")</f>
        <v>0</v>
      </c>
      <c r="BO105" s="55">
        <f>SUMIFS('Disbursements Summary'!$E:$E,'Disbursements Summary'!$C:$C,$C105,'Disbursements Summary'!$A:$A,"DCJS")</f>
        <v>0</v>
      </c>
      <c r="BP105" s="55">
        <f>SUMIFS('Awards Summary'!$H:$H,'Awards Summary'!$B:$B,$C105,'Awards Summary'!$J:$J,"DHSES")</f>
        <v>0</v>
      </c>
      <c r="BQ105" s="55">
        <f>SUMIFS('Disbursements Summary'!$E:$E,'Disbursements Summary'!$C:$C,$C105,'Disbursements Summary'!$A:$A,"DHSES")</f>
        <v>0</v>
      </c>
      <c r="BR105" s="55">
        <f>SUMIFS('Awards Summary'!$H:$H,'Awards Summary'!$B:$B,$C105,'Awards Summary'!$J:$J,"DHR")</f>
        <v>0</v>
      </c>
      <c r="BS105" s="55">
        <f>SUMIFS('Disbursements Summary'!$E:$E,'Disbursements Summary'!$C:$C,$C105,'Disbursements Summary'!$A:$A,"DHR")</f>
        <v>0</v>
      </c>
      <c r="BT105" s="55">
        <f>SUMIFS('Awards Summary'!$H:$H,'Awards Summary'!$B:$B,$C105,'Awards Summary'!$J:$J,"DMNA")</f>
        <v>0</v>
      </c>
      <c r="BU105" s="55">
        <f>SUMIFS('Disbursements Summary'!$E:$E,'Disbursements Summary'!$C:$C,$C105,'Disbursements Summary'!$A:$A,"DMNA")</f>
        <v>0</v>
      </c>
      <c r="BV105" s="55">
        <f>SUMIFS('Awards Summary'!$H:$H,'Awards Summary'!$B:$B,$C105,'Awards Summary'!$J:$J,"TROOPERS")</f>
        <v>0</v>
      </c>
      <c r="BW105" s="55">
        <f>SUMIFS('Disbursements Summary'!$E:$E,'Disbursements Summary'!$C:$C,$C105,'Disbursements Summary'!$A:$A,"TROOPERS")</f>
        <v>0</v>
      </c>
      <c r="BX105" s="55">
        <f>SUMIFS('Awards Summary'!$H:$H,'Awards Summary'!$B:$B,$C105,'Awards Summary'!$J:$J,"DVA")</f>
        <v>0</v>
      </c>
      <c r="BY105" s="55">
        <f>SUMIFS('Disbursements Summary'!$E:$E,'Disbursements Summary'!$C:$C,$C105,'Disbursements Summary'!$A:$A,"DVA")</f>
        <v>0</v>
      </c>
      <c r="BZ105" s="55">
        <f>SUMIFS('Awards Summary'!$H:$H,'Awards Summary'!$B:$B,$C105,'Awards Summary'!$J:$J,"DASNY")</f>
        <v>0</v>
      </c>
      <c r="CA105" s="55">
        <f>SUMIFS('Disbursements Summary'!$E:$E,'Disbursements Summary'!$C:$C,$C105,'Disbursements Summary'!$A:$A,"DASNY")</f>
        <v>0</v>
      </c>
      <c r="CB105" s="55">
        <f>SUMIFS('Awards Summary'!$H:$H,'Awards Summary'!$B:$B,$C105,'Awards Summary'!$J:$J,"EGG")</f>
        <v>0</v>
      </c>
      <c r="CC105" s="55">
        <f>SUMIFS('Disbursements Summary'!$E:$E,'Disbursements Summary'!$C:$C,$C105,'Disbursements Summary'!$A:$A,"EGG")</f>
        <v>0</v>
      </c>
      <c r="CD105" s="55">
        <f>SUMIFS('Awards Summary'!$H:$H,'Awards Summary'!$B:$B,$C105,'Awards Summary'!$J:$J,"ESD")</f>
        <v>0</v>
      </c>
      <c r="CE105" s="55">
        <f>SUMIFS('Disbursements Summary'!$E:$E,'Disbursements Summary'!$C:$C,$C105,'Disbursements Summary'!$A:$A,"ESD")</f>
        <v>0</v>
      </c>
      <c r="CF105" s="55">
        <f>SUMIFS('Awards Summary'!$H:$H,'Awards Summary'!$B:$B,$C105,'Awards Summary'!$J:$J,"EFC")</f>
        <v>0</v>
      </c>
      <c r="CG105" s="55">
        <f>SUMIFS('Disbursements Summary'!$E:$E,'Disbursements Summary'!$C:$C,$C105,'Disbursements Summary'!$A:$A,"EFC")</f>
        <v>0</v>
      </c>
      <c r="CH105" s="55">
        <f>SUMIFS('Awards Summary'!$H:$H,'Awards Summary'!$B:$B,$C105,'Awards Summary'!$J:$J,"ECFSA")</f>
        <v>0</v>
      </c>
      <c r="CI105" s="55">
        <f>SUMIFS('Disbursements Summary'!$E:$E,'Disbursements Summary'!$C:$C,$C105,'Disbursements Summary'!$A:$A,"ECFSA")</f>
        <v>0</v>
      </c>
      <c r="CJ105" s="55">
        <f>SUMIFS('Awards Summary'!$H:$H,'Awards Summary'!$B:$B,$C105,'Awards Summary'!$J:$J,"ECMC")</f>
        <v>0</v>
      </c>
      <c r="CK105" s="55">
        <f>SUMIFS('Disbursements Summary'!$E:$E,'Disbursements Summary'!$C:$C,$C105,'Disbursements Summary'!$A:$A,"ECMC")</f>
        <v>0</v>
      </c>
      <c r="CL105" s="55">
        <f>SUMIFS('Awards Summary'!$H:$H,'Awards Summary'!$B:$B,$C105,'Awards Summary'!$J:$J,"CHAMBER")</f>
        <v>0</v>
      </c>
      <c r="CM105" s="55">
        <f>SUMIFS('Disbursements Summary'!$E:$E,'Disbursements Summary'!$C:$C,$C105,'Disbursements Summary'!$A:$A,"CHAMBER")</f>
        <v>0</v>
      </c>
      <c r="CN105" s="55">
        <f>SUMIFS('Awards Summary'!$H:$H,'Awards Summary'!$B:$B,$C105,'Awards Summary'!$J:$J,"GAMING")</f>
        <v>0</v>
      </c>
      <c r="CO105" s="55">
        <f>SUMIFS('Disbursements Summary'!$E:$E,'Disbursements Summary'!$C:$C,$C105,'Disbursements Summary'!$A:$A,"GAMING")</f>
        <v>0</v>
      </c>
      <c r="CP105" s="55">
        <f>SUMIFS('Awards Summary'!$H:$H,'Awards Summary'!$B:$B,$C105,'Awards Summary'!$J:$J,"GOER")</f>
        <v>0</v>
      </c>
      <c r="CQ105" s="55">
        <f>SUMIFS('Disbursements Summary'!$E:$E,'Disbursements Summary'!$C:$C,$C105,'Disbursements Summary'!$A:$A,"GOER")</f>
        <v>0</v>
      </c>
      <c r="CR105" s="55">
        <f>SUMIFS('Awards Summary'!$H:$H,'Awards Summary'!$B:$B,$C105,'Awards Summary'!$J:$J,"HESC")</f>
        <v>0</v>
      </c>
      <c r="CS105" s="55">
        <f>SUMIFS('Disbursements Summary'!$E:$E,'Disbursements Summary'!$C:$C,$C105,'Disbursements Summary'!$A:$A,"HESC")</f>
        <v>0</v>
      </c>
      <c r="CT105" s="55">
        <f>SUMIFS('Awards Summary'!$H:$H,'Awards Summary'!$B:$B,$C105,'Awards Summary'!$J:$J,"GOSR")</f>
        <v>0</v>
      </c>
      <c r="CU105" s="55">
        <f>SUMIFS('Disbursements Summary'!$E:$E,'Disbursements Summary'!$C:$C,$C105,'Disbursements Summary'!$A:$A,"GOSR")</f>
        <v>0</v>
      </c>
      <c r="CV105" s="55">
        <f>SUMIFS('Awards Summary'!$H:$H,'Awards Summary'!$B:$B,$C105,'Awards Summary'!$J:$J,"HRPT")</f>
        <v>0</v>
      </c>
      <c r="CW105" s="55">
        <f>SUMIFS('Disbursements Summary'!$E:$E,'Disbursements Summary'!$C:$C,$C105,'Disbursements Summary'!$A:$A,"HRPT")</f>
        <v>0</v>
      </c>
      <c r="CX105" s="55">
        <f>SUMIFS('Awards Summary'!$H:$H,'Awards Summary'!$B:$B,$C105,'Awards Summary'!$J:$J,"HRBRRD")</f>
        <v>0</v>
      </c>
      <c r="CY105" s="55">
        <f>SUMIFS('Disbursements Summary'!$E:$E,'Disbursements Summary'!$C:$C,$C105,'Disbursements Summary'!$A:$A,"HRBRRD")</f>
        <v>0</v>
      </c>
      <c r="CZ105" s="55">
        <f>SUMIFS('Awards Summary'!$H:$H,'Awards Summary'!$B:$B,$C105,'Awards Summary'!$J:$J,"ITS")</f>
        <v>0</v>
      </c>
      <c r="DA105" s="55">
        <f>SUMIFS('Disbursements Summary'!$E:$E,'Disbursements Summary'!$C:$C,$C105,'Disbursements Summary'!$A:$A,"ITS")</f>
        <v>0</v>
      </c>
      <c r="DB105" s="55">
        <f>SUMIFS('Awards Summary'!$H:$H,'Awards Summary'!$B:$B,$C105,'Awards Summary'!$J:$J,"JAVITS")</f>
        <v>0</v>
      </c>
      <c r="DC105" s="55">
        <f>SUMIFS('Disbursements Summary'!$E:$E,'Disbursements Summary'!$C:$C,$C105,'Disbursements Summary'!$A:$A,"JAVITS")</f>
        <v>0</v>
      </c>
      <c r="DD105" s="55">
        <f>SUMIFS('Awards Summary'!$H:$H,'Awards Summary'!$B:$B,$C105,'Awards Summary'!$J:$J,"JCOPE")</f>
        <v>0</v>
      </c>
      <c r="DE105" s="55">
        <f>SUMIFS('Disbursements Summary'!$E:$E,'Disbursements Summary'!$C:$C,$C105,'Disbursements Summary'!$A:$A,"JCOPE")</f>
        <v>0</v>
      </c>
      <c r="DF105" s="55">
        <f>SUMIFS('Awards Summary'!$H:$H,'Awards Summary'!$B:$B,$C105,'Awards Summary'!$J:$J,"JUSTICE")</f>
        <v>0</v>
      </c>
      <c r="DG105" s="55">
        <f>SUMIFS('Disbursements Summary'!$E:$E,'Disbursements Summary'!$C:$C,$C105,'Disbursements Summary'!$A:$A,"JUSTICE")</f>
        <v>0</v>
      </c>
      <c r="DH105" s="55">
        <f>SUMIFS('Awards Summary'!$H:$H,'Awards Summary'!$B:$B,$C105,'Awards Summary'!$J:$J,"LCWSA")</f>
        <v>0</v>
      </c>
      <c r="DI105" s="55">
        <f>SUMIFS('Disbursements Summary'!$E:$E,'Disbursements Summary'!$C:$C,$C105,'Disbursements Summary'!$A:$A,"LCWSA")</f>
        <v>0</v>
      </c>
      <c r="DJ105" s="55">
        <f>SUMIFS('Awards Summary'!$H:$H,'Awards Summary'!$B:$B,$C105,'Awards Summary'!$J:$J,"LIPA")</f>
        <v>0</v>
      </c>
      <c r="DK105" s="55">
        <f>SUMIFS('Disbursements Summary'!$E:$E,'Disbursements Summary'!$C:$C,$C105,'Disbursements Summary'!$A:$A,"LIPA")</f>
        <v>0</v>
      </c>
      <c r="DL105" s="55">
        <f>SUMIFS('Awards Summary'!$H:$H,'Awards Summary'!$B:$B,$C105,'Awards Summary'!$J:$J,"MTA")</f>
        <v>0</v>
      </c>
      <c r="DM105" s="55">
        <f>SUMIFS('Disbursements Summary'!$E:$E,'Disbursements Summary'!$C:$C,$C105,'Disbursements Summary'!$A:$A,"MTA")</f>
        <v>0</v>
      </c>
      <c r="DN105" s="55">
        <f>SUMIFS('Awards Summary'!$H:$H,'Awards Summary'!$B:$B,$C105,'Awards Summary'!$J:$J,"NIFA")</f>
        <v>0</v>
      </c>
      <c r="DO105" s="55">
        <f>SUMIFS('Disbursements Summary'!$E:$E,'Disbursements Summary'!$C:$C,$C105,'Disbursements Summary'!$A:$A,"NIFA")</f>
        <v>0</v>
      </c>
      <c r="DP105" s="55">
        <f>SUMIFS('Awards Summary'!$H:$H,'Awards Summary'!$B:$B,$C105,'Awards Summary'!$J:$J,"NHCC")</f>
        <v>0</v>
      </c>
      <c r="DQ105" s="55">
        <f>SUMIFS('Disbursements Summary'!$E:$E,'Disbursements Summary'!$C:$C,$C105,'Disbursements Summary'!$A:$A,"NHCC")</f>
        <v>0</v>
      </c>
      <c r="DR105" s="55">
        <f>SUMIFS('Awards Summary'!$H:$H,'Awards Summary'!$B:$B,$C105,'Awards Summary'!$J:$J,"NHT")</f>
        <v>0</v>
      </c>
      <c r="DS105" s="55">
        <f>SUMIFS('Disbursements Summary'!$E:$E,'Disbursements Summary'!$C:$C,$C105,'Disbursements Summary'!$A:$A,"NHT")</f>
        <v>0</v>
      </c>
      <c r="DT105" s="55">
        <f>SUMIFS('Awards Summary'!$H:$H,'Awards Summary'!$B:$B,$C105,'Awards Summary'!$J:$J,"NYPA")</f>
        <v>0</v>
      </c>
      <c r="DU105" s="55">
        <f>SUMIFS('Disbursements Summary'!$E:$E,'Disbursements Summary'!$C:$C,$C105,'Disbursements Summary'!$A:$A,"NYPA")</f>
        <v>0</v>
      </c>
      <c r="DV105" s="55">
        <f>SUMIFS('Awards Summary'!$H:$H,'Awards Summary'!$B:$B,$C105,'Awards Summary'!$J:$J,"NYSBA")</f>
        <v>0</v>
      </c>
      <c r="DW105" s="55">
        <f>SUMIFS('Disbursements Summary'!$E:$E,'Disbursements Summary'!$C:$C,$C105,'Disbursements Summary'!$A:$A,"NYSBA")</f>
        <v>0</v>
      </c>
      <c r="DX105" s="55">
        <f>SUMIFS('Awards Summary'!$H:$H,'Awards Summary'!$B:$B,$C105,'Awards Summary'!$J:$J,"NYSERDA")</f>
        <v>0</v>
      </c>
      <c r="DY105" s="55">
        <f>SUMIFS('Disbursements Summary'!$E:$E,'Disbursements Summary'!$C:$C,$C105,'Disbursements Summary'!$A:$A,"NYSERDA")</f>
        <v>0</v>
      </c>
      <c r="DZ105" s="55">
        <f>SUMIFS('Awards Summary'!$H:$H,'Awards Summary'!$B:$B,$C105,'Awards Summary'!$J:$J,"DHCR")</f>
        <v>0</v>
      </c>
      <c r="EA105" s="55">
        <f>SUMIFS('Disbursements Summary'!$E:$E,'Disbursements Summary'!$C:$C,$C105,'Disbursements Summary'!$A:$A,"DHCR")</f>
        <v>0</v>
      </c>
      <c r="EB105" s="55">
        <f>SUMIFS('Awards Summary'!$H:$H,'Awards Summary'!$B:$B,$C105,'Awards Summary'!$J:$J,"HFA")</f>
        <v>0</v>
      </c>
      <c r="EC105" s="55">
        <f>SUMIFS('Disbursements Summary'!$E:$E,'Disbursements Summary'!$C:$C,$C105,'Disbursements Summary'!$A:$A,"HFA")</f>
        <v>0</v>
      </c>
      <c r="ED105" s="55">
        <f>SUMIFS('Awards Summary'!$H:$H,'Awards Summary'!$B:$B,$C105,'Awards Summary'!$J:$J,"NYSIF")</f>
        <v>0</v>
      </c>
      <c r="EE105" s="55">
        <f>SUMIFS('Disbursements Summary'!$E:$E,'Disbursements Summary'!$C:$C,$C105,'Disbursements Summary'!$A:$A,"NYSIF")</f>
        <v>0</v>
      </c>
      <c r="EF105" s="55">
        <f>SUMIFS('Awards Summary'!$H:$H,'Awards Summary'!$B:$B,$C105,'Awards Summary'!$J:$J,"NYBREDS")</f>
        <v>0</v>
      </c>
      <c r="EG105" s="55">
        <f>SUMIFS('Disbursements Summary'!$E:$E,'Disbursements Summary'!$C:$C,$C105,'Disbursements Summary'!$A:$A,"NYBREDS")</f>
        <v>0</v>
      </c>
      <c r="EH105" s="55">
        <f>SUMIFS('Awards Summary'!$H:$H,'Awards Summary'!$B:$B,$C105,'Awards Summary'!$J:$J,"NYSTA")</f>
        <v>0</v>
      </c>
      <c r="EI105" s="55">
        <f>SUMIFS('Disbursements Summary'!$E:$E,'Disbursements Summary'!$C:$C,$C105,'Disbursements Summary'!$A:$A,"NYSTA")</f>
        <v>0</v>
      </c>
      <c r="EJ105" s="55">
        <f>SUMIFS('Awards Summary'!$H:$H,'Awards Summary'!$B:$B,$C105,'Awards Summary'!$J:$J,"NFWB")</f>
        <v>0</v>
      </c>
      <c r="EK105" s="55">
        <f>SUMIFS('Disbursements Summary'!$E:$E,'Disbursements Summary'!$C:$C,$C105,'Disbursements Summary'!$A:$A,"NFWB")</f>
        <v>0</v>
      </c>
      <c r="EL105" s="55">
        <f>SUMIFS('Awards Summary'!$H:$H,'Awards Summary'!$B:$B,$C105,'Awards Summary'!$J:$J,"NFTA")</f>
        <v>0</v>
      </c>
      <c r="EM105" s="55">
        <f>SUMIFS('Disbursements Summary'!$E:$E,'Disbursements Summary'!$C:$C,$C105,'Disbursements Summary'!$A:$A,"NFTA")</f>
        <v>0</v>
      </c>
      <c r="EN105" s="55">
        <f>SUMIFS('Awards Summary'!$H:$H,'Awards Summary'!$B:$B,$C105,'Awards Summary'!$J:$J,"OPWDD")</f>
        <v>0</v>
      </c>
      <c r="EO105" s="55">
        <f>SUMIFS('Disbursements Summary'!$E:$E,'Disbursements Summary'!$C:$C,$C105,'Disbursements Summary'!$A:$A,"OPWDD")</f>
        <v>0</v>
      </c>
      <c r="EP105" s="55">
        <f>SUMIFS('Awards Summary'!$H:$H,'Awards Summary'!$B:$B,$C105,'Awards Summary'!$J:$J,"AGING")</f>
        <v>0</v>
      </c>
      <c r="EQ105" s="55">
        <f>SUMIFS('Disbursements Summary'!$E:$E,'Disbursements Summary'!$C:$C,$C105,'Disbursements Summary'!$A:$A,"AGING")</f>
        <v>0</v>
      </c>
      <c r="ER105" s="55">
        <f>SUMIFS('Awards Summary'!$H:$H,'Awards Summary'!$B:$B,$C105,'Awards Summary'!$J:$J,"OPDV")</f>
        <v>0</v>
      </c>
      <c r="ES105" s="55">
        <f>SUMIFS('Disbursements Summary'!$E:$E,'Disbursements Summary'!$C:$C,$C105,'Disbursements Summary'!$A:$A,"OPDV")</f>
        <v>0</v>
      </c>
      <c r="ET105" s="55">
        <f>SUMIFS('Awards Summary'!$H:$H,'Awards Summary'!$B:$B,$C105,'Awards Summary'!$J:$J,"OVS")</f>
        <v>0</v>
      </c>
      <c r="EU105" s="55">
        <f>SUMIFS('Disbursements Summary'!$E:$E,'Disbursements Summary'!$C:$C,$C105,'Disbursements Summary'!$A:$A,"OVS")</f>
        <v>0</v>
      </c>
      <c r="EV105" s="55">
        <f>SUMIFS('Awards Summary'!$H:$H,'Awards Summary'!$B:$B,$C105,'Awards Summary'!$J:$J,"OASAS")</f>
        <v>0</v>
      </c>
      <c r="EW105" s="55">
        <f>SUMIFS('Disbursements Summary'!$E:$E,'Disbursements Summary'!$C:$C,$C105,'Disbursements Summary'!$A:$A,"OASAS")</f>
        <v>0</v>
      </c>
      <c r="EX105" s="55">
        <f>SUMIFS('Awards Summary'!$H:$H,'Awards Summary'!$B:$B,$C105,'Awards Summary'!$J:$J,"OCFS")</f>
        <v>0</v>
      </c>
      <c r="EY105" s="55">
        <f>SUMIFS('Disbursements Summary'!$E:$E,'Disbursements Summary'!$C:$C,$C105,'Disbursements Summary'!$A:$A,"OCFS")</f>
        <v>0</v>
      </c>
      <c r="EZ105" s="55">
        <f>SUMIFS('Awards Summary'!$H:$H,'Awards Summary'!$B:$B,$C105,'Awards Summary'!$J:$J,"OGS")</f>
        <v>0</v>
      </c>
      <c r="FA105" s="55">
        <f>SUMIFS('Disbursements Summary'!$E:$E,'Disbursements Summary'!$C:$C,$C105,'Disbursements Summary'!$A:$A,"OGS")</f>
        <v>0</v>
      </c>
      <c r="FB105" s="55">
        <f>SUMIFS('Awards Summary'!$H:$H,'Awards Summary'!$B:$B,$C105,'Awards Summary'!$J:$J,"OMH")</f>
        <v>0</v>
      </c>
      <c r="FC105" s="55">
        <f>SUMIFS('Disbursements Summary'!$E:$E,'Disbursements Summary'!$C:$C,$C105,'Disbursements Summary'!$A:$A,"OMH")</f>
        <v>0</v>
      </c>
      <c r="FD105" s="55">
        <f>SUMIFS('Awards Summary'!$H:$H,'Awards Summary'!$B:$B,$C105,'Awards Summary'!$J:$J,"PARKS")</f>
        <v>0</v>
      </c>
      <c r="FE105" s="55">
        <f>SUMIFS('Disbursements Summary'!$E:$E,'Disbursements Summary'!$C:$C,$C105,'Disbursements Summary'!$A:$A,"PARKS")</f>
        <v>0</v>
      </c>
      <c r="FF105" s="55">
        <f>SUMIFS('Awards Summary'!$H:$H,'Awards Summary'!$B:$B,$C105,'Awards Summary'!$J:$J,"OTDA")</f>
        <v>0</v>
      </c>
      <c r="FG105" s="55">
        <f>SUMIFS('Disbursements Summary'!$E:$E,'Disbursements Summary'!$C:$C,$C105,'Disbursements Summary'!$A:$A,"OTDA")</f>
        <v>0</v>
      </c>
      <c r="FH105" s="55">
        <f>SUMIFS('Awards Summary'!$H:$H,'Awards Summary'!$B:$B,$C105,'Awards Summary'!$J:$J,"OIG")</f>
        <v>0</v>
      </c>
      <c r="FI105" s="55">
        <f>SUMIFS('Disbursements Summary'!$E:$E,'Disbursements Summary'!$C:$C,$C105,'Disbursements Summary'!$A:$A,"OIG")</f>
        <v>0</v>
      </c>
      <c r="FJ105" s="55">
        <f>SUMIFS('Awards Summary'!$H:$H,'Awards Summary'!$B:$B,$C105,'Awards Summary'!$J:$J,"OMIG")</f>
        <v>0</v>
      </c>
      <c r="FK105" s="55">
        <f>SUMIFS('Disbursements Summary'!$E:$E,'Disbursements Summary'!$C:$C,$C105,'Disbursements Summary'!$A:$A,"OMIG")</f>
        <v>0</v>
      </c>
      <c r="FL105" s="55">
        <f>SUMIFS('Awards Summary'!$H:$H,'Awards Summary'!$B:$B,$C105,'Awards Summary'!$J:$J,"OSC")</f>
        <v>0</v>
      </c>
      <c r="FM105" s="55">
        <f>SUMIFS('Disbursements Summary'!$E:$E,'Disbursements Summary'!$C:$C,$C105,'Disbursements Summary'!$A:$A,"OSC")</f>
        <v>0</v>
      </c>
      <c r="FN105" s="55">
        <f>SUMIFS('Awards Summary'!$H:$H,'Awards Summary'!$B:$B,$C105,'Awards Summary'!$J:$J,"OWIG")</f>
        <v>0</v>
      </c>
      <c r="FO105" s="55">
        <f>SUMIFS('Disbursements Summary'!$E:$E,'Disbursements Summary'!$C:$C,$C105,'Disbursements Summary'!$A:$A,"OWIG")</f>
        <v>0</v>
      </c>
      <c r="FP105" s="55">
        <f>SUMIFS('Awards Summary'!$H:$H,'Awards Summary'!$B:$B,$C105,'Awards Summary'!$J:$J,"OGDEN")</f>
        <v>0</v>
      </c>
      <c r="FQ105" s="55">
        <f>SUMIFS('Disbursements Summary'!$E:$E,'Disbursements Summary'!$C:$C,$C105,'Disbursements Summary'!$A:$A,"OGDEN")</f>
        <v>0</v>
      </c>
      <c r="FR105" s="55">
        <f>SUMIFS('Awards Summary'!$H:$H,'Awards Summary'!$B:$B,$C105,'Awards Summary'!$J:$J,"ORDA")</f>
        <v>0</v>
      </c>
      <c r="FS105" s="55">
        <f>SUMIFS('Disbursements Summary'!$E:$E,'Disbursements Summary'!$C:$C,$C105,'Disbursements Summary'!$A:$A,"ORDA")</f>
        <v>0</v>
      </c>
      <c r="FT105" s="55">
        <f>SUMIFS('Awards Summary'!$H:$H,'Awards Summary'!$B:$B,$C105,'Awards Summary'!$J:$J,"OSWEGO")</f>
        <v>0</v>
      </c>
      <c r="FU105" s="55">
        <f>SUMIFS('Disbursements Summary'!$E:$E,'Disbursements Summary'!$C:$C,$C105,'Disbursements Summary'!$A:$A,"OSWEGO")</f>
        <v>0</v>
      </c>
      <c r="FV105" s="55">
        <f>SUMIFS('Awards Summary'!$H:$H,'Awards Summary'!$B:$B,$C105,'Awards Summary'!$J:$J,"PERB")</f>
        <v>0</v>
      </c>
      <c r="FW105" s="55">
        <f>SUMIFS('Disbursements Summary'!$E:$E,'Disbursements Summary'!$C:$C,$C105,'Disbursements Summary'!$A:$A,"PERB")</f>
        <v>0</v>
      </c>
      <c r="FX105" s="55">
        <f>SUMIFS('Awards Summary'!$H:$H,'Awards Summary'!$B:$B,$C105,'Awards Summary'!$J:$J,"RGRTA")</f>
        <v>0</v>
      </c>
      <c r="FY105" s="55">
        <f>SUMIFS('Disbursements Summary'!$E:$E,'Disbursements Summary'!$C:$C,$C105,'Disbursements Summary'!$A:$A,"RGRTA")</f>
        <v>0</v>
      </c>
      <c r="FZ105" s="55">
        <f>SUMIFS('Awards Summary'!$H:$H,'Awards Summary'!$B:$B,$C105,'Awards Summary'!$J:$J,"RIOC")</f>
        <v>0</v>
      </c>
      <c r="GA105" s="55">
        <f>SUMIFS('Disbursements Summary'!$E:$E,'Disbursements Summary'!$C:$C,$C105,'Disbursements Summary'!$A:$A,"RIOC")</f>
        <v>0</v>
      </c>
      <c r="GB105" s="55">
        <f>SUMIFS('Awards Summary'!$H:$H,'Awards Summary'!$B:$B,$C105,'Awards Summary'!$J:$J,"RPCI")</f>
        <v>0</v>
      </c>
      <c r="GC105" s="55">
        <f>SUMIFS('Disbursements Summary'!$E:$E,'Disbursements Summary'!$C:$C,$C105,'Disbursements Summary'!$A:$A,"RPCI")</f>
        <v>0</v>
      </c>
      <c r="GD105" s="55">
        <f>SUMIFS('Awards Summary'!$H:$H,'Awards Summary'!$B:$B,$C105,'Awards Summary'!$J:$J,"SMDA")</f>
        <v>0</v>
      </c>
      <c r="GE105" s="55">
        <f>SUMIFS('Disbursements Summary'!$E:$E,'Disbursements Summary'!$C:$C,$C105,'Disbursements Summary'!$A:$A,"SMDA")</f>
        <v>0</v>
      </c>
      <c r="GF105" s="55">
        <f>SUMIFS('Awards Summary'!$H:$H,'Awards Summary'!$B:$B,$C105,'Awards Summary'!$J:$J,"SCOC")</f>
        <v>0</v>
      </c>
      <c r="GG105" s="55">
        <f>SUMIFS('Disbursements Summary'!$E:$E,'Disbursements Summary'!$C:$C,$C105,'Disbursements Summary'!$A:$A,"SCOC")</f>
        <v>0</v>
      </c>
      <c r="GH105" s="55">
        <f>SUMIFS('Awards Summary'!$H:$H,'Awards Summary'!$B:$B,$C105,'Awards Summary'!$J:$J,"SUCF")</f>
        <v>0</v>
      </c>
      <c r="GI105" s="55">
        <f>SUMIFS('Disbursements Summary'!$E:$E,'Disbursements Summary'!$C:$C,$C105,'Disbursements Summary'!$A:$A,"SUCF")</f>
        <v>0</v>
      </c>
      <c r="GJ105" s="55">
        <f>SUMIFS('Awards Summary'!$H:$H,'Awards Summary'!$B:$B,$C105,'Awards Summary'!$J:$J,"SUNY")</f>
        <v>0</v>
      </c>
      <c r="GK105" s="55">
        <f>SUMIFS('Disbursements Summary'!$E:$E,'Disbursements Summary'!$C:$C,$C105,'Disbursements Summary'!$A:$A,"SUNY")</f>
        <v>0</v>
      </c>
      <c r="GL105" s="55">
        <f>SUMIFS('Awards Summary'!$H:$H,'Awards Summary'!$B:$B,$C105,'Awards Summary'!$J:$J,"SRAA")</f>
        <v>0</v>
      </c>
      <c r="GM105" s="55">
        <f>SUMIFS('Disbursements Summary'!$E:$E,'Disbursements Summary'!$C:$C,$C105,'Disbursements Summary'!$A:$A,"SRAA")</f>
        <v>0</v>
      </c>
      <c r="GN105" s="55">
        <f>SUMIFS('Awards Summary'!$H:$H,'Awards Summary'!$B:$B,$C105,'Awards Summary'!$J:$J,"UNDC")</f>
        <v>0</v>
      </c>
      <c r="GO105" s="55">
        <f>SUMIFS('Disbursements Summary'!$E:$E,'Disbursements Summary'!$C:$C,$C105,'Disbursements Summary'!$A:$A,"UNDC")</f>
        <v>0</v>
      </c>
      <c r="GP105" s="55">
        <f>SUMIFS('Awards Summary'!$H:$H,'Awards Summary'!$B:$B,$C105,'Awards Summary'!$J:$J,"MVWA")</f>
        <v>0</v>
      </c>
      <c r="GQ105" s="55">
        <f>SUMIFS('Disbursements Summary'!$E:$E,'Disbursements Summary'!$C:$C,$C105,'Disbursements Summary'!$A:$A,"MVWA")</f>
        <v>0</v>
      </c>
      <c r="GR105" s="55">
        <f>SUMIFS('Awards Summary'!$H:$H,'Awards Summary'!$B:$B,$C105,'Awards Summary'!$J:$J,"WMC")</f>
        <v>0</v>
      </c>
      <c r="GS105" s="55">
        <f>SUMIFS('Disbursements Summary'!$E:$E,'Disbursements Summary'!$C:$C,$C105,'Disbursements Summary'!$A:$A,"WMC")</f>
        <v>0</v>
      </c>
      <c r="GT105" s="55">
        <f>SUMIFS('Awards Summary'!$H:$H,'Awards Summary'!$B:$B,$C105,'Awards Summary'!$J:$J,"WCB")</f>
        <v>0</v>
      </c>
      <c r="GU105" s="55">
        <f>SUMIFS('Disbursements Summary'!$E:$E,'Disbursements Summary'!$C:$C,$C105,'Disbursements Summary'!$A:$A,"WCB")</f>
        <v>0</v>
      </c>
      <c r="GV105" s="32">
        <f t="shared" si="10"/>
        <v>0</v>
      </c>
      <c r="GW105" s="32">
        <f t="shared" si="11"/>
        <v>0</v>
      </c>
      <c r="GX105" s="30" t="b">
        <f t="shared" si="12"/>
        <v>1</v>
      </c>
      <c r="GY105" s="30" t="b">
        <f t="shared" si="13"/>
        <v>1</v>
      </c>
    </row>
    <row r="106" spans="1:207" s="30" customFormat="1">
      <c r="A106" s="22" t="str">
        <f t="shared" si="9"/>
        <v/>
      </c>
      <c r="B106" s="20" t="s">
        <v>231</v>
      </c>
      <c r="C106" s="16">
        <v>161235</v>
      </c>
      <c r="D106" s="26">
        <f>COUNTIF('Awards Summary'!B:B,"161235")</f>
        <v>0</v>
      </c>
      <c r="E106" s="45">
        <f>SUMIFS('Awards Summary'!H:H,'Awards Summary'!B:B,"161235")</f>
        <v>0</v>
      </c>
      <c r="F106" s="46">
        <f>SUMIFS('Disbursements Summary'!E:E,'Disbursements Summary'!C:C, "161235")</f>
        <v>0</v>
      </c>
      <c r="H106" s="55">
        <f>SUMIFS('Awards Summary'!$H:$H,'Awards Summary'!$B:$B,$C106,'Awards Summary'!$J:$J,"APA")</f>
        <v>0</v>
      </c>
      <c r="I106" s="55">
        <f>SUMIFS('Disbursements Summary'!$E:$E,'Disbursements Summary'!$C:$C,$C106,'Disbursements Summary'!$A:$A,"APA")</f>
        <v>0</v>
      </c>
      <c r="J106" s="55">
        <f>SUMIFS('Awards Summary'!$H:$H,'Awards Summary'!$B:$B,$C106,'Awards Summary'!$J:$J,"Ag&amp;Horse")</f>
        <v>0</v>
      </c>
      <c r="K106" s="55">
        <f>SUMIFS('Disbursements Summary'!$E:$E,'Disbursements Summary'!$C:$C,$C106,'Disbursements Summary'!$A:$A,"Ag&amp;Horse")</f>
        <v>0</v>
      </c>
      <c r="L106" s="55">
        <f>SUMIFS('Awards Summary'!$H:$H,'Awards Summary'!$B:$B,$C106,'Awards Summary'!$J:$J,"ACAA")</f>
        <v>0</v>
      </c>
      <c r="M106" s="55">
        <f>SUMIFS('Disbursements Summary'!$E:$E,'Disbursements Summary'!$C:$C,$C106,'Disbursements Summary'!$A:$A,"ACAA")</f>
        <v>0</v>
      </c>
      <c r="N106" s="55">
        <f>SUMIFS('Awards Summary'!$H:$H,'Awards Summary'!$B:$B,$C106,'Awards Summary'!$J:$J,"PortAlbany")</f>
        <v>0</v>
      </c>
      <c r="O106" s="55">
        <f>SUMIFS('Disbursements Summary'!$E:$E,'Disbursements Summary'!$C:$C,$C106,'Disbursements Summary'!$A:$A,"PortAlbany")</f>
        <v>0</v>
      </c>
      <c r="P106" s="55">
        <f>SUMIFS('Awards Summary'!$H:$H,'Awards Summary'!$B:$B,$C106,'Awards Summary'!$J:$J,"SLA")</f>
        <v>0</v>
      </c>
      <c r="Q106" s="55">
        <f>SUMIFS('Disbursements Summary'!$E:$E,'Disbursements Summary'!$C:$C,$C106,'Disbursements Summary'!$A:$A,"SLA")</f>
        <v>0</v>
      </c>
      <c r="R106" s="55">
        <f>SUMIFS('Awards Summary'!$H:$H,'Awards Summary'!$B:$B,$C106,'Awards Summary'!$J:$J,"BPCA")</f>
        <v>0</v>
      </c>
      <c r="S106" s="55">
        <f>SUMIFS('Disbursements Summary'!$E:$E,'Disbursements Summary'!$C:$C,$C106,'Disbursements Summary'!$A:$A,"BPCA")</f>
        <v>0</v>
      </c>
      <c r="T106" s="55">
        <f>SUMIFS('Awards Summary'!$H:$H,'Awards Summary'!$B:$B,$C106,'Awards Summary'!$J:$J,"ELECTIONS")</f>
        <v>0</v>
      </c>
      <c r="U106" s="55">
        <f>SUMIFS('Disbursements Summary'!$E:$E,'Disbursements Summary'!$C:$C,$C106,'Disbursements Summary'!$A:$A,"ELECTIONS")</f>
        <v>0</v>
      </c>
      <c r="V106" s="55">
        <f>SUMIFS('Awards Summary'!$H:$H,'Awards Summary'!$B:$B,$C106,'Awards Summary'!$J:$J,"BFSA")</f>
        <v>0</v>
      </c>
      <c r="W106" s="55">
        <f>SUMIFS('Disbursements Summary'!$E:$E,'Disbursements Summary'!$C:$C,$C106,'Disbursements Summary'!$A:$A,"BFSA")</f>
        <v>0</v>
      </c>
      <c r="X106" s="55">
        <f>SUMIFS('Awards Summary'!$H:$H,'Awards Summary'!$B:$B,$C106,'Awards Summary'!$J:$J,"CDTA")</f>
        <v>0</v>
      </c>
      <c r="Y106" s="55">
        <f>SUMIFS('Disbursements Summary'!$E:$E,'Disbursements Summary'!$C:$C,$C106,'Disbursements Summary'!$A:$A,"CDTA")</f>
        <v>0</v>
      </c>
      <c r="Z106" s="55">
        <f>SUMIFS('Awards Summary'!$H:$H,'Awards Summary'!$B:$B,$C106,'Awards Summary'!$J:$J,"CCWSA")</f>
        <v>0</v>
      </c>
      <c r="AA106" s="55">
        <f>SUMIFS('Disbursements Summary'!$E:$E,'Disbursements Summary'!$C:$C,$C106,'Disbursements Summary'!$A:$A,"CCWSA")</f>
        <v>0</v>
      </c>
      <c r="AB106" s="55">
        <f>SUMIFS('Awards Summary'!$H:$H,'Awards Summary'!$B:$B,$C106,'Awards Summary'!$J:$J,"CNYRTA")</f>
        <v>0</v>
      </c>
      <c r="AC106" s="55">
        <f>SUMIFS('Disbursements Summary'!$E:$E,'Disbursements Summary'!$C:$C,$C106,'Disbursements Summary'!$A:$A,"CNYRTA")</f>
        <v>0</v>
      </c>
      <c r="AD106" s="55">
        <f>SUMIFS('Awards Summary'!$H:$H,'Awards Summary'!$B:$B,$C106,'Awards Summary'!$J:$J,"CUCF")</f>
        <v>0</v>
      </c>
      <c r="AE106" s="55">
        <f>SUMIFS('Disbursements Summary'!$E:$E,'Disbursements Summary'!$C:$C,$C106,'Disbursements Summary'!$A:$A,"CUCF")</f>
        <v>0</v>
      </c>
      <c r="AF106" s="55">
        <f>SUMIFS('Awards Summary'!$H:$H,'Awards Summary'!$B:$B,$C106,'Awards Summary'!$J:$J,"CUNY")</f>
        <v>0</v>
      </c>
      <c r="AG106" s="55">
        <f>SUMIFS('Disbursements Summary'!$E:$E,'Disbursements Summary'!$C:$C,$C106,'Disbursements Summary'!$A:$A,"CUNY")</f>
        <v>0</v>
      </c>
      <c r="AH106" s="55">
        <f>SUMIFS('Awards Summary'!$H:$H,'Awards Summary'!$B:$B,$C106,'Awards Summary'!$J:$J,"ARTS")</f>
        <v>0</v>
      </c>
      <c r="AI106" s="55">
        <f>SUMIFS('Disbursements Summary'!$E:$E,'Disbursements Summary'!$C:$C,$C106,'Disbursements Summary'!$A:$A,"ARTS")</f>
        <v>0</v>
      </c>
      <c r="AJ106" s="55">
        <f>SUMIFS('Awards Summary'!$H:$H,'Awards Summary'!$B:$B,$C106,'Awards Summary'!$J:$J,"AG&amp;MKTS")</f>
        <v>0</v>
      </c>
      <c r="AK106" s="55">
        <f>SUMIFS('Disbursements Summary'!$E:$E,'Disbursements Summary'!$C:$C,$C106,'Disbursements Summary'!$A:$A,"AG&amp;MKTS")</f>
        <v>0</v>
      </c>
      <c r="AL106" s="55">
        <f>SUMIFS('Awards Summary'!$H:$H,'Awards Summary'!$B:$B,$C106,'Awards Summary'!$J:$J,"CS")</f>
        <v>0</v>
      </c>
      <c r="AM106" s="55">
        <f>SUMIFS('Disbursements Summary'!$E:$E,'Disbursements Summary'!$C:$C,$C106,'Disbursements Summary'!$A:$A,"CS")</f>
        <v>0</v>
      </c>
      <c r="AN106" s="55">
        <f>SUMIFS('Awards Summary'!$H:$H,'Awards Summary'!$B:$B,$C106,'Awards Summary'!$J:$J,"DOCCS")</f>
        <v>0</v>
      </c>
      <c r="AO106" s="55">
        <f>SUMIFS('Disbursements Summary'!$E:$E,'Disbursements Summary'!$C:$C,$C106,'Disbursements Summary'!$A:$A,"DOCCS")</f>
        <v>0</v>
      </c>
      <c r="AP106" s="55">
        <f>SUMIFS('Awards Summary'!$H:$H,'Awards Summary'!$B:$B,$C106,'Awards Summary'!$J:$J,"DED")</f>
        <v>0</v>
      </c>
      <c r="AQ106" s="55">
        <f>SUMIFS('Disbursements Summary'!$E:$E,'Disbursements Summary'!$C:$C,$C106,'Disbursements Summary'!$A:$A,"DED")</f>
        <v>0</v>
      </c>
      <c r="AR106" s="55">
        <f>SUMIFS('Awards Summary'!$H:$H,'Awards Summary'!$B:$B,$C106,'Awards Summary'!$J:$J,"DEC")</f>
        <v>0</v>
      </c>
      <c r="AS106" s="55">
        <f>SUMIFS('Disbursements Summary'!$E:$E,'Disbursements Summary'!$C:$C,$C106,'Disbursements Summary'!$A:$A,"DEC")</f>
        <v>0</v>
      </c>
      <c r="AT106" s="55">
        <f>SUMIFS('Awards Summary'!$H:$H,'Awards Summary'!$B:$B,$C106,'Awards Summary'!$J:$J,"DFS")</f>
        <v>0</v>
      </c>
      <c r="AU106" s="55">
        <f>SUMIFS('Disbursements Summary'!$E:$E,'Disbursements Summary'!$C:$C,$C106,'Disbursements Summary'!$A:$A,"DFS")</f>
        <v>0</v>
      </c>
      <c r="AV106" s="55">
        <f>SUMIFS('Awards Summary'!$H:$H,'Awards Summary'!$B:$B,$C106,'Awards Summary'!$J:$J,"DOH")</f>
        <v>0</v>
      </c>
      <c r="AW106" s="55">
        <f>SUMIFS('Disbursements Summary'!$E:$E,'Disbursements Summary'!$C:$C,$C106,'Disbursements Summary'!$A:$A,"DOH")</f>
        <v>0</v>
      </c>
      <c r="AX106" s="55">
        <f>SUMIFS('Awards Summary'!$H:$H,'Awards Summary'!$B:$B,$C106,'Awards Summary'!$J:$J,"DOL")</f>
        <v>0</v>
      </c>
      <c r="AY106" s="55">
        <f>SUMIFS('Disbursements Summary'!$E:$E,'Disbursements Summary'!$C:$C,$C106,'Disbursements Summary'!$A:$A,"DOL")</f>
        <v>0</v>
      </c>
      <c r="AZ106" s="55">
        <f>SUMIFS('Awards Summary'!$H:$H,'Awards Summary'!$B:$B,$C106,'Awards Summary'!$J:$J,"DMV")</f>
        <v>0</v>
      </c>
      <c r="BA106" s="55">
        <f>SUMIFS('Disbursements Summary'!$E:$E,'Disbursements Summary'!$C:$C,$C106,'Disbursements Summary'!$A:$A,"DMV")</f>
        <v>0</v>
      </c>
      <c r="BB106" s="55">
        <f>SUMIFS('Awards Summary'!$H:$H,'Awards Summary'!$B:$B,$C106,'Awards Summary'!$J:$J,"DPS")</f>
        <v>0</v>
      </c>
      <c r="BC106" s="55">
        <f>SUMIFS('Disbursements Summary'!$E:$E,'Disbursements Summary'!$C:$C,$C106,'Disbursements Summary'!$A:$A,"DPS")</f>
        <v>0</v>
      </c>
      <c r="BD106" s="55">
        <f>SUMIFS('Awards Summary'!$H:$H,'Awards Summary'!$B:$B,$C106,'Awards Summary'!$J:$J,"DOS")</f>
        <v>0</v>
      </c>
      <c r="BE106" s="55">
        <f>SUMIFS('Disbursements Summary'!$E:$E,'Disbursements Summary'!$C:$C,$C106,'Disbursements Summary'!$A:$A,"DOS")</f>
        <v>0</v>
      </c>
      <c r="BF106" s="55">
        <f>SUMIFS('Awards Summary'!$H:$H,'Awards Summary'!$B:$B,$C106,'Awards Summary'!$J:$J,"TAX")</f>
        <v>0</v>
      </c>
      <c r="BG106" s="55">
        <f>SUMIFS('Disbursements Summary'!$E:$E,'Disbursements Summary'!$C:$C,$C106,'Disbursements Summary'!$A:$A,"TAX")</f>
        <v>0</v>
      </c>
      <c r="BH106" s="55">
        <f>SUMIFS('Awards Summary'!$H:$H,'Awards Summary'!$B:$B,$C106,'Awards Summary'!$J:$J,"DOT")</f>
        <v>0</v>
      </c>
      <c r="BI106" s="55">
        <f>SUMIFS('Disbursements Summary'!$E:$E,'Disbursements Summary'!$C:$C,$C106,'Disbursements Summary'!$A:$A,"DOT")</f>
        <v>0</v>
      </c>
      <c r="BJ106" s="55">
        <f>SUMIFS('Awards Summary'!$H:$H,'Awards Summary'!$B:$B,$C106,'Awards Summary'!$J:$J,"DANC")</f>
        <v>0</v>
      </c>
      <c r="BK106" s="55">
        <f>SUMIFS('Disbursements Summary'!$E:$E,'Disbursements Summary'!$C:$C,$C106,'Disbursements Summary'!$A:$A,"DANC")</f>
        <v>0</v>
      </c>
      <c r="BL106" s="55">
        <f>SUMIFS('Awards Summary'!$H:$H,'Awards Summary'!$B:$B,$C106,'Awards Summary'!$J:$J,"DOB")</f>
        <v>0</v>
      </c>
      <c r="BM106" s="55">
        <f>SUMIFS('Disbursements Summary'!$E:$E,'Disbursements Summary'!$C:$C,$C106,'Disbursements Summary'!$A:$A,"DOB")</f>
        <v>0</v>
      </c>
      <c r="BN106" s="55">
        <f>SUMIFS('Awards Summary'!$H:$H,'Awards Summary'!$B:$B,$C106,'Awards Summary'!$J:$J,"DCJS")</f>
        <v>0</v>
      </c>
      <c r="BO106" s="55">
        <f>SUMIFS('Disbursements Summary'!$E:$E,'Disbursements Summary'!$C:$C,$C106,'Disbursements Summary'!$A:$A,"DCJS")</f>
        <v>0</v>
      </c>
      <c r="BP106" s="55">
        <f>SUMIFS('Awards Summary'!$H:$H,'Awards Summary'!$B:$B,$C106,'Awards Summary'!$J:$J,"DHSES")</f>
        <v>0</v>
      </c>
      <c r="BQ106" s="55">
        <f>SUMIFS('Disbursements Summary'!$E:$E,'Disbursements Summary'!$C:$C,$C106,'Disbursements Summary'!$A:$A,"DHSES")</f>
        <v>0</v>
      </c>
      <c r="BR106" s="55">
        <f>SUMIFS('Awards Summary'!$H:$H,'Awards Summary'!$B:$B,$C106,'Awards Summary'!$J:$J,"DHR")</f>
        <v>0</v>
      </c>
      <c r="BS106" s="55">
        <f>SUMIFS('Disbursements Summary'!$E:$E,'Disbursements Summary'!$C:$C,$C106,'Disbursements Summary'!$A:$A,"DHR")</f>
        <v>0</v>
      </c>
      <c r="BT106" s="55">
        <f>SUMIFS('Awards Summary'!$H:$H,'Awards Summary'!$B:$B,$C106,'Awards Summary'!$J:$J,"DMNA")</f>
        <v>0</v>
      </c>
      <c r="BU106" s="55">
        <f>SUMIFS('Disbursements Summary'!$E:$E,'Disbursements Summary'!$C:$C,$C106,'Disbursements Summary'!$A:$A,"DMNA")</f>
        <v>0</v>
      </c>
      <c r="BV106" s="55">
        <f>SUMIFS('Awards Summary'!$H:$H,'Awards Summary'!$B:$B,$C106,'Awards Summary'!$J:$J,"TROOPERS")</f>
        <v>0</v>
      </c>
      <c r="BW106" s="55">
        <f>SUMIFS('Disbursements Summary'!$E:$E,'Disbursements Summary'!$C:$C,$C106,'Disbursements Summary'!$A:$A,"TROOPERS")</f>
        <v>0</v>
      </c>
      <c r="BX106" s="55">
        <f>SUMIFS('Awards Summary'!$H:$H,'Awards Summary'!$B:$B,$C106,'Awards Summary'!$J:$J,"DVA")</f>
        <v>0</v>
      </c>
      <c r="BY106" s="55">
        <f>SUMIFS('Disbursements Summary'!$E:$E,'Disbursements Summary'!$C:$C,$C106,'Disbursements Summary'!$A:$A,"DVA")</f>
        <v>0</v>
      </c>
      <c r="BZ106" s="55">
        <f>SUMIFS('Awards Summary'!$H:$H,'Awards Summary'!$B:$B,$C106,'Awards Summary'!$J:$J,"DASNY")</f>
        <v>0</v>
      </c>
      <c r="CA106" s="55">
        <f>SUMIFS('Disbursements Summary'!$E:$E,'Disbursements Summary'!$C:$C,$C106,'Disbursements Summary'!$A:$A,"DASNY")</f>
        <v>0</v>
      </c>
      <c r="CB106" s="55">
        <f>SUMIFS('Awards Summary'!$H:$H,'Awards Summary'!$B:$B,$C106,'Awards Summary'!$J:$J,"EGG")</f>
        <v>0</v>
      </c>
      <c r="CC106" s="55">
        <f>SUMIFS('Disbursements Summary'!$E:$E,'Disbursements Summary'!$C:$C,$C106,'Disbursements Summary'!$A:$A,"EGG")</f>
        <v>0</v>
      </c>
      <c r="CD106" s="55">
        <f>SUMIFS('Awards Summary'!$H:$H,'Awards Summary'!$B:$B,$C106,'Awards Summary'!$J:$J,"ESD")</f>
        <v>0</v>
      </c>
      <c r="CE106" s="55">
        <f>SUMIFS('Disbursements Summary'!$E:$E,'Disbursements Summary'!$C:$C,$C106,'Disbursements Summary'!$A:$A,"ESD")</f>
        <v>0</v>
      </c>
      <c r="CF106" s="55">
        <f>SUMIFS('Awards Summary'!$H:$H,'Awards Summary'!$B:$B,$C106,'Awards Summary'!$J:$J,"EFC")</f>
        <v>0</v>
      </c>
      <c r="CG106" s="55">
        <f>SUMIFS('Disbursements Summary'!$E:$E,'Disbursements Summary'!$C:$C,$C106,'Disbursements Summary'!$A:$A,"EFC")</f>
        <v>0</v>
      </c>
      <c r="CH106" s="55">
        <f>SUMIFS('Awards Summary'!$H:$H,'Awards Summary'!$B:$B,$C106,'Awards Summary'!$J:$J,"ECFSA")</f>
        <v>0</v>
      </c>
      <c r="CI106" s="55">
        <f>SUMIFS('Disbursements Summary'!$E:$E,'Disbursements Summary'!$C:$C,$C106,'Disbursements Summary'!$A:$A,"ECFSA")</f>
        <v>0</v>
      </c>
      <c r="CJ106" s="55">
        <f>SUMIFS('Awards Summary'!$H:$H,'Awards Summary'!$B:$B,$C106,'Awards Summary'!$J:$J,"ECMC")</f>
        <v>0</v>
      </c>
      <c r="CK106" s="55">
        <f>SUMIFS('Disbursements Summary'!$E:$E,'Disbursements Summary'!$C:$C,$C106,'Disbursements Summary'!$A:$A,"ECMC")</f>
        <v>0</v>
      </c>
      <c r="CL106" s="55">
        <f>SUMIFS('Awards Summary'!$H:$H,'Awards Summary'!$B:$B,$C106,'Awards Summary'!$J:$J,"CHAMBER")</f>
        <v>0</v>
      </c>
      <c r="CM106" s="55">
        <f>SUMIFS('Disbursements Summary'!$E:$E,'Disbursements Summary'!$C:$C,$C106,'Disbursements Summary'!$A:$A,"CHAMBER")</f>
        <v>0</v>
      </c>
      <c r="CN106" s="55">
        <f>SUMIFS('Awards Summary'!$H:$H,'Awards Summary'!$B:$B,$C106,'Awards Summary'!$J:$J,"GAMING")</f>
        <v>0</v>
      </c>
      <c r="CO106" s="55">
        <f>SUMIFS('Disbursements Summary'!$E:$E,'Disbursements Summary'!$C:$C,$C106,'Disbursements Summary'!$A:$A,"GAMING")</f>
        <v>0</v>
      </c>
      <c r="CP106" s="55">
        <f>SUMIFS('Awards Summary'!$H:$H,'Awards Summary'!$B:$B,$C106,'Awards Summary'!$J:$J,"GOER")</f>
        <v>0</v>
      </c>
      <c r="CQ106" s="55">
        <f>SUMIFS('Disbursements Summary'!$E:$E,'Disbursements Summary'!$C:$C,$C106,'Disbursements Summary'!$A:$A,"GOER")</f>
        <v>0</v>
      </c>
      <c r="CR106" s="55">
        <f>SUMIFS('Awards Summary'!$H:$H,'Awards Summary'!$B:$B,$C106,'Awards Summary'!$J:$J,"HESC")</f>
        <v>0</v>
      </c>
      <c r="CS106" s="55">
        <f>SUMIFS('Disbursements Summary'!$E:$E,'Disbursements Summary'!$C:$C,$C106,'Disbursements Summary'!$A:$A,"HESC")</f>
        <v>0</v>
      </c>
      <c r="CT106" s="55">
        <f>SUMIFS('Awards Summary'!$H:$H,'Awards Summary'!$B:$B,$C106,'Awards Summary'!$J:$J,"GOSR")</f>
        <v>0</v>
      </c>
      <c r="CU106" s="55">
        <f>SUMIFS('Disbursements Summary'!$E:$E,'Disbursements Summary'!$C:$C,$C106,'Disbursements Summary'!$A:$A,"GOSR")</f>
        <v>0</v>
      </c>
      <c r="CV106" s="55">
        <f>SUMIFS('Awards Summary'!$H:$H,'Awards Summary'!$B:$B,$C106,'Awards Summary'!$J:$J,"HRPT")</f>
        <v>0</v>
      </c>
      <c r="CW106" s="55">
        <f>SUMIFS('Disbursements Summary'!$E:$E,'Disbursements Summary'!$C:$C,$C106,'Disbursements Summary'!$A:$A,"HRPT")</f>
        <v>0</v>
      </c>
      <c r="CX106" s="55">
        <f>SUMIFS('Awards Summary'!$H:$H,'Awards Summary'!$B:$B,$C106,'Awards Summary'!$J:$J,"HRBRRD")</f>
        <v>0</v>
      </c>
      <c r="CY106" s="55">
        <f>SUMIFS('Disbursements Summary'!$E:$E,'Disbursements Summary'!$C:$C,$C106,'Disbursements Summary'!$A:$A,"HRBRRD")</f>
        <v>0</v>
      </c>
      <c r="CZ106" s="55">
        <f>SUMIFS('Awards Summary'!$H:$H,'Awards Summary'!$B:$B,$C106,'Awards Summary'!$J:$J,"ITS")</f>
        <v>0</v>
      </c>
      <c r="DA106" s="55">
        <f>SUMIFS('Disbursements Summary'!$E:$E,'Disbursements Summary'!$C:$C,$C106,'Disbursements Summary'!$A:$A,"ITS")</f>
        <v>0</v>
      </c>
      <c r="DB106" s="55">
        <f>SUMIFS('Awards Summary'!$H:$H,'Awards Summary'!$B:$B,$C106,'Awards Summary'!$J:$J,"JAVITS")</f>
        <v>0</v>
      </c>
      <c r="DC106" s="55">
        <f>SUMIFS('Disbursements Summary'!$E:$E,'Disbursements Summary'!$C:$C,$C106,'Disbursements Summary'!$A:$A,"JAVITS")</f>
        <v>0</v>
      </c>
      <c r="DD106" s="55">
        <f>SUMIFS('Awards Summary'!$H:$H,'Awards Summary'!$B:$B,$C106,'Awards Summary'!$J:$J,"JCOPE")</f>
        <v>0</v>
      </c>
      <c r="DE106" s="55">
        <f>SUMIFS('Disbursements Summary'!$E:$E,'Disbursements Summary'!$C:$C,$C106,'Disbursements Summary'!$A:$A,"JCOPE")</f>
        <v>0</v>
      </c>
      <c r="DF106" s="55">
        <f>SUMIFS('Awards Summary'!$H:$H,'Awards Summary'!$B:$B,$C106,'Awards Summary'!$J:$J,"JUSTICE")</f>
        <v>0</v>
      </c>
      <c r="DG106" s="55">
        <f>SUMIFS('Disbursements Summary'!$E:$E,'Disbursements Summary'!$C:$C,$C106,'Disbursements Summary'!$A:$A,"JUSTICE")</f>
        <v>0</v>
      </c>
      <c r="DH106" s="55">
        <f>SUMIFS('Awards Summary'!$H:$H,'Awards Summary'!$B:$B,$C106,'Awards Summary'!$J:$J,"LCWSA")</f>
        <v>0</v>
      </c>
      <c r="DI106" s="55">
        <f>SUMIFS('Disbursements Summary'!$E:$E,'Disbursements Summary'!$C:$C,$C106,'Disbursements Summary'!$A:$A,"LCWSA")</f>
        <v>0</v>
      </c>
      <c r="DJ106" s="55">
        <f>SUMIFS('Awards Summary'!$H:$H,'Awards Summary'!$B:$B,$C106,'Awards Summary'!$J:$J,"LIPA")</f>
        <v>0</v>
      </c>
      <c r="DK106" s="55">
        <f>SUMIFS('Disbursements Summary'!$E:$E,'Disbursements Summary'!$C:$C,$C106,'Disbursements Summary'!$A:$A,"LIPA")</f>
        <v>0</v>
      </c>
      <c r="DL106" s="55">
        <f>SUMIFS('Awards Summary'!$H:$H,'Awards Summary'!$B:$B,$C106,'Awards Summary'!$J:$J,"MTA")</f>
        <v>0</v>
      </c>
      <c r="DM106" s="55">
        <f>SUMIFS('Disbursements Summary'!$E:$E,'Disbursements Summary'!$C:$C,$C106,'Disbursements Summary'!$A:$A,"MTA")</f>
        <v>0</v>
      </c>
      <c r="DN106" s="55">
        <f>SUMIFS('Awards Summary'!$H:$H,'Awards Summary'!$B:$B,$C106,'Awards Summary'!$J:$J,"NIFA")</f>
        <v>0</v>
      </c>
      <c r="DO106" s="55">
        <f>SUMIFS('Disbursements Summary'!$E:$E,'Disbursements Summary'!$C:$C,$C106,'Disbursements Summary'!$A:$A,"NIFA")</f>
        <v>0</v>
      </c>
      <c r="DP106" s="55">
        <f>SUMIFS('Awards Summary'!$H:$H,'Awards Summary'!$B:$B,$C106,'Awards Summary'!$J:$J,"NHCC")</f>
        <v>0</v>
      </c>
      <c r="DQ106" s="55">
        <f>SUMIFS('Disbursements Summary'!$E:$E,'Disbursements Summary'!$C:$C,$C106,'Disbursements Summary'!$A:$A,"NHCC")</f>
        <v>0</v>
      </c>
      <c r="DR106" s="55">
        <f>SUMIFS('Awards Summary'!$H:$H,'Awards Summary'!$B:$B,$C106,'Awards Summary'!$J:$J,"NHT")</f>
        <v>0</v>
      </c>
      <c r="DS106" s="55">
        <f>SUMIFS('Disbursements Summary'!$E:$E,'Disbursements Summary'!$C:$C,$C106,'Disbursements Summary'!$A:$A,"NHT")</f>
        <v>0</v>
      </c>
      <c r="DT106" s="55">
        <f>SUMIFS('Awards Summary'!$H:$H,'Awards Summary'!$B:$B,$C106,'Awards Summary'!$J:$J,"NYPA")</f>
        <v>0</v>
      </c>
      <c r="DU106" s="55">
        <f>SUMIFS('Disbursements Summary'!$E:$E,'Disbursements Summary'!$C:$C,$C106,'Disbursements Summary'!$A:$A,"NYPA")</f>
        <v>0</v>
      </c>
      <c r="DV106" s="55">
        <f>SUMIFS('Awards Summary'!$H:$H,'Awards Summary'!$B:$B,$C106,'Awards Summary'!$J:$J,"NYSBA")</f>
        <v>0</v>
      </c>
      <c r="DW106" s="55">
        <f>SUMIFS('Disbursements Summary'!$E:$E,'Disbursements Summary'!$C:$C,$C106,'Disbursements Summary'!$A:$A,"NYSBA")</f>
        <v>0</v>
      </c>
      <c r="DX106" s="55">
        <f>SUMIFS('Awards Summary'!$H:$H,'Awards Summary'!$B:$B,$C106,'Awards Summary'!$J:$J,"NYSERDA")</f>
        <v>0</v>
      </c>
      <c r="DY106" s="55">
        <f>SUMIFS('Disbursements Summary'!$E:$E,'Disbursements Summary'!$C:$C,$C106,'Disbursements Summary'!$A:$A,"NYSERDA")</f>
        <v>0</v>
      </c>
      <c r="DZ106" s="55">
        <f>SUMIFS('Awards Summary'!$H:$H,'Awards Summary'!$B:$B,$C106,'Awards Summary'!$J:$J,"DHCR")</f>
        <v>0</v>
      </c>
      <c r="EA106" s="55">
        <f>SUMIFS('Disbursements Summary'!$E:$E,'Disbursements Summary'!$C:$C,$C106,'Disbursements Summary'!$A:$A,"DHCR")</f>
        <v>0</v>
      </c>
      <c r="EB106" s="55">
        <f>SUMIFS('Awards Summary'!$H:$H,'Awards Summary'!$B:$B,$C106,'Awards Summary'!$J:$J,"HFA")</f>
        <v>0</v>
      </c>
      <c r="EC106" s="55">
        <f>SUMIFS('Disbursements Summary'!$E:$E,'Disbursements Summary'!$C:$C,$C106,'Disbursements Summary'!$A:$A,"HFA")</f>
        <v>0</v>
      </c>
      <c r="ED106" s="55">
        <f>SUMIFS('Awards Summary'!$H:$H,'Awards Summary'!$B:$B,$C106,'Awards Summary'!$J:$J,"NYSIF")</f>
        <v>0</v>
      </c>
      <c r="EE106" s="55">
        <f>SUMIFS('Disbursements Summary'!$E:$E,'Disbursements Summary'!$C:$C,$C106,'Disbursements Summary'!$A:$A,"NYSIF")</f>
        <v>0</v>
      </c>
      <c r="EF106" s="55">
        <f>SUMIFS('Awards Summary'!$H:$H,'Awards Summary'!$B:$B,$C106,'Awards Summary'!$J:$J,"NYBREDS")</f>
        <v>0</v>
      </c>
      <c r="EG106" s="55">
        <f>SUMIFS('Disbursements Summary'!$E:$E,'Disbursements Summary'!$C:$C,$C106,'Disbursements Summary'!$A:$A,"NYBREDS")</f>
        <v>0</v>
      </c>
      <c r="EH106" s="55">
        <f>SUMIFS('Awards Summary'!$H:$H,'Awards Summary'!$B:$B,$C106,'Awards Summary'!$J:$J,"NYSTA")</f>
        <v>0</v>
      </c>
      <c r="EI106" s="55">
        <f>SUMIFS('Disbursements Summary'!$E:$E,'Disbursements Summary'!$C:$C,$C106,'Disbursements Summary'!$A:$A,"NYSTA")</f>
        <v>0</v>
      </c>
      <c r="EJ106" s="55">
        <f>SUMIFS('Awards Summary'!$H:$H,'Awards Summary'!$B:$B,$C106,'Awards Summary'!$J:$J,"NFWB")</f>
        <v>0</v>
      </c>
      <c r="EK106" s="55">
        <f>SUMIFS('Disbursements Summary'!$E:$E,'Disbursements Summary'!$C:$C,$C106,'Disbursements Summary'!$A:$A,"NFWB")</f>
        <v>0</v>
      </c>
      <c r="EL106" s="55">
        <f>SUMIFS('Awards Summary'!$H:$H,'Awards Summary'!$B:$B,$C106,'Awards Summary'!$J:$J,"NFTA")</f>
        <v>0</v>
      </c>
      <c r="EM106" s="55">
        <f>SUMIFS('Disbursements Summary'!$E:$E,'Disbursements Summary'!$C:$C,$C106,'Disbursements Summary'!$A:$A,"NFTA")</f>
        <v>0</v>
      </c>
      <c r="EN106" s="55">
        <f>SUMIFS('Awards Summary'!$H:$H,'Awards Summary'!$B:$B,$C106,'Awards Summary'!$J:$J,"OPWDD")</f>
        <v>0</v>
      </c>
      <c r="EO106" s="55">
        <f>SUMIFS('Disbursements Summary'!$E:$E,'Disbursements Summary'!$C:$C,$C106,'Disbursements Summary'!$A:$A,"OPWDD")</f>
        <v>0</v>
      </c>
      <c r="EP106" s="55">
        <f>SUMIFS('Awards Summary'!$H:$H,'Awards Summary'!$B:$B,$C106,'Awards Summary'!$J:$J,"AGING")</f>
        <v>0</v>
      </c>
      <c r="EQ106" s="55">
        <f>SUMIFS('Disbursements Summary'!$E:$E,'Disbursements Summary'!$C:$C,$C106,'Disbursements Summary'!$A:$A,"AGING")</f>
        <v>0</v>
      </c>
      <c r="ER106" s="55">
        <f>SUMIFS('Awards Summary'!$H:$H,'Awards Summary'!$B:$B,$C106,'Awards Summary'!$J:$J,"OPDV")</f>
        <v>0</v>
      </c>
      <c r="ES106" s="55">
        <f>SUMIFS('Disbursements Summary'!$E:$E,'Disbursements Summary'!$C:$C,$C106,'Disbursements Summary'!$A:$A,"OPDV")</f>
        <v>0</v>
      </c>
      <c r="ET106" s="55">
        <f>SUMIFS('Awards Summary'!$H:$H,'Awards Summary'!$B:$B,$C106,'Awards Summary'!$J:$J,"OVS")</f>
        <v>0</v>
      </c>
      <c r="EU106" s="55">
        <f>SUMIFS('Disbursements Summary'!$E:$E,'Disbursements Summary'!$C:$C,$C106,'Disbursements Summary'!$A:$A,"OVS")</f>
        <v>0</v>
      </c>
      <c r="EV106" s="55">
        <f>SUMIFS('Awards Summary'!$H:$H,'Awards Summary'!$B:$B,$C106,'Awards Summary'!$J:$J,"OASAS")</f>
        <v>0</v>
      </c>
      <c r="EW106" s="55">
        <f>SUMIFS('Disbursements Summary'!$E:$E,'Disbursements Summary'!$C:$C,$C106,'Disbursements Summary'!$A:$A,"OASAS")</f>
        <v>0</v>
      </c>
      <c r="EX106" s="55">
        <f>SUMIFS('Awards Summary'!$H:$H,'Awards Summary'!$B:$B,$C106,'Awards Summary'!$J:$J,"OCFS")</f>
        <v>0</v>
      </c>
      <c r="EY106" s="55">
        <f>SUMIFS('Disbursements Summary'!$E:$E,'Disbursements Summary'!$C:$C,$C106,'Disbursements Summary'!$A:$A,"OCFS")</f>
        <v>0</v>
      </c>
      <c r="EZ106" s="55">
        <f>SUMIFS('Awards Summary'!$H:$H,'Awards Summary'!$B:$B,$C106,'Awards Summary'!$J:$J,"OGS")</f>
        <v>0</v>
      </c>
      <c r="FA106" s="55">
        <f>SUMIFS('Disbursements Summary'!$E:$E,'Disbursements Summary'!$C:$C,$C106,'Disbursements Summary'!$A:$A,"OGS")</f>
        <v>0</v>
      </c>
      <c r="FB106" s="55">
        <f>SUMIFS('Awards Summary'!$H:$H,'Awards Summary'!$B:$B,$C106,'Awards Summary'!$J:$J,"OMH")</f>
        <v>0</v>
      </c>
      <c r="FC106" s="55">
        <f>SUMIFS('Disbursements Summary'!$E:$E,'Disbursements Summary'!$C:$C,$C106,'Disbursements Summary'!$A:$A,"OMH")</f>
        <v>0</v>
      </c>
      <c r="FD106" s="55">
        <f>SUMIFS('Awards Summary'!$H:$H,'Awards Summary'!$B:$B,$C106,'Awards Summary'!$J:$J,"PARKS")</f>
        <v>0</v>
      </c>
      <c r="FE106" s="55">
        <f>SUMIFS('Disbursements Summary'!$E:$E,'Disbursements Summary'!$C:$C,$C106,'Disbursements Summary'!$A:$A,"PARKS")</f>
        <v>0</v>
      </c>
      <c r="FF106" s="55">
        <f>SUMIFS('Awards Summary'!$H:$H,'Awards Summary'!$B:$B,$C106,'Awards Summary'!$J:$J,"OTDA")</f>
        <v>0</v>
      </c>
      <c r="FG106" s="55">
        <f>SUMIFS('Disbursements Summary'!$E:$E,'Disbursements Summary'!$C:$C,$C106,'Disbursements Summary'!$A:$A,"OTDA")</f>
        <v>0</v>
      </c>
      <c r="FH106" s="55">
        <f>SUMIFS('Awards Summary'!$H:$H,'Awards Summary'!$B:$B,$C106,'Awards Summary'!$J:$J,"OIG")</f>
        <v>0</v>
      </c>
      <c r="FI106" s="55">
        <f>SUMIFS('Disbursements Summary'!$E:$E,'Disbursements Summary'!$C:$C,$C106,'Disbursements Summary'!$A:$A,"OIG")</f>
        <v>0</v>
      </c>
      <c r="FJ106" s="55">
        <f>SUMIFS('Awards Summary'!$H:$H,'Awards Summary'!$B:$B,$C106,'Awards Summary'!$J:$J,"OMIG")</f>
        <v>0</v>
      </c>
      <c r="FK106" s="55">
        <f>SUMIFS('Disbursements Summary'!$E:$E,'Disbursements Summary'!$C:$C,$C106,'Disbursements Summary'!$A:$A,"OMIG")</f>
        <v>0</v>
      </c>
      <c r="FL106" s="55">
        <f>SUMIFS('Awards Summary'!$H:$H,'Awards Summary'!$B:$B,$C106,'Awards Summary'!$J:$J,"OSC")</f>
        <v>0</v>
      </c>
      <c r="FM106" s="55">
        <f>SUMIFS('Disbursements Summary'!$E:$E,'Disbursements Summary'!$C:$C,$C106,'Disbursements Summary'!$A:$A,"OSC")</f>
        <v>0</v>
      </c>
      <c r="FN106" s="55">
        <f>SUMIFS('Awards Summary'!$H:$H,'Awards Summary'!$B:$B,$C106,'Awards Summary'!$J:$J,"OWIG")</f>
        <v>0</v>
      </c>
      <c r="FO106" s="55">
        <f>SUMIFS('Disbursements Summary'!$E:$E,'Disbursements Summary'!$C:$C,$C106,'Disbursements Summary'!$A:$A,"OWIG")</f>
        <v>0</v>
      </c>
      <c r="FP106" s="55">
        <f>SUMIFS('Awards Summary'!$H:$H,'Awards Summary'!$B:$B,$C106,'Awards Summary'!$J:$J,"OGDEN")</f>
        <v>0</v>
      </c>
      <c r="FQ106" s="55">
        <f>SUMIFS('Disbursements Summary'!$E:$E,'Disbursements Summary'!$C:$C,$C106,'Disbursements Summary'!$A:$A,"OGDEN")</f>
        <v>0</v>
      </c>
      <c r="FR106" s="55">
        <f>SUMIFS('Awards Summary'!$H:$H,'Awards Summary'!$B:$B,$C106,'Awards Summary'!$J:$J,"ORDA")</f>
        <v>0</v>
      </c>
      <c r="FS106" s="55">
        <f>SUMIFS('Disbursements Summary'!$E:$E,'Disbursements Summary'!$C:$C,$C106,'Disbursements Summary'!$A:$A,"ORDA")</f>
        <v>0</v>
      </c>
      <c r="FT106" s="55">
        <f>SUMIFS('Awards Summary'!$H:$H,'Awards Summary'!$B:$B,$C106,'Awards Summary'!$J:$J,"OSWEGO")</f>
        <v>0</v>
      </c>
      <c r="FU106" s="55">
        <f>SUMIFS('Disbursements Summary'!$E:$E,'Disbursements Summary'!$C:$C,$C106,'Disbursements Summary'!$A:$A,"OSWEGO")</f>
        <v>0</v>
      </c>
      <c r="FV106" s="55">
        <f>SUMIFS('Awards Summary'!$H:$H,'Awards Summary'!$B:$B,$C106,'Awards Summary'!$J:$J,"PERB")</f>
        <v>0</v>
      </c>
      <c r="FW106" s="55">
        <f>SUMIFS('Disbursements Summary'!$E:$E,'Disbursements Summary'!$C:$C,$C106,'Disbursements Summary'!$A:$A,"PERB")</f>
        <v>0</v>
      </c>
      <c r="FX106" s="55">
        <f>SUMIFS('Awards Summary'!$H:$H,'Awards Summary'!$B:$B,$C106,'Awards Summary'!$J:$J,"RGRTA")</f>
        <v>0</v>
      </c>
      <c r="FY106" s="55">
        <f>SUMIFS('Disbursements Summary'!$E:$E,'Disbursements Summary'!$C:$C,$C106,'Disbursements Summary'!$A:$A,"RGRTA")</f>
        <v>0</v>
      </c>
      <c r="FZ106" s="55">
        <f>SUMIFS('Awards Summary'!$H:$H,'Awards Summary'!$B:$B,$C106,'Awards Summary'!$J:$J,"RIOC")</f>
        <v>0</v>
      </c>
      <c r="GA106" s="55">
        <f>SUMIFS('Disbursements Summary'!$E:$E,'Disbursements Summary'!$C:$C,$C106,'Disbursements Summary'!$A:$A,"RIOC")</f>
        <v>0</v>
      </c>
      <c r="GB106" s="55">
        <f>SUMIFS('Awards Summary'!$H:$H,'Awards Summary'!$B:$B,$C106,'Awards Summary'!$J:$J,"RPCI")</f>
        <v>0</v>
      </c>
      <c r="GC106" s="55">
        <f>SUMIFS('Disbursements Summary'!$E:$E,'Disbursements Summary'!$C:$C,$C106,'Disbursements Summary'!$A:$A,"RPCI")</f>
        <v>0</v>
      </c>
      <c r="GD106" s="55">
        <f>SUMIFS('Awards Summary'!$H:$H,'Awards Summary'!$B:$B,$C106,'Awards Summary'!$J:$J,"SMDA")</f>
        <v>0</v>
      </c>
      <c r="GE106" s="55">
        <f>SUMIFS('Disbursements Summary'!$E:$E,'Disbursements Summary'!$C:$C,$C106,'Disbursements Summary'!$A:$A,"SMDA")</f>
        <v>0</v>
      </c>
      <c r="GF106" s="55">
        <f>SUMIFS('Awards Summary'!$H:$H,'Awards Summary'!$B:$B,$C106,'Awards Summary'!$J:$J,"SCOC")</f>
        <v>0</v>
      </c>
      <c r="GG106" s="55">
        <f>SUMIFS('Disbursements Summary'!$E:$E,'Disbursements Summary'!$C:$C,$C106,'Disbursements Summary'!$A:$A,"SCOC")</f>
        <v>0</v>
      </c>
      <c r="GH106" s="55">
        <f>SUMIFS('Awards Summary'!$H:$H,'Awards Summary'!$B:$B,$C106,'Awards Summary'!$J:$J,"SUCF")</f>
        <v>0</v>
      </c>
      <c r="GI106" s="55">
        <f>SUMIFS('Disbursements Summary'!$E:$E,'Disbursements Summary'!$C:$C,$C106,'Disbursements Summary'!$A:$A,"SUCF")</f>
        <v>0</v>
      </c>
      <c r="GJ106" s="55">
        <f>SUMIFS('Awards Summary'!$H:$H,'Awards Summary'!$B:$B,$C106,'Awards Summary'!$J:$J,"SUNY")</f>
        <v>0</v>
      </c>
      <c r="GK106" s="55">
        <f>SUMIFS('Disbursements Summary'!$E:$E,'Disbursements Summary'!$C:$C,$C106,'Disbursements Summary'!$A:$A,"SUNY")</f>
        <v>0</v>
      </c>
      <c r="GL106" s="55">
        <f>SUMIFS('Awards Summary'!$H:$H,'Awards Summary'!$B:$B,$C106,'Awards Summary'!$J:$J,"SRAA")</f>
        <v>0</v>
      </c>
      <c r="GM106" s="55">
        <f>SUMIFS('Disbursements Summary'!$E:$E,'Disbursements Summary'!$C:$C,$C106,'Disbursements Summary'!$A:$A,"SRAA")</f>
        <v>0</v>
      </c>
      <c r="GN106" s="55">
        <f>SUMIFS('Awards Summary'!$H:$H,'Awards Summary'!$B:$B,$C106,'Awards Summary'!$J:$J,"UNDC")</f>
        <v>0</v>
      </c>
      <c r="GO106" s="55">
        <f>SUMIFS('Disbursements Summary'!$E:$E,'Disbursements Summary'!$C:$C,$C106,'Disbursements Summary'!$A:$A,"UNDC")</f>
        <v>0</v>
      </c>
      <c r="GP106" s="55">
        <f>SUMIFS('Awards Summary'!$H:$H,'Awards Summary'!$B:$B,$C106,'Awards Summary'!$J:$J,"MVWA")</f>
        <v>0</v>
      </c>
      <c r="GQ106" s="55">
        <f>SUMIFS('Disbursements Summary'!$E:$E,'Disbursements Summary'!$C:$C,$C106,'Disbursements Summary'!$A:$A,"MVWA")</f>
        <v>0</v>
      </c>
      <c r="GR106" s="55">
        <f>SUMIFS('Awards Summary'!$H:$H,'Awards Summary'!$B:$B,$C106,'Awards Summary'!$J:$J,"WMC")</f>
        <v>0</v>
      </c>
      <c r="GS106" s="55">
        <f>SUMIFS('Disbursements Summary'!$E:$E,'Disbursements Summary'!$C:$C,$C106,'Disbursements Summary'!$A:$A,"WMC")</f>
        <v>0</v>
      </c>
      <c r="GT106" s="55">
        <f>SUMIFS('Awards Summary'!$H:$H,'Awards Summary'!$B:$B,$C106,'Awards Summary'!$J:$J,"WCB")</f>
        <v>0</v>
      </c>
      <c r="GU106" s="55">
        <f>SUMIFS('Disbursements Summary'!$E:$E,'Disbursements Summary'!$C:$C,$C106,'Disbursements Summary'!$A:$A,"WCB")</f>
        <v>0</v>
      </c>
      <c r="GV106" s="32">
        <f t="shared" si="10"/>
        <v>0</v>
      </c>
      <c r="GW106" s="32">
        <f t="shared" si="11"/>
        <v>0</v>
      </c>
      <c r="GX106" s="30" t="b">
        <f t="shared" si="12"/>
        <v>1</v>
      </c>
      <c r="GY106" s="30" t="b">
        <f t="shared" si="13"/>
        <v>1</v>
      </c>
    </row>
    <row r="107" spans="1:207" s="30" customFormat="1">
      <c r="A107" s="22" t="str">
        <f t="shared" si="9"/>
        <v/>
      </c>
      <c r="B107" s="40" t="s">
        <v>207</v>
      </c>
      <c r="C107" s="16">
        <v>161249</v>
      </c>
      <c r="D107" s="26">
        <f>COUNTIF('Awards Summary'!B:B,"161249")</f>
        <v>0</v>
      </c>
      <c r="E107" s="45">
        <f>SUMIFS('Awards Summary'!H:H,'Awards Summary'!B:B,"161249")</f>
        <v>0</v>
      </c>
      <c r="F107" s="46">
        <f>SUMIFS('Disbursements Summary'!E:E,'Disbursements Summary'!C:C, "161249")</f>
        <v>0</v>
      </c>
      <c r="H107" s="55">
        <f>SUMIFS('Awards Summary'!$H:$H,'Awards Summary'!$B:$B,$C107,'Awards Summary'!$J:$J,"APA")</f>
        <v>0</v>
      </c>
      <c r="I107" s="55">
        <f>SUMIFS('Disbursements Summary'!$E:$E,'Disbursements Summary'!$C:$C,$C107,'Disbursements Summary'!$A:$A,"APA")</f>
        <v>0</v>
      </c>
      <c r="J107" s="55">
        <f>SUMIFS('Awards Summary'!$H:$H,'Awards Summary'!$B:$B,$C107,'Awards Summary'!$J:$J,"Ag&amp;Horse")</f>
        <v>0</v>
      </c>
      <c r="K107" s="55">
        <f>SUMIFS('Disbursements Summary'!$E:$E,'Disbursements Summary'!$C:$C,$C107,'Disbursements Summary'!$A:$A,"Ag&amp;Horse")</f>
        <v>0</v>
      </c>
      <c r="L107" s="55">
        <f>SUMIFS('Awards Summary'!$H:$H,'Awards Summary'!$B:$B,$C107,'Awards Summary'!$J:$J,"ACAA")</f>
        <v>0</v>
      </c>
      <c r="M107" s="55">
        <f>SUMIFS('Disbursements Summary'!$E:$E,'Disbursements Summary'!$C:$C,$C107,'Disbursements Summary'!$A:$A,"ACAA")</f>
        <v>0</v>
      </c>
      <c r="N107" s="55">
        <f>SUMIFS('Awards Summary'!$H:$H,'Awards Summary'!$B:$B,$C107,'Awards Summary'!$J:$J,"PortAlbany")</f>
        <v>0</v>
      </c>
      <c r="O107" s="55">
        <f>SUMIFS('Disbursements Summary'!$E:$E,'Disbursements Summary'!$C:$C,$C107,'Disbursements Summary'!$A:$A,"PortAlbany")</f>
        <v>0</v>
      </c>
      <c r="P107" s="55">
        <f>SUMIFS('Awards Summary'!$H:$H,'Awards Summary'!$B:$B,$C107,'Awards Summary'!$J:$J,"SLA")</f>
        <v>0</v>
      </c>
      <c r="Q107" s="55">
        <f>SUMIFS('Disbursements Summary'!$E:$E,'Disbursements Summary'!$C:$C,$C107,'Disbursements Summary'!$A:$A,"SLA")</f>
        <v>0</v>
      </c>
      <c r="R107" s="55">
        <f>SUMIFS('Awards Summary'!$H:$H,'Awards Summary'!$B:$B,$C107,'Awards Summary'!$J:$J,"BPCA")</f>
        <v>0</v>
      </c>
      <c r="S107" s="55">
        <f>SUMIFS('Disbursements Summary'!$E:$E,'Disbursements Summary'!$C:$C,$C107,'Disbursements Summary'!$A:$A,"BPCA")</f>
        <v>0</v>
      </c>
      <c r="T107" s="55">
        <f>SUMIFS('Awards Summary'!$H:$H,'Awards Summary'!$B:$B,$C107,'Awards Summary'!$J:$J,"ELECTIONS")</f>
        <v>0</v>
      </c>
      <c r="U107" s="55">
        <f>SUMIFS('Disbursements Summary'!$E:$E,'Disbursements Summary'!$C:$C,$C107,'Disbursements Summary'!$A:$A,"ELECTIONS")</f>
        <v>0</v>
      </c>
      <c r="V107" s="55">
        <f>SUMIFS('Awards Summary'!$H:$H,'Awards Summary'!$B:$B,$C107,'Awards Summary'!$J:$J,"BFSA")</f>
        <v>0</v>
      </c>
      <c r="W107" s="55">
        <f>SUMIFS('Disbursements Summary'!$E:$E,'Disbursements Summary'!$C:$C,$C107,'Disbursements Summary'!$A:$A,"BFSA")</f>
        <v>0</v>
      </c>
      <c r="X107" s="55">
        <f>SUMIFS('Awards Summary'!$H:$H,'Awards Summary'!$B:$B,$C107,'Awards Summary'!$J:$J,"CDTA")</f>
        <v>0</v>
      </c>
      <c r="Y107" s="55">
        <f>SUMIFS('Disbursements Summary'!$E:$E,'Disbursements Summary'!$C:$C,$C107,'Disbursements Summary'!$A:$A,"CDTA")</f>
        <v>0</v>
      </c>
      <c r="Z107" s="55">
        <f>SUMIFS('Awards Summary'!$H:$H,'Awards Summary'!$B:$B,$C107,'Awards Summary'!$J:$J,"CCWSA")</f>
        <v>0</v>
      </c>
      <c r="AA107" s="55">
        <f>SUMIFS('Disbursements Summary'!$E:$E,'Disbursements Summary'!$C:$C,$C107,'Disbursements Summary'!$A:$A,"CCWSA")</f>
        <v>0</v>
      </c>
      <c r="AB107" s="55">
        <f>SUMIFS('Awards Summary'!$H:$H,'Awards Summary'!$B:$B,$C107,'Awards Summary'!$J:$J,"CNYRTA")</f>
        <v>0</v>
      </c>
      <c r="AC107" s="55">
        <f>SUMIFS('Disbursements Summary'!$E:$E,'Disbursements Summary'!$C:$C,$C107,'Disbursements Summary'!$A:$A,"CNYRTA")</f>
        <v>0</v>
      </c>
      <c r="AD107" s="55">
        <f>SUMIFS('Awards Summary'!$H:$H,'Awards Summary'!$B:$B,$C107,'Awards Summary'!$J:$J,"CUCF")</f>
        <v>0</v>
      </c>
      <c r="AE107" s="55">
        <f>SUMIFS('Disbursements Summary'!$E:$E,'Disbursements Summary'!$C:$C,$C107,'Disbursements Summary'!$A:$A,"CUCF")</f>
        <v>0</v>
      </c>
      <c r="AF107" s="55">
        <f>SUMIFS('Awards Summary'!$H:$H,'Awards Summary'!$B:$B,$C107,'Awards Summary'!$J:$J,"CUNY")</f>
        <v>0</v>
      </c>
      <c r="AG107" s="55">
        <f>SUMIFS('Disbursements Summary'!$E:$E,'Disbursements Summary'!$C:$C,$C107,'Disbursements Summary'!$A:$A,"CUNY")</f>
        <v>0</v>
      </c>
      <c r="AH107" s="55">
        <f>SUMIFS('Awards Summary'!$H:$H,'Awards Summary'!$B:$B,$C107,'Awards Summary'!$J:$J,"ARTS")</f>
        <v>0</v>
      </c>
      <c r="AI107" s="55">
        <f>SUMIFS('Disbursements Summary'!$E:$E,'Disbursements Summary'!$C:$C,$C107,'Disbursements Summary'!$A:$A,"ARTS")</f>
        <v>0</v>
      </c>
      <c r="AJ107" s="55">
        <f>SUMIFS('Awards Summary'!$H:$H,'Awards Summary'!$B:$B,$C107,'Awards Summary'!$J:$J,"AG&amp;MKTS")</f>
        <v>0</v>
      </c>
      <c r="AK107" s="55">
        <f>SUMIFS('Disbursements Summary'!$E:$E,'Disbursements Summary'!$C:$C,$C107,'Disbursements Summary'!$A:$A,"AG&amp;MKTS")</f>
        <v>0</v>
      </c>
      <c r="AL107" s="55">
        <f>SUMIFS('Awards Summary'!$H:$H,'Awards Summary'!$B:$B,$C107,'Awards Summary'!$J:$J,"CS")</f>
        <v>0</v>
      </c>
      <c r="AM107" s="55">
        <f>SUMIFS('Disbursements Summary'!$E:$E,'Disbursements Summary'!$C:$C,$C107,'Disbursements Summary'!$A:$A,"CS")</f>
        <v>0</v>
      </c>
      <c r="AN107" s="55">
        <f>SUMIFS('Awards Summary'!$H:$H,'Awards Summary'!$B:$B,$C107,'Awards Summary'!$J:$J,"DOCCS")</f>
        <v>0</v>
      </c>
      <c r="AO107" s="55">
        <f>SUMIFS('Disbursements Summary'!$E:$E,'Disbursements Summary'!$C:$C,$C107,'Disbursements Summary'!$A:$A,"DOCCS")</f>
        <v>0</v>
      </c>
      <c r="AP107" s="55">
        <f>SUMIFS('Awards Summary'!$H:$H,'Awards Summary'!$B:$B,$C107,'Awards Summary'!$J:$J,"DED")</f>
        <v>0</v>
      </c>
      <c r="AQ107" s="55">
        <f>SUMIFS('Disbursements Summary'!$E:$E,'Disbursements Summary'!$C:$C,$C107,'Disbursements Summary'!$A:$A,"DED")</f>
        <v>0</v>
      </c>
      <c r="AR107" s="55">
        <f>SUMIFS('Awards Summary'!$H:$H,'Awards Summary'!$B:$B,$C107,'Awards Summary'!$J:$J,"DEC")</f>
        <v>0</v>
      </c>
      <c r="AS107" s="55">
        <f>SUMIFS('Disbursements Summary'!$E:$E,'Disbursements Summary'!$C:$C,$C107,'Disbursements Summary'!$A:$A,"DEC")</f>
        <v>0</v>
      </c>
      <c r="AT107" s="55">
        <f>SUMIFS('Awards Summary'!$H:$H,'Awards Summary'!$B:$B,$C107,'Awards Summary'!$J:$J,"DFS")</f>
        <v>0</v>
      </c>
      <c r="AU107" s="55">
        <f>SUMIFS('Disbursements Summary'!$E:$E,'Disbursements Summary'!$C:$C,$C107,'Disbursements Summary'!$A:$A,"DFS")</f>
        <v>0</v>
      </c>
      <c r="AV107" s="55">
        <f>SUMIFS('Awards Summary'!$H:$H,'Awards Summary'!$B:$B,$C107,'Awards Summary'!$J:$J,"DOH")</f>
        <v>0</v>
      </c>
      <c r="AW107" s="55">
        <f>SUMIFS('Disbursements Summary'!$E:$E,'Disbursements Summary'!$C:$C,$C107,'Disbursements Summary'!$A:$A,"DOH")</f>
        <v>0</v>
      </c>
      <c r="AX107" s="55">
        <f>SUMIFS('Awards Summary'!$H:$H,'Awards Summary'!$B:$B,$C107,'Awards Summary'!$J:$J,"DOL")</f>
        <v>0</v>
      </c>
      <c r="AY107" s="55">
        <f>SUMIFS('Disbursements Summary'!$E:$E,'Disbursements Summary'!$C:$C,$C107,'Disbursements Summary'!$A:$A,"DOL")</f>
        <v>0</v>
      </c>
      <c r="AZ107" s="55">
        <f>SUMIFS('Awards Summary'!$H:$H,'Awards Summary'!$B:$B,$C107,'Awards Summary'!$J:$J,"DMV")</f>
        <v>0</v>
      </c>
      <c r="BA107" s="55">
        <f>SUMIFS('Disbursements Summary'!$E:$E,'Disbursements Summary'!$C:$C,$C107,'Disbursements Summary'!$A:$A,"DMV")</f>
        <v>0</v>
      </c>
      <c r="BB107" s="55">
        <f>SUMIFS('Awards Summary'!$H:$H,'Awards Summary'!$B:$B,$C107,'Awards Summary'!$J:$J,"DPS")</f>
        <v>0</v>
      </c>
      <c r="BC107" s="55">
        <f>SUMIFS('Disbursements Summary'!$E:$E,'Disbursements Summary'!$C:$C,$C107,'Disbursements Summary'!$A:$A,"DPS")</f>
        <v>0</v>
      </c>
      <c r="BD107" s="55">
        <f>SUMIFS('Awards Summary'!$H:$H,'Awards Summary'!$B:$B,$C107,'Awards Summary'!$J:$J,"DOS")</f>
        <v>0</v>
      </c>
      <c r="BE107" s="55">
        <f>SUMIFS('Disbursements Summary'!$E:$E,'Disbursements Summary'!$C:$C,$C107,'Disbursements Summary'!$A:$A,"DOS")</f>
        <v>0</v>
      </c>
      <c r="BF107" s="55">
        <f>SUMIFS('Awards Summary'!$H:$H,'Awards Summary'!$B:$B,$C107,'Awards Summary'!$J:$J,"TAX")</f>
        <v>0</v>
      </c>
      <c r="BG107" s="55">
        <f>SUMIFS('Disbursements Summary'!$E:$E,'Disbursements Summary'!$C:$C,$C107,'Disbursements Summary'!$A:$A,"TAX")</f>
        <v>0</v>
      </c>
      <c r="BH107" s="55">
        <f>SUMIFS('Awards Summary'!$H:$H,'Awards Summary'!$B:$B,$C107,'Awards Summary'!$J:$J,"DOT")</f>
        <v>0</v>
      </c>
      <c r="BI107" s="55">
        <f>SUMIFS('Disbursements Summary'!$E:$E,'Disbursements Summary'!$C:$C,$C107,'Disbursements Summary'!$A:$A,"DOT")</f>
        <v>0</v>
      </c>
      <c r="BJ107" s="55">
        <f>SUMIFS('Awards Summary'!$H:$H,'Awards Summary'!$B:$B,$C107,'Awards Summary'!$J:$J,"DANC")</f>
        <v>0</v>
      </c>
      <c r="BK107" s="55">
        <f>SUMIFS('Disbursements Summary'!$E:$E,'Disbursements Summary'!$C:$C,$C107,'Disbursements Summary'!$A:$A,"DANC")</f>
        <v>0</v>
      </c>
      <c r="BL107" s="55">
        <f>SUMIFS('Awards Summary'!$H:$H,'Awards Summary'!$B:$B,$C107,'Awards Summary'!$J:$J,"DOB")</f>
        <v>0</v>
      </c>
      <c r="BM107" s="55">
        <f>SUMIFS('Disbursements Summary'!$E:$E,'Disbursements Summary'!$C:$C,$C107,'Disbursements Summary'!$A:$A,"DOB")</f>
        <v>0</v>
      </c>
      <c r="BN107" s="55">
        <f>SUMIFS('Awards Summary'!$H:$H,'Awards Summary'!$B:$B,$C107,'Awards Summary'!$J:$J,"DCJS")</f>
        <v>0</v>
      </c>
      <c r="BO107" s="55">
        <f>SUMIFS('Disbursements Summary'!$E:$E,'Disbursements Summary'!$C:$C,$C107,'Disbursements Summary'!$A:$A,"DCJS")</f>
        <v>0</v>
      </c>
      <c r="BP107" s="55">
        <f>SUMIFS('Awards Summary'!$H:$H,'Awards Summary'!$B:$B,$C107,'Awards Summary'!$J:$J,"DHSES")</f>
        <v>0</v>
      </c>
      <c r="BQ107" s="55">
        <f>SUMIFS('Disbursements Summary'!$E:$E,'Disbursements Summary'!$C:$C,$C107,'Disbursements Summary'!$A:$A,"DHSES")</f>
        <v>0</v>
      </c>
      <c r="BR107" s="55">
        <f>SUMIFS('Awards Summary'!$H:$H,'Awards Summary'!$B:$B,$C107,'Awards Summary'!$J:$J,"DHR")</f>
        <v>0</v>
      </c>
      <c r="BS107" s="55">
        <f>SUMIFS('Disbursements Summary'!$E:$E,'Disbursements Summary'!$C:$C,$C107,'Disbursements Summary'!$A:$A,"DHR")</f>
        <v>0</v>
      </c>
      <c r="BT107" s="55">
        <f>SUMIFS('Awards Summary'!$H:$H,'Awards Summary'!$B:$B,$C107,'Awards Summary'!$J:$J,"DMNA")</f>
        <v>0</v>
      </c>
      <c r="BU107" s="55">
        <f>SUMIFS('Disbursements Summary'!$E:$E,'Disbursements Summary'!$C:$C,$C107,'Disbursements Summary'!$A:$A,"DMNA")</f>
        <v>0</v>
      </c>
      <c r="BV107" s="55">
        <f>SUMIFS('Awards Summary'!$H:$H,'Awards Summary'!$B:$B,$C107,'Awards Summary'!$J:$J,"TROOPERS")</f>
        <v>0</v>
      </c>
      <c r="BW107" s="55">
        <f>SUMIFS('Disbursements Summary'!$E:$E,'Disbursements Summary'!$C:$C,$C107,'Disbursements Summary'!$A:$A,"TROOPERS")</f>
        <v>0</v>
      </c>
      <c r="BX107" s="55">
        <f>SUMIFS('Awards Summary'!$H:$H,'Awards Summary'!$B:$B,$C107,'Awards Summary'!$J:$J,"DVA")</f>
        <v>0</v>
      </c>
      <c r="BY107" s="55">
        <f>SUMIFS('Disbursements Summary'!$E:$E,'Disbursements Summary'!$C:$C,$C107,'Disbursements Summary'!$A:$A,"DVA")</f>
        <v>0</v>
      </c>
      <c r="BZ107" s="55">
        <f>SUMIFS('Awards Summary'!$H:$H,'Awards Summary'!$B:$B,$C107,'Awards Summary'!$J:$J,"DASNY")</f>
        <v>0</v>
      </c>
      <c r="CA107" s="55">
        <f>SUMIFS('Disbursements Summary'!$E:$E,'Disbursements Summary'!$C:$C,$C107,'Disbursements Summary'!$A:$A,"DASNY")</f>
        <v>0</v>
      </c>
      <c r="CB107" s="55">
        <f>SUMIFS('Awards Summary'!$H:$H,'Awards Summary'!$B:$B,$C107,'Awards Summary'!$J:$J,"EGG")</f>
        <v>0</v>
      </c>
      <c r="CC107" s="55">
        <f>SUMIFS('Disbursements Summary'!$E:$E,'Disbursements Summary'!$C:$C,$C107,'Disbursements Summary'!$A:$A,"EGG")</f>
        <v>0</v>
      </c>
      <c r="CD107" s="55">
        <f>SUMIFS('Awards Summary'!$H:$H,'Awards Summary'!$B:$B,$C107,'Awards Summary'!$J:$J,"ESD")</f>
        <v>0</v>
      </c>
      <c r="CE107" s="55">
        <f>SUMIFS('Disbursements Summary'!$E:$E,'Disbursements Summary'!$C:$C,$C107,'Disbursements Summary'!$A:$A,"ESD")</f>
        <v>0</v>
      </c>
      <c r="CF107" s="55">
        <f>SUMIFS('Awards Summary'!$H:$H,'Awards Summary'!$B:$B,$C107,'Awards Summary'!$J:$J,"EFC")</f>
        <v>0</v>
      </c>
      <c r="CG107" s="55">
        <f>SUMIFS('Disbursements Summary'!$E:$E,'Disbursements Summary'!$C:$C,$C107,'Disbursements Summary'!$A:$A,"EFC")</f>
        <v>0</v>
      </c>
      <c r="CH107" s="55">
        <f>SUMIFS('Awards Summary'!$H:$H,'Awards Summary'!$B:$B,$C107,'Awards Summary'!$J:$J,"ECFSA")</f>
        <v>0</v>
      </c>
      <c r="CI107" s="55">
        <f>SUMIFS('Disbursements Summary'!$E:$E,'Disbursements Summary'!$C:$C,$C107,'Disbursements Summary'!$A:$A,"ECFSA")</f>
        <v>0</v>
      </c>
      <c r="CJ107" s="55">
        <f>SUMIFS('Awards Summary'!$H:$H,'Awards Summary'!$B:$B,$C107,'Awards Summary'!$J:$J,"ECMC")</f>
        <v>0</v>
      </c>
      <c r="CK107" s="55">
        <f>SUMIFS('Disbursements Summary'!$E:$E,'Disbursements Summary'!$C:$C,$C107,'Disbursements Summary'!$A:$A,"ECMC")</f>
        <v>0</v>
      </c>
      <c r="CL107" s="55">
        <f>SUMIFS('Awards Summary'!$H:$H,'Awards Summary'!$B:$B,$C107,'Awards Summary'!$J:$J,"CHAMBER")</f>
        <v>0</v>
      </c>
      <c r="CM107" s="55">
        <f>SUMIFS('Disbursements Summary'!$E:$E,'Disbursements Summary'!$C:$C,$C107,'Disbursements Summary'!$A:$A,"CHAMBER")</f>
        <v>0</v>
      </c>
      <c r="CN107" s="55">
        <f>SUMIFS('Awards Summary'!$H:$H,'Awards Summary'!$B:$B,$C107,'Awards Summary'!$J:$J,"GAMING")</f>
        <v>0</v>
      </c>
      <c r="CO107" s="55">
        <f>SUMIFS('Disbursements Summary'!$E:$E,'Disbursements Summary'!$C:$C,$C107,'Disbursements Summary'!$A:$A,"GAMING")</f>
        <v>0</v>
      </c>
      <c r="CP107" s="55">
        <f>SUMIFS('Awards Summary'!$H:$H,'Awards Summary'!$B:$B,$C107,'Awards Summary'!$J:$J,"GOER")</f>
        <v>0</v>
      </c>
      <c r="CQ107" s="55">
        <f>SUMIFS('Disbursements Summary'!$E:$E,'Disbursements Summary'!$C:$C,$C107,'Disbursements Summary'!$A:$A,"GOER")</f>
        <v>0</v>
      </c>
      <c r="CR107" s="55">
        <f>SUMIFS('Awards Summary'!$H:$H,'Awards Summary'!$B:$B,$C107,'Awards Summary'!$J:$J,"HESC")</f>
        <v>0</v>
      </c>
      <c r="CS107" s="55">
        <f>SUMIFS('Disbursements Summary'!$E:$E,'Disbursements Summary'!$C:$C,$C107,'Disbursements Summary'!$A:$A,"HESC")</f>
        <v>0</v>
      </c>
      <c r="CT107" s="55">
        <f>SUMIFS('Awards Summary'!$H:$H,'Awards Summary'!$B:$B,$C107,'Awards Summary'!$J:$J,"GOSR")</f>
        <v>0</v>
      </c>
      <c r="CU107" s="55">
        <f>SUMIFS('Disbursements Summary'!$E:$E,'Disbursements Summary'!$C:$C,$C107,'Disbursements Summary'!$A:$A,"GOSR")</f>
        <v>0</v>
      </c>
      <c r="CV107" s="55">
        <f>SUMIFS('Awards Summary'!$H:$H,'Awards Summary'!$B:$B,$C107,'Awards Summary'!$J:$J,"HRPT")</f>
        <v>0</v>
      </c>
      <c r="CW107" s="55">
        <f>SUMIFS('Disbursements Summary'!$E:$E,'Disbursements Summary'!$C:$C,$C107,'Disbursements Summary'!$A:$A,"HRPT")</f>
        <v>0</v>
      </c>
      <c r="CX107" s="55">
        <f>SUMIFS('Awards Summary'!$H:$H,'Awards Summary'!$B:$B,$C107,'Awards Summary'!$J:$J,"HRBRRD")</f>
        <v>0</v>
      </c>
      <c r="CY107" s="55">
        <f>SUMIFS('Disbursements Summary'!$E:$E,'Disbursements Summary'!$C:$C,$C107,'Disbursements Summary'!$A:$A,"HRBRRD")</f>
        <v>0</v>
      </c>
      <c r="CZ107" s="55">
        <f>SUMIFS('Awards Summary'!$H:$H,'Awards Summary'!$B:$B,$C107,'Awards Summary'!$J:$J,"ITS")</f>
        <v>0</v>
      </c>
      <c r="DA107" s="55">
        <f>SUMIFS('Disbursements Summary'!$E:$E,'Disbursements Summary'!$C:$C,$C107,'Disbursements Summary'!$A:$A,"ITS")</f>
        <v>0</v>
      </c>
      <c r="DB107" s="55">
        <f>SUMIFS('Awards Summary'!$H:$H,'Awards Summary'!$B:$B,$C107,'Awards Summary'!$J:$J,"JAVITS")</f>
        <v>0</v>
      </c>
      <c r="DC107" s="55">
        <f>SUMIFS('Disbursements Summary'!$E:$E,'Disbursements Summary'!$C:$C,$C107,'Disbursements Summary'!$A:$A,"JAVITS")</f>
        <v>0</v>
      </c>
      <c r="DD107" s="55">
        <f>SUMIFS('Awards Summary'!$H:$H,'Awards Summary'!$B:$B,$C107,'Awards Summary'!$J:$J,"JCOPE")</f>
        <v>0</v>
      </c>
      <c r="DE107" s="55">
        <f>SUMIFS('Disbursements Summary'!$E:$E,'Disbursements Summary'!$C:$C,$C107,'Disbursements Summary'!$A:$A,"JCOPE")</f>
        <v>0</v>
      </c>
      <c r="DF107" s="55">
        <f>SUMIFS('Awards Summary'!$H:$H,'Awards Summary'!$B:$B,$C107,'Awards Summary'!$J:$J,"JUSTICE")</f>
        <v>0</v>
      </c>
      <c r="DG107" s="55">
        <f>SUMIFS('Disbursements Summary'!$E:$E,'Disbursements Summary'!$C:$C,$C107,'Disbursements Summary'!$A:$A,"JUSTICE")</f>
        <v>0</v>
      </c>
      <c r="DH107" s="55">
        <f>SUMIFS('Awards Summary'!$H:$H,'Awards Summary'!$B:$B,$C107,'Awards Summary'!$J:$J,"LCWSA")</f>
        <v>0</v>
      </c>
      <c r="DI107" s="55">
        <f>SUMIFS('Disbursements Summary'!$E:$E,'Disbursements Summary'!$C:$C,$C107,'Disbursements Summary'!$A:$A,"LCWSA")</f>
        <v>0</v>
      </c>
      <c r="DJ107" s="55">
        <f>SUMIFS('Awards Summary'!$H:$H,'Awards Summary'!$B:$B,$C107,'Awards Summary'!$J:$J,"LIPA")</f>
        <v>0</v>
      </c>
      <c r="DK107" s="55">
        <f>SUMIFS('Disbursements Summary'!$E:$E,'Disbursements Summary'!$C:$C,$C107,'Disbursements Summary'!$A:$A,"LIPA")</f>
        <v>0</v>
      </c>
      <c r="DL107" s="55">
        <f>SUMIFS('Awards Summary'!$H:$H,'Awards Summary'!$B:$B,$C107,'Awards Summary'!$J:$J,"MTA")</f>
        <v>0</v>
      </c>
      <c r="DM107" s="55">
        <f>SUMIFS('Disbursements Summary'!$E:$E,'Disbursements Summary'!$C:$C,$C107,'Disbursements Summary'!$A:$A,"MTA")</f>
        <v>0</v>
      </c>
      <c r="DN107" s="55">
        <f>SUMIFS('Awards Summary'!$H:$H,'Awards Summary'!$B:$B,$C107,'Awards Summary'!$J:$J,"NIFA")</f>
        <v>0</v>
      </c>
      <c r="DO107" s="55">
        <f>SUMIFS('Disbursements Summary'!$E:$E,'Disbursements Summary'!$C:$C,$C107,'Disbursements Summary'!$A:$A,"NIFA")</f>
        <v>0</v>
      </c>
      <c r="DP107" s="55">
        <f>SUMIFS('Awards Summary'!$H:$H,'Awards Summary'!$B:$B,$C107,'Awards Summary'!$J:$J,"NHCC")</f>
        <v>0</v>
      </c>
      <c r="DQ107" s="55">
        <f>SUMIFS('Disbursements Summary'!$E:$E,'Disbursements Summary'!$C:$C,$C107,'Disbursements Summary'!$A:$A,"NHCC")</f>
        <v>0</v>
      </c>
      <c r="DR107" s="55">
        <f>SUMIFS('Awards Summary'!$H:$H,'Awards Summary'!$B:$B,$C107,'Awards Summary'!$J:$J,"NHT")</f>
        <v>0</v>
      </c>
      <c r="DS107" s="55">
        <f>SUMIFS('Disbursements Summary'!$E:$E,'Disbursements Summary'!$C:$C,$C107,'Disbursements Summary'!$A:$A,"NHT")</f>
        <v>0</v>
      </c>
      <c r="DT107" s="55">
        <f>SUMIFS('Awards Summary'!$H:$H,'Awards Summary'!$B:$B,$C107,'Awards Summary'!$J:$J,"NYPA")</f>
        <v>0</v>
      </c>
      <c r="DU107" s="55">
        <f>SUMIFS('Disbursements Summary'!$E:$E,'Disbursements Summary'!$C:$C,$C107,'Disbursements Summary'!$A:$A,"NYPA")</f>
        <v>0</v>
      </c>
      <c r="DV107" s="55">
        <f>SUMIFS('Awards Summary'!$H:$H,'Awards Summary'!$B:$B,$C107,'Awards Summary'!$J:$J,"NYSBA")</f>
        <v>0</v>
      </c>
      <c r="DW107" s="55">
        <f>SUMIFS('Disbursements Summary'!$E:$E,'Disbursements Summary'!$C:$C,$C107,'Disbursements Summary'!$A:$A,"NYSBA")</f>
        <v>0</v>
      </c>
      <c r="DX107" s="55">
        <f>SUMIFS('Awards Summary'!$H:$H,'Awards Summary'!$B:$B,$C107,'Awards Summary'!$J:$J,"NYSERDA")</f>
        <v>0</v>
      </c>
      <c r="DY107" s="55">
        <f>SUMIFS('Disbursements Summary'!$E:$E,'Disbursements Summary'!$C:$C,$C107,'Disbursements Summary'!$A:$A,"NYSERDA")</f>
        <v>0</v>
      </c>
      <c r="DZ107" s="55">
        <f>SUMIFS('Awards Summary'!$H:$H,'Awards Summary'!$B:$B,$C107,'Awards Summary'!$J:$J,"DHCR")</f>
        <v>0</v>
      </c>
      <c r="EA107" s="55">
        <f>SUMIFS('Disbursements Summary'!$E:$E,'Disbursements Summary'!$C:$C,$C107,'Disbursements Summary'!$A:$A,"DHCR")</f>
        <v>0</v>
      </c>
      <c r="EB107" s="55">
        <f>SUMIFS('Awards Summary'!$H:$H,'Awards Summary'!$B:$B,$C107,'Awards Summary'!$J:$J,"HFA")</f>
        <v>0</v>
      </c>
      <c r="EC107" s="55">
        <f>SUMIFS('Disbursements Summary'!$E:$E,'Disbursements Summary'!$C:$C,$C107,'Disbursements Summary'!$A:$A,"HFA")</f>
        <v>0</v>
      </c>
      <c r="ED107" s="55">
        <f>SUMIFS('Awards Summary'!$H:$H,'Awards Summary'!$B:$B,$C107,'Awards Summary'!$J:$J,"NYSIF")</f>
        <v>0</v>
      </c>
      <c r="EE107" s="55">
        <f>SUMIFS('Disbursements Summary'!$E:$E,'Disbursements Summary'!$C:$C,$C107,'Disbursements Summary'!$A:$A,"NYSIF")</f>
        <v>0</v>
      </c>
      <c r="EF107" s="55">
        <f>SUMIFS('Awards Summary'!$H:$H,'Awards Summary'!$B:$B,$C107,'Awards Summary'!$J:$J,"NYBREDS")</f>
        <v>0</v>
      </c>
      <c r="EG107" s="55">
        <f>SUMIFS('Disbursements Summary'!$E:$E,'Disbursements Summary'!$C:$C,$C107,'Disbursements Summary'!$A:$A,"NYBREDS")</f>
        <v>0</v>
      </c>
      <c r="EH107" s="55">
        <f>SUMIFS('Awards Summary'!$H:$H,'Awards Summary'!$B:$B,$C107,'Awards Summary'!$J:$J,"NYSTA")</f>
        <v>0</v>
      </c>
      <c r="EI107" s="55">
        <f>SUMIFS('Disbursements Summary'!$E:$E,'Disbursements Summary'!$C:$C,$C107,'Disbursements Summary'!$A:$A,"NYSTA")</f>
        <v>0</v>
      </c>
      <c r="EJ107" s="55">
        <f>SUMIFS('Awards Summary'!$H:$H,'Awards Summary'!$B:$B,$C107,'Awards Summary'!$J:$J,"NFWB")</f>
        <v>0</v>
      </c>
      <c r="EK107" s="55">
        <f>SUMIFS('Disbursements Summary'!$E:$E,'Disbursements Summary'!$C:$C,$C107,'Disbursements Summary'!$A:$A,"NFWB")</f>
        <v>0</v>
      </c>
      <c r="EL107" s="55">
        <f>SUMIFS('Awards Summary'!$H:$H,'Awards Summary'!$B:$B,$C107,'Awards Summary'!$J:$J,"NFTA")</f>
        <v>0</v>
      </c>
      <c r="EM107" s="55">
        <f>SUMIFS('Disbursements Summary'!$E:$E,'Disbursements Summary'!$C:$C,$C107,'Disbursements Summary'!$A:$A,"NFTA")</f>
        <v>0</v>
      </c>
      <c r="EN107" s="55">
        <f>SUMIFS('Awards Summary'!$H:$H,'Awards Summary'!$B:$B,$C107,'Awards Summary'!$J:$J,"OPWDD")</f>
        <v>0</v>
      </c>
      <c r="EO107" s="55">
        <f>SUMIFS('Disbursements Summary'!$E:$E,'Disbursements Summary'!$C:$C,$C107,'Disbursements Summary'!$A:$A,"OPWDD")</f>
        <v>0</v>
      </c>
      <c r="EP107" s="55">
        <f>SUMIFS('Awards Summary'!$H:$H,'Awards Summary'!$B:$B,$C107,'Awards Summary'!$J:$J,"AGING")</f>
        <v>0</v>
      </c>
      <c r="EQ107" s="55">
        <f>SUMIFS('Disbursements Summary'!$E:$E,'Disbursements Summary'!$C:$C,$C107,'Disbursements Summary'!$A:$A,"AGING")</f>
        <v>0</v>
      </c>
      <c r="ER107" s="55">
        <f>SUMIFS('Awards Summary'!$H:$H,'Awards Summary'!$B:$B,$C107,'Awards Summary'!$J:$J,"OPDV")</f>
        <v>0</v>
      </c>
      <c r="ES107" s="55">
        <f>SUMIFS('Disbursements Summary'!$E:$E,'Disbursements Summary'!$C:$C,$C107,'Disbursements Summary'!$A:$A,"OPDV")</f>
        <v>0</v>
      </c>
      <c r="ET107" s="55">
        <f>SUMIFS('Awards Summary'!$H:$H,'Awards Summary'!$B:$B,$C107,'Awards Summary'!$J:$J,"OVS")</f>
        <v>0</v>
      </c>
      <c r="EU107" s="55">
        <f>SUMIFS('Disbursements Summary'!$E:$E,'Disbursements Summary'!$C:$C,$C107,'Disbursements Summary'!$A:$A,"OVS")</f>
        <v>0</v>
      </c>
      <c r="EV107" s="55">
        <f>SUMIFS('Awards Summary'!$H:$H,'Awards Summary'!$B:$B,$C107,'Awards Summary'!$J:$J,"OASAS")</f>
        <v>0</v>
      </c>
      <c r="EW107" s="55">
        <f>SUMIFS('Disbursements Summary'!$E:$E,'Disbursements Summary'!$C:$C,$C107,'Disbursements Summary'!$A:$A,"OASAS")</f>
        <v>0</v>
      </c>
      <c r="EX107" s="55">
        <f>SUMIFS('Awards Summary'!$H:$H,'Awards Summary'!$B:$B,$C107,'Awards Summary'!$J:$J,"OCFS")</f>
        <v>0</v>
      </c>
      <c r="EY107" s="55">
        <f>SUMIFS('Disbursements Summary'!$E:$E,'Disbursements Summary'!$C:$C,$C107,'Disbursements Summary'!$A:$A,"OCFS")</f>
        <v>0</v>
      </c>
      <c r="EZ107" s="55">
        <f>SUMIFS('Awards Summary'!$H:$H,'Awards Summary'!$B:$B,$C107,'Awards Summary'!$J:$J,"OGS")</f>
        <v>0</v>
      </c>
      <c r="FA107" s="55">
        <f>SUMIFS('Disbursements Summary'!$E:$E,'Disbursements Summary'!$C:$C,$C107,'Disbursements Summary'!$A:$A,"OGS")</f>
        <v>0</v>
      </c>
      <c r="FB107" s="55">
        <f>SUMIFS('Awards Summary'!$H:$H,'Awards Summary'!$B:$B,$C107,'Awards Summary'!$J:$J,"OMH")</f>
        <v>0</v>
      </c>
      <c r="FC107" s="55">
        <f>SUMIFS('Disbursements Summary'!$E:$E,'Disbursements Summary'!$C:$C,$C107,'Disbursements Summary'!$A:$A,"OMH")</f>
        <v>0</v>
      </c>
      <c r="FD107" s="55">
        <f>SUMIFS('Awards Summary'!$H:$H,'Awards Summary'!$B:$B,$C107,'Awards Summary'!$J:$J,"PARKS")</f>
        <v>0</v>
      </c>
      <c r="FE107" s="55">
        <f>SUMIFS('Disbursements Summary'!$E:$E,'Disbursements Summary'!$C:$C,$C107,'Disbursements Summary'!$A:$A,"PARKS")</f>
        <v>0</v>
      </c>
      <c r="FF107" s="55">
        <f>SUMIFS('Awards Summary'!$H:$H,'Awards Summary'!$B:$B,$C107,'Awards Summary'!$J:$J,"OTDA")</f>
        <v>0</v>
      </c>
      <c r="FG107" s="55">
        <f>SUMIFS('Disbursements Summary'!$E:$E,'Disbursements Summary'!$C:$C,$C107,'Disbursements Summary'!$A:$A,"OTDA")</f>
        <v>0</v>
      </c>
      <c r="FH107" s="55">
        <f>SUMIFS('Awards Summary'!$H:$H,'Awards Summary'!$B:$B,$C107,'Awards Summary'!$J:$J,"OIG")</f>
        <v>0</v>
      </c>
      <c r="FI107" s="55">
        <f>SUMIFS('Disbursements Summary'!$E:$E,'Disbursements Summary'!$C:$C,$C107,'Disbursements Summary'!$A:$A,"OIG")</f>
        <v>0</v>
      </c>
      <c r="FJ107" s="55">
        <f>SUMIFS('Awards Summary'!$H:$H,'Awards Summary'!$B:$B,$C107,'Awards Summary'!$J:$J,"OMIG")</f>
        <v>0</v>
      </c>
      <c r="FK107" s="55">
        <f>SUMIFS('Disbursements Summary'!$E:$E,'Disbursements Summary'!$C:$C,$C107,'Disbursements Summary'!$A:$A,"OMIG")</f>
        <v>0</v>
      </c>
      <c r="FL107" s="55">
        <f>SUMIFS('Awards Summary'!$H:$H,'Awards Summary'!$B:$B,$C107,'Awards Summary'!$J:$J,"OSC")</f>
        <v>0</v>
      </c>
      <c r="FM107" s="55">
        <f>SUMIFS('Disbursements Summary'!$E:$E,'Disbursements Summary'!$C:$C,$C107,'Disbursements Summary'!$A:$A,"OSC")</f>
        <v>0</v>
      </c>
      <c r="FN107" s="55">
        <f>SUMIFS('Awards Summary'!$H:$H,'Awards Summary'!$B:$B,$C107,'Awards Summary'!$J:$J,"OWIG")</f>
        <v>0</v>
      </c>
      <c r="FO107" s="55">
        <f>SUMIFS('Disbursements Summary'!$E:$E,'Disbursements Summary'!$C:$C,$C107,'Disbursements Summary'!$A:$A,"OWIG")</f>
        <v>0</v>
      </c>
      <c r="FP107" s="55">
        <f>SUMIFS('Awards Summary'!$H:$H,'Awards Summary'!$B:$B,$C107,'Awards Summary'!$J:$J,"OGDEN")</f>
        <v>0</v>
      </c>
      <c r="FQ107" s="55">
        <f>SUMIFS('Disbursements Summary'!$E:$E,'Disbursements Summary'!$C:$C,$C107,'Disbursements Summary'!$A:$A,"OGDEN")</f>
        <v>0</v>
      </c>
      <c r="FR107" s="55">
        <f>SUMIFS('Awards Summary'!$H:$H,'Awards Summary'!$B:$B,$C107,'Awards Summary'!$J:$J,"ORDA")</f>
        <v>0</v>
      </c>
      <c r="FS107" s="55">
        <f>SUMIFS('Disbursements Summary'!$E:$E,'Disbursements Summary'!$C:$C,$C107,'Disbursements Summary'!$A:$A,"ORDA")</f>
        <v>0</v>
      </c>
      <c r="FT107" s="55">
        <f>SUMIFS('Awards Summary'!$H:$H,'Awards Summary'!$B:$B,$C107,'Awards Summary'!$J:$J,"OSWEGO")</f>
        <v>0</v>
      </c>
      <c r="FU107" s="55">
        <f>SUMIFS('Disbursements Summary'!$E:$E,'Disbursements Summary'!$C:$C,$C107,'Disbursements Summary'!$A:$A,"OSWEGO")</f>
        <v>0</v>
      </c>
      <c r="FV107" s="55">
        <f>SUMIFS('Awards Summary'!$H:$H,'Awards Summary'!$B:$B,$C107,'Awards Summary'!$J:$J,"PERB")</f>
        <v>0</v>
      </c>
      <c r="FW107" s="55">
        <f>SUMIFS('Disbursements Summary'!$E:$E,'Disbursements Summary'!$C:$C,$C107,'Disbursements Summary'!$A:$A,"PERB")</f>
        <v>0</v>
      </c>
      <c r="FX107" s="55">
        <f>SUMIFS('Awards Summary'!$H:$H,'Awards Summary'!$B:$B,$C107,'Awards Summary'!$J:$J,"RGRTA")</f>
        <v>0</v>
      </c>
      <c r="FY107" s="55">
        <f>SUMIFS('Disbursements Summary'!$E:$E,'Disbursements Summary'!$C:$C,$C107,'Disbursements Summary'!$A:$A,"RGRTA")</f>
        <v>0</v>
      </c>
      <c r="FZ107" s="55">
        <f>SUMIFS('Awards Summary'!$H:$H,'Awards Summary'!$B:$B,$C107,'Awards Summary'!$J:$J,"RIOC")</f>
        <v>0</v>
      </c>
      <c r="GA107" s="55">
        <f>SUMIFS('Disbursements Summary'!$E:$E,'Disbursements Summary'!$C:$C,$C107,'Disbursements Summary'!$A:$A,"RIOC")</f>
        <v>0</v>
      </c>
      <c r="GB107" s="55">
        <f>SUMIFS('Awards Summary'!$H:$H,'Awards Summary'!$B:$B,$C107,'Awards Summary'!$J:$J,"RPCI")</f>
        <v>0</v>
      </c>
      <c r="GC107" s="55">
        <f>SUMIFS('Disbursements Summary'!$E:$E,'Disbursements Summary'!$C:$C,$C107,'Disbursements Summary'!$A:$A,"RPCI")</f>
        <v>0</v>
      </c>
      <c r="GD107" s="55">
        <f>SUMIFS('Awards Summary'!$H:$H,'Awards Summary'!$B:$B,$C107,'Awards Summary'!$J:$J,"SMDA")</f>
        <v>0</v>
      </c>
      <c r="GE107" s="55">
        <f>SUMIFS('Disbursements Summary'!$E:$E,'Disbursements Summary'!$C:$C,$C107,'Disbursements Summary'!$A:$A,"SMDA")</f>
        <v>0</v>
      </c>
      <c r="GF107" s="55">
        <f>SUMIFS('Awards Summary'!$H:$H,'Awards Summary'!$B:$B,$C107,'Awards Summary'!$J:$J,"SCOC")</f>
        <v>0</v>
      </c>
      <c r="GG107" s="55">
        <f>SUMIFS('Disbursements Summary'!$E:$E,'Disbursements Summary'!$C:$C,$C107,'Disbursements Summary'!$A:$A,"SCOC")</f>
        <v>0</v>
      </c>
      <c r="GH107" s="55">
        <f>SUMIFS('Awards Summary'!$H:$H,'Awards Summary'!$B:$B,$C107,'Awards Summary'!$J:$J,"SUCF")</f>
        <v>0</v>
      </c>
      <c r="GI107" s="55">
        <f>SUMIFS('Disbursements Summary'!$E:$E,'Disbursements Summary'!$C:$C,$C107,'Disbursements Summary'!$A:$A,"SUCF")</f>
        <v>0</v>
      </c>
      <c r="GJ107" s="55">
        <f>SUMIFS('Awards Summary'!$H:$H,'Awards Summary'!$B:$B,$C107,'Awards Summary'!$J:$J,"SUNY")</f>
        <v>0</v>
      </c>
      <c r="GK107" s="55">
        <f>SUMIFS('Disbursements Summary'!$E:$E,'Disbursements Summary'!$C:$C,$C107,'Disbursements Summary'!$A:$A,"SUNY")</f>
        <v>0</v>
      </c>
      <c r="GL107" s="55">
        <f>SUMIFS('Awards Summary'!$H:$H,'Awards Summary'!$B:$B,$C107,'Awards Summary'!$J:$J,"SRAA")</f>
        <v>0</v>
      </c>
      <c r="GM107" s="55">
        <f>SUMIFS('Disbursements Summary'!$E:$E,'Disbursements Summary'!$C:$C,$C107,'Disbursements Summary'!$A:$A,"SRAA")</f>
        <v>0</v>
      </c>
      <c r="GN107" s="55">
        <f>SUMIFS('Awards Summary'!$H:$H,'Awards Summary'!$B:$B,$C107,'Awards Summary'!$J:$J,"UNDC")</f>
        <v>0</v>
      </c>
      <c r="GO107" s="55">
        <f>SUMIFS('Disbursements Summary'!$E:$E,'Disbursements Summary'!$C:$C,$C107,'Disbursements Summary'!$A:$A,"UNDC")</f>
        <v>0</v>
      </c>
      <c r="GP107" s="55">
        <f>SUMIFS('Awards Summary'!$H:$H,'Awards Summary'!$B:$B,$C107,'Awards Summary'!$J:$J,"MVWA")</f>
        <v>0</v>
      </c>
      <c r="GQ107" s="55">
        <f>SUMIFS('Disbursements Summary'!$E:$E,'Disbursements Summary'!$C:$C,$C107,'Disbursements Summary'!$A:$A,"MVWA")</f>
        <v>0</v>
      </c>
      <c r="GR107" s="55">
        <f>SUMIFS('Awards Summary'!$H:$H,'Awards Summary'!$B:$B,$C107,'Awards Summary'!$J:$J,"WMC")</f>
        <v>0</v>
      </c>
      <c r="GS107" s="55">
        <f>SUMIFS('Disbursements Summary'!$E:$E,'Disbursements Summary'!$C:$C,$C107,'Disbursements Summary'!$A:$A,"WMC")</f>
        <v>0</v>
      </c>
      <c r="GT107" s="55">
        <f>SUMIFS('Awards Summary'!$H:$H,'Awards Summary'!$B:$B,$C107,'Awards Summary'!$J:$J,"WCB")</f>
        <v>0</v>
      </c>
      <c r="GU107" s="55">
        <f>SUMIFS('Disbursements Summary'!$E:$E,'Disbursements Summary'!$C:$C,$C107,'Disbursements Summary'!$A:$A,"WCB")</f>
        <v>0</v>
      </c>
      <c r="GV107" s="32">
        <f t="shared" si="10"/>
        <v>0</v>
      </c>
      <c r="GW107" s="32">
        <f t="shared" si="11"/>
        <v>0</v>
      </c>
      <c r="GX107" s="30" t="b">
        <f t="shared" si="12"/>
        <v>1</v>
      </c>
      <c r="GY107" s="30" t="b">
        <f t="shared" si="13"/>
        <v>1</v>
      </c>
    </row>
    <row r="108" spans="1:207" s="30" customFormat="1">
      <c r="A108" s="22" t="str">
        <f t="shared" si="9"/>
        <v/>
      </c>
      <c r="B108" s="25" t="s">
        <v>247</v>
      </c>
      <c r="C108" s="16">
        <v>161252</v>
      </c>
      <c r="D108" s="26">
        <f>COUNTIF('Awards Summary'!B:B,"161252")</f>
        <v>0</v>
      </c>
      <c r="E108" s="45">
        <f>SUMIFS('Awards Summary'!H:H,'Awards Summary'!B:B,"161252")</f>
        <v>0</v>
      </c>
      <c r="F108" s="46">
        <f>SUMIFS('Disbursements Summary'!E:E,'Disbursements Summary'!C:C, "161252")</f>
        <v>0</v>
      </c>
      <c r="H108" s="55">
        <f>SUMIFS('Awards Summary'!$H:$H,'Awards Summary'!$B:$B,$C108,'Awards Summary'!$J:$J,"APA")</f>
        <v>0</v>
      </c>
      <c r="I108" s="55">
        <f>SUMIFS('Disbursements Summary'!$E:$E,'Disbursements Summary'!$C:$C,$C108,'Disbursements Summary'!$A:$A,"APA")</f>
        <v>0</v>
      </c>
      <c r="J108" s="55">
        <f>SUMIFS('Awards Summary'!$H:$H,'Awards Summary'!$B:$B,$C108,'Awards Summary'!$J:$J,"Ag&amp;Horse")</f>
        <v>0</v>
      </c>
      <c r="K108" s="55">
        <f>SUMIFS('Disbursements Summary'!$E:$E,'Disbursements Summary'!$C:$C,$C108,'Disbursements Summary'!$A:$A,"Ag&amp;Horse")</f>
        <v>0</v>
      </c>
      <c r="L108" s="55">
        <f>SUMIFS('Awards Summary'!$H:$H,'Awards Summary'!$B:$B,$C108,'Awards Summary'!$J:$J,"ACAA")</f>
        <v>0</v>
      </c>
      <c r="M108" s="55">
        <f>SUMIFS('Disbursements Summary'!$E:$E,'Disbursements Summary'!$C:$C,$C108,'Disbursements Summary'!$A:$A,"ACAA")</f>
        <v>0</v>
      </c>
      <c r="N108" s="55">
        <f>SUMIFS('Awards Summary'!$H:$H,'Awards Summary'!$B:$B,$C108,'Awards Summary'!$J:$J,"PortAlbany")</f>
        <v>0</v>
      </c>
      <c r="O108" s="55">
        <f>SUMIFS('Disbursements Summary'!$E:$E,'Disbursements Summary'!$C:$C,$C108,'Disbursements Summary'!$A:$A,"PortAlbany")</f>
        <v>0</v>
      </c>
      <c r="P108" s="55">
        <f>SUMIFS('Awards Summary'!$H:$H,'Awards Summary'!$B:$B,$C108,'Awards Summary'!$J:$J,"SLA")</f>
        <v>0</v>
      </c>
      <c r="Q108" s="55">
        <f>SUMIFS('Disbursements Summary'!$E:$E,'Disbursements Summary'!$C:$C,$C108,'Disbursements Summary'!$A:$A,"SLA")</f>
        <v>0</v>
      </c>
      <c r="R108" s="55">
        <f>SUMIFS('Awards Summary'!$H:$H,'Awards Summary'!$B:$B,$C108,'Awards Summary'!$J:$J,"BPCA")</f>
        <v>0</v>
      </c>
      <c r="S108" s="55">
        <f>SUMIFS('Disbursements Summary'!$E:$E,'Disbursements Summary'!$C:$C,$C108,'Disbursements Summary'!$A:$A,"BPCA")</f>
        <v>0</v>
      </c>
      <c r="T108" s="55">
        <f>SUMIFS('Awards Summary'!$H:$H,'Awards Summary'!$B:$B,$C108,'Awards Summary'!$J:$J,"ELECTIONS")</f>
        <v>0</v>
      </c>
      <c r="U108" s="55">
        <f>SUMIFS('Disbursements Summary'!$E:$E,'Disbursements Summary'!$C:$C,$C108,'Disbursements Summary'!$A:$A,"ELECTIONS")</f>
        <v>0</v>
      </c>
      <c r="V108" s="55">
        <f>SUMIFS('Awards Summary'!$H:$H,'Awards Summary'!$B:$B,$C108,'Awards Summary'!$J:$J,"BFSA")</f>
        <v>0</v>
      </c>
      <c r="W108" s="55">
        <f>SUMIFS('Disbursements Summary'!$E:$E,'Disbursements Summary'!$C:$C,$C108,'Disbursements Summary'!$A:$A,"BFSA")</f>
        <v>0</v>
      </c>
      <c r="X108" s="55">
        <f>SUMIFS('Awards Summary'!$H:$H,'Awards Summary'!$B:$B,$C108,'Awards Summary'!$J:$J,"CDTA")</f>
        <v>0</v>
      </c>
      <c r="Y108" s="55">
        <f>SUMIFS('Disbursements Summary'!$E:$E,'Disbursements Summary'!$C:$C,$C108,'Disbursements Summary'!$A:$A,"CDTA")</f>
        <v>0</v>
      </c>
      <c r="Z108" s="55">
        <f>SUMIFS('Awards Summary'!$H:$H,'Awards Summary'!$B:$B,$C108,'Awards Summary'!$J:$J,"CCWSA")</f>
        <v>0</v>
      </c>
      <c r="AA108" s="55">
        <f>SUMIFS('Disbursements Summary'!$E:$E,'Disbursements Summary'!$C:$C,$C108,'Disbursements Summary'!$A:$A,"CCWSA")</f>
        <v>0</v>
      </c>
      <c r="AB108" s="55">
        <f>SUMIFS('Awards Summary'!$H:$H,'Awards Summary'!$B:$B,$C108,'Awards Summary'!$J:$J,"CNYRTA")</f>
        <v>0</v>
      </c>
      <c r="AC108" s="55">
        <f>SUMIFS('Disbursements Summary'!$E:$E,'Disbursements Summary'!$C:$C,$C108,'Disbursements Summary'!$A:$A,"CNYRTA")</f>
        <v>0</v>
      </c>
      <c r="AD108" s="55">
        <f>SUMIFS('Awards Summary'!$H:$H,'Awards Summary'!$B:$B,$C108,'Awards Summary'!$J:$J,"CUCF")</f>
        <v>0</v>
      </c>
      <c r="AE108" s="55">
        <f>SUMIFS('Disbursements Summary'!$E:$E,'Disbursements Summary'!$C:$C,$C108,'Disbursements Summary'!$A:$A,"CUCF")</f>
        <v>0</v>
      </c>
      <c r="AF108" s="55">
        <f>SUMIFS('Awards Summary'!$H:$H,'Awards Summary'!$B:$B,$C108,'Awards Summary'!$J:$J,"CUNY")</f>
        <v>0</v>
      </c>
      <c r="AG108" s="55">
        <f>SUMIFS('Disbursements Summary'!$E:$E,'Disbursements Summary'!$C:$C,$C108,'Disbursements Summary'!$A:$A,"CUNY")</f>
        <v>0</v>
      </c>
      <c r="AH108" s="55">
        <f>SUMIFS('Awards Summary'!$H:$H,'Awards Summary'!$B:$B,$C108,'Awards Summary'!$J:$J,"ARTS")</f>
        <v>0</v>
      </c>
      <c r="AI108" s="55">
        <f>SUMIFS('Disbursements Summary'!$E:$E,'Disbursements Summary'!$C:$C,$C108,'Disbursements Summary'!$A:$A,"ARTS")</f>
        <v>0</v>
      </c>
      <c r="AJ108" s="55">
        <f>SUMIFS('Awards Summary'!$H:$H,'Awards Summary'!$B:$B,$C108,'Awards Summary'!$J:$J,"AG&amp;MKTS")</f>
        <v>0</v>
      </c>
      <c r="AK108" s="55">
        <f>SUMIFS('Disbursements Summary'!$E:$E,'Disbursements Summary'!$C:$C,$C108,'Disbursements Summary'!$A:$A,"AG&amp;MKTS")</f>
        <v>0</v>
      </c>
      <c r="AL108" s="55">
        <f>SUMIFS('Awards Summary'!$H:$H,'Awards Summary'!$B:$B,$C108,'Awards Summary'!$J:$J,"CS")</f>
        <v>0</v>
      </c>
      <c r="AM108" s="55">
        <f>SUMIFS('Disbursements Summary'!$E:$E,'Disbursements Summary'!$C:$C,$C108,'Disbursements Summary'!$A:$A,"CS")</f>
        <v>0</v>
      </c>
      <c r="AN108" s="55">
        <f>SUMIFS('Awards Summary'!$H:$H,'Awards Summary'!$B:$B,$C108,'Awards Summary'!$J:$J,"DOCCS")</f>
        <v>0</v>
      </c>
      <c r="AO108" s="55">
        <f>SUMIFS('Disbursements Summary'!$E:$E,'Disbursements Summary'!$C:$C,$C108,'Disbursements Summary'!$A:$A,"DOCCS")</f>
        <v>0</v>
      </c>
      <c r="AP108" s="55">
        <f>SUMIFS('Awards Summary'!$H:$H,'Awards Summary'!$B:$B,$C108,'Awards Summary'!$J:$J,"DED")</f>
        <v>0</v>
      </c>
      <c r="AQ108" s="55">
        <f>SUMIFS('Disbursements Summary'!$E:$E,'Disbursements Summary'!$C:$C,$C108,'Disbursements Summary'!$A:$A,"DED")</f>
        <v>0</v>
      </c>
      <c r="AR108" s="55">
        <f>SUMIFS('Awards Summary'!$H:$H,'Awards Summary'!$B:$B,$C108,'Awards Summary'!$J:$J,"DEC")</f>
        <v>0</v>
      </c>
      <c r="AS108" s="55">
        <f>SUMIFS('Disbursements Summary'!$E:$E,'Disbursements Summary'!$C:$C,$C108,'Disbursements Summary'!$A:$A,"DEC")</f>
        <v>0</v>
      </c>
      <c r="AT108" s="55">
        <f>SUMIFS('Awards Summary'!$H:$H,'Awards Summary'!$B:$B,$C108,'Awards Summary'!$J:$J,"DFS")</f>
        <v>0</v>
      </c>
      <c r="AU108" s="55">
        <f>SUMIFS('Disbursements Summary'!$E:$E,'Disbursements Summary'!$C:$C,$C108,'Disbursements Summary'!$A:$A,"DFS")</f>
        <v>0</v>
      </c>
      <c r="AV108" s="55">
        <f>SUMIFS('Awards Summary'!$H:$H,'Awards Summary'!$B:$B,$C108,'Awards Summary'!$J:$J,"DOH")</f>
        <v>0</v>
      </c>
      <c r="AW108" s="55">
        <f>SUMIFS('Disbursements Summary'!$E:$E,'Disbursements Summary'!$C:$C,$C108,'Disbursements Summary'!$A:$A,"DOH")</f>
        <v>0</v>
      </c>
      <c r="AX108" s="55">
        <f>SUMIFS('Awards Summary'!$H:$H,'Awards Summary'!$B:$B,$C108,'Awards Summary'!$J:$J,"DOL")</f>
        <v>0</v>
      </c>
      <c r="AY108" s="55">
        <f>SUMIFS('Disbursements Summary'!$E:$E,'Disbursements Summary'!$C:$C,$C108,'Disbursements Summary'!$A:$A,"DOL")</f>
        <v>0</v>
      </c>
      <c r="AZ108" s="55">
        <f>SUMIFS('Awards Summary'!$H:$H,'Awards Summary'!$B:$B,$C108,'Awards Summary'!$J:$J,"DMV")</f>
        <v>0</v>
      </c>
      <c r="BA108" s="55">
        <f>SUMIFS('Disbursements Summary'!$E:$E,'Disbursements Summary'!$C:$C,$C108,'Disbursements Summary'!$A:$A,"DMV")</f>
        <v>0</v>
      </c>
      <c r="BB108" s="55">
        <f>SUMIFS('Awards Summary'!$H:$H,'Awards Summary'!$B:$B,$C108,'Awards Summary'!$J:$J,"DPS")</f>
        <v>0</v>
      </c>
      <c r="BC108" s="55">
        <f>SUMIFS('Disbursements Summary'!$E:$E,'Disbursements Summary'!$C:$C,$C108,'Disbursements Summary'!$A:$A,"DPS")</f>
        <v>0</v>
      </c>
      <c r="BD108" s="55">
        <f>SUMIFS('Awards Summary'!$H:$H,'Awards Summary'!$B:$B,$C108,'Awards Summary'!$J:$J,"DOS")</f>
        <v>0</v>
      </c>
      <c r="BE108" s="55">
        <f>SUMIFS('Disbursements Summary'!$E:$E,'Disbursements Summary'!$C:$C,$C108,'Disbursements Summary'!$A:$A,"DOS")</f>
        <v>0</v>
      </c>
      <c r="BF108" s="55">
        <f>SUMIFS('Awards Summary'!$H:$H,'Awards Summary'!$B:$B,$C108,'Awards Summary'!$J:$J,"TAX")</f>
        <v>0</v>
      </c>
      <c r="BG108" s="55">
        <f>SUMIFS('Disbursements Summary'!$E:$E,'Disbursements Summary'!$C:$C,$C108,'Disbursements Summary'!$A:$A,"TAX")</f>
        <v>0</v>
      </c>
      <c r="BH108" s="55">
        <f>SUMIFS('Awards Summary'!$H:$H,'Awards Summary'!$B:$B,$C108,'Awards Summary'!$J:$J,"DOT")</f>
        <v>0</v>
      </c>
      <c r="BI108" s="55">
        <f>SUMIFS('Disbursements Summary'!$E:$E,'Disbursements Summary'!$C:$C,$C108,'Disbursements Summary'!$A:$A,"DOT")</f>
        <v>0</v>
      </c>
      <c r="BJ108" s="55">
        <f>SUMIFS('Awards Summary'!$H:$H,'Awards Summary'!$B:$B,$C108,'Awards Summary'!$J:$J,"DANC")</f>
        <v>0</v>
      </c>
      <c r="BK108" s="55">
        <f>SUMIFS('Disbursements Summary'!$E:$E,'Disbursements Summary'!$C:$C,$C108,'Disbursements Summary'!$A:$A,"DANC")</f>
        <v>0</v>
      </c>
      <c r="BL108" s="55">
        <f>SUMIFS('Awards Summary'!$H:$H,'Awards Summary'!$B:$B,$C108,'Awards Summary'!$J:$J,"DOB")</f>
        <v>0</v>
      </c>
      <c r="BM108" s="55">
        <f>SUMIFS('Disbursements Summary'!$E:$E,'Disbursements Summary'!$C:$C,$C108,'Disbursements Summary'!$A:$A,"DOB")</f>
        <v>0</v>
      </c>
      <c r="BN108" s="55">
        <f>SUMIFS('Awards Summary'!$H:$H,'Awards Summary'!$B:$B,$C108,'Awards Summary'!$J:$J,"DCJS")</f>
        <v>0</v>
      </c>
      <c r="BO108" s="55">
        <f>SUMIFS('Disbursements Summary'!$E:$E,'Disbursements Summary'!$C:$C,$C108,'Disbursements Summary'!$A:$A,"DCJS")</f>
        <v>0</v>
      </c>
      <c r="BP108" s="55">
        <f>SUMIFS('Awards Summary'!$H:$H,'Awards Summary'!$B:$B,$C108,'Awards Summary'!$J:$J,"DHSES")</f>
        <v>0</v>
      </c>
      <c r="BQ108" s="55">
        <f>SUMIFS('Disbursements Summary'!$E:$E,'Disbursements Summary'!$C:$C,$C108,'Disbursements Summary'!$A:$A,"DHSES")</f>
        <v>0</v>
      </c>
      <c r="BR108" s="55">
        <f>SUMIFS('Awards Summary'!$H:$H,'Awards Summary'!$B:$B,$C108,'Awards Summary'!$J:$J,"DHR")</f>
        <v>0</v>
      </c>
      <c r="BS108" s="55">
        <f>SUMIFS('Disbursements Summary'!$E:$E,'Disbursements Summary'!$C:$C,$C108,'Disbursements Summary'!$A:$A,"DHR")</f>
        <v>0</v>
      </c>
      <c r="BT108" s="55">
        <f>SUMIFS('Awards Summary'!$H:$H,'Awards Summary'!$B:$B,$C108,'Awards Summary'!$J:$J,"DMNA")</f>
        <v>0</v>
      </c>
      <c r="BU108" s="55">
        <f>SUMIFS('Disbursements Summary'!$E:$E,'Disbursements Summary'!$C:$C,$C108,'Disbursements Summary'!$A:$A,"DMNA")</f>
        <v>0</v>
      </c>
      <c r="BV108" s="55">
        <f>SUMIFS('Awards Summary'!$H:$H,'Awards Summary'!$B:$B,$C108,'Awards Summary'!$J:$J,"TROOPERS")</f>
        <v>0</v>
      </c>
      <c r="BW108" s="55">
        <f>SUMIFS('Disbursements Summary'!$E:$E,'Disbursements Summary'!$C:$C,$C108,'Disbursements Summary'!$A:$A,"TROOPERS")</f>
        <v>0</v>
      </c>
      <c r="BX108" s="55">
        <f>SUMIFS('Awards Summary'!$H:$H,'Awards Summary'!$B:$B,$C108,'Awards Summary'!$J:$J,"DVA")</f>
        <v>0</v>
      </c>
      <c r="BY108" s="55">
        <f>SUMIFS('Disbursements Summary'!$E:$E,'Disbursements Summary'!$C:$C,$C108,'Disbursements Summary'!$A:$A,"DVA")</f>
        <v>0</v>
      </c>
      <c r="BZ108" s="55">
        <f>SUMIFS('Awards Summary'!$H:$H,'Awards Summary'!$B:$B,$C108,'Awards Summary'!$J:$J,"DASNY")</f>
        <v>0</v>
      </c>
      <c r="CA108" s="55">
        <f>SUMIFS('Disbursements Summary'!$E:$E,'Disbursements Summary'!$C:$C,$C108,'Disbursements Summary'!$A:$A,"DASNY")</f>
        <v>0</v>
      </c>
      <c r="CB108" s="55">
        <f>SUMIFS('Awards Summary'!$H:$H,'Awards Summary'!$B:$B,$C108,'Awards Summary'!$J:$J,"EGG")</f>
        <v>0</v>
      </c>
      <c r="CC108" s="55">
        <f>SUMIFS('Disbursements Summary'!$E:$E,'Disbursements Summary'!$C:$C,$C108,'Disbursements Summary'!$A:$A,"EGG")</f>
        <v>0</v>
      </c>
      <c r="CD108" s="55">
        <f>SUMIFS('Awards Summary'!$H:$H,'Awards Summary'!$B:$B,$C108,'Awards Summary'!$J:$J,"ESD")</f>
        <v>0</v>
      </c>
      <c r="CE108" s="55">
        <f>SUMIFS('Disbursements Summary'!$E:$E,'Disbursements Summary'!$C:$C,$C108,'Disbursements Summary'!$A:$A,"ESD")</f>
        <v>0</v>
      </c>
      <c r="CF108" s="55">
        <f>SUMIFS('Awards Summary'!$H:$H,'Awards Summary'!$B:$B,$C108,'Awards Summary'!$J:$J,"EFC")</f>
        <v>0</v>
      </c>
      <c r="CG108" s="55">
        <f>SUMIFS('Disbursements Summary'!$E:$E,'Disbursements Summary'!$C:$C,$C108,'Disbursements Summary'!$A:$A,"EFC")</f>
        <v>0</v>
      </c>
      <c r="CH108" s="55">
        <f>SUMIFS('Awards Summary'!$H:$H,'Awards Summary'!$B:$B,$C108,'Awards Summary'!$J:$J,"ECFSA")</f>
        <v>0</v>
      </c>
      <c r="CI108" s="55">
        <f>SUMIFS('Disbursements Summary'!$E:$E,'Disbursements Summary'!$C:$C,$C108,'Disbursements Summary'!$A:$A,"ECFSA")</f>
        <v>0</v>
      </c>
      <c r="CJ108" s="55">
        <f>SUMIFS('Awards Summary'!$H:$H,'Awards Summary'!$B:$B,$C108,'Awards Summary'!$J:$J,"ECMC")</f>
        <v>0</v>
      </c>
      <c r="CK108" s="55">
        <f>SUMIFS('Disbursements Summary'!$E:$E,'Disbursements Summary'!$C:$C,$C108,'Disbursements Summary'!$A:$A,"ECMC")</f>
        <v>0</v>
      </c>
      <c r="CL108" s="55">
        <f>SUMIFS('Awards Summary'!$H:$H,'Awards Summary'!$B:$B,$C108,'Awards Summary'!$J:$J,"CHAMBER")</f>
        <v>0</v>
      </c>
      <c r="CM108" s="55">
        <f>SUMIFS('Disbursements Summary'!$E:$E,'Disbursements Summary'!$C:$C,$C108,'Disbursements Summary'!$A:$A,"CHAMBER")</f>
        <v>0</v>
      </c>
      <c r="CN108" s="55">
        <f>SUMIFS('Awards Summary'!$H:$H,'Awards Summary'!$B:$B,$C108,'Awards Summary'!$J:$J,"GAMING")</f>
        <v>0</v>
      </c>
      <c r="CO108" s="55">
        <f>SUMIFS('Disbursements Summary'!$E:$E,'Disbursements Summary'!$C:$C,$C108,'Disbursements Summary'!$A:$A,"GAMING")</f>
        <v>0</v>
      </c>
      <c r="CP108" s="55">
        <f>SUMIFS('Awards Summary'!$H:$H,'Awards Summary'!$B:$B,$C108,'Awards Summary'!$J:$J,"GOER")</f>
        <v>0</v>
      </c>
      <c r="CQ108" s="55">
        <f>SUMIFS('Disbursements Summary'!$E:$E,'Disbursements Summary'!$C:$C,$C108,'Disbursements Summary'!$A:$A,"GOER")</f>
        <v>0</v>
      </c>
      <c r="CR108" s="55">
        <f>SUMIFS('Awards Summary'!$H:$H,'Awards Summary'!$B:$B,$C108,'Awards Summary'!$J:$J,"HESC")</f>
        <v>0</v>
      </c>
      <c r="CS108" s="55">
        <f>SUMIFS('Disbursements Summary'!$E:$E,'Disbursements Summary'!$C:$C,$C108,'Disbursements Summary'!$A:$A,"HESC")</f>
        <v>0</v>
      </c>
      <c r="CT108" s="55">
        <f>SUMIFS('Awards Summary'!$H:$H,'Awards Summary'!$B:$B,$C108,'Awards Summary'!$J:$J,"GOSR")</f>
        <v>0</v>
      </c>
      <c r="CU108" s="55">
        <f>SUMIFS('Disbursements Summary'!$E:$E,'Disbursements Summary'!$C:$C,$C108,'Disbursements Summary'!$A:$A,"GOSR")</f>
        <v>0</v>
      </c>
      <c r="CV108" s="55">
        <f>SUMIFS('Awards Summary'!$H:$H,'Awards Summary'!$B:$B,$C108,'Awards Summary'!$J:$J,"HRPT")</f>
        <v>0</v>
      </c>
      <c r="CW108" s="55">
        <f>SUMIFS('Disbursements Summary'!$E:$E,'Disbursements Summary'!$C:$C,$C108,'Disbursements Summary'!$A:$A,"HRPT")</f>
        <v>0</v>
      </c>
      <c r="CX108" s="55">
        <f>SUMIFS('Awards Summary'!$H:$H,'Awards Summary'!$B:$B,$C108,'Awards Summary'!$J:$J,"HRBRRD")</f>
        <v>0</v>
      </c>
      <c r="CY108" s="55">
        <f>SUMIFS('Disbursements Summary'!$E:$E,'Disbursements Summary'!$C:$C,$C108,'Disbursements Summary'!$A:$A,"HRBRRD")</f>
        <v>0</v>
      </c>
      <c r="CZ108" s="55">
        <f>SUMIFS('Awards Summary'!$H:$H,'Awards Summary'!$B:$B,$C108,'Awards Summary'!$J:$J,"ITS")</f>
        <v>0</v>
      </c>
      <c r="DA108" s="55">
        <f>SUMIFS('Disbursements Summary'!$E:$E,'Disbursements Summary'!$C:$C,$C108,'Disbursements Summary'!$A:$A,"ITS")</f>
        <v>0</v>
      </c>
      <c r="DB108" s="55">
        <f>SUMIFS('Awards Summary'!$H:$H,'Awards Summary'!$B:$B,$C108,'Awards Summary'!$J:$J,"JAVITS")</f>
        <v>0</v>
      </c>
      <c r="DC108" s="55">
        <f>SUMIFS('Disbursements Summary'!$E:$E,'Disbursements Summary'!$C:$C,$C108,'Disbursements Summary'!$A:$A,"JAVITS")</f>
        <v>0</v>
      </c>
      <c r="DD108" s="55">
        <f>SUMIFS('Awards Summary'!$H:$H,'Awards Summary'!$B:$B,$C108,'Awards Summary'!$J:$J,"JCOPE")</f>
        <v>0</v>
      </c>
      <c r="DE108" s="55">
        <f>SUMIFS('Disbursements Summary'!$E:$E,'Disbursements Summary'!$C:$C,$C108,'Disbursements Summary'!$A:$A,"JCOPE")</f>
        <v>0</v>
      </c>
      <c r="DF108" s="55">
        <f>SUMIFS('Awards Summary'!$H:$H,'Awards Summary'!$B:$B,$C108,'Awards Summary'!$J:$J,"JUSTICE")</f>
        <v>0</v>
      </c>
      <c r="DG108" s="55">
        <f>SUMIFS('Disbursements Summary'!$E:$E,'Disbursements Summary'!$C:$C,$C108,'Disbursements Summary'!$A:$A,"JUSTICE")</f>
        <v>0</v>
      </c>
      <c r="DH108" s="55">
        <f>SUMIFS('Awards Summary'!$H:$H,'Awards Summary'!$B:$B,$C108,'Awards Summary'!$J:$J,"LCWSA")</f>
        <v>0</v>
      </c>
      <c r="DI108" s="55">
        <f>SUMIFS('Disbursements Summary'!$E:$E,'Disbursements Summary'!$C:$C,$C108,'Disbursements Summary'!$A:$A,"LCWSA")</f>
        <v>0</v>
      </c>
      <c r="DJ108" s="55">
        <f>SUMIFS('Awards Summary'!$H:$H,'Awards Summary'!$B:$B,$C108,'Awards Summary'!$J:$J,"LIPA")</f>
        <v>0</v>
      </c>
      <c r="DK108" s="55">
        <f>SUMIFS('Disbursements Summary'!$E:$E,'Disbursements Summary'!$C:$C,$C108,'Disbursements Summary'!$A:$A,"LIPA")</f>
        <v>0</v>
      </c>
      <c r="DL108" s="55">
        <f>SUMIFS('Awards Summary'!$H:$H,'Awards Summary'!$B:$B,$C108,'Awards Summary'!$J:$J,"MTA")</f>
        <v>0</v>
      </c>
      <c r="DM108" s="55">
        <f>SUMIFS('Disbursements Summary'!$E:$E,'Disbursements Summary'!$C:$C,$C108,'Disbursements Summary'!$A:$A,"MTA")</f>
        <v>0</v>
      </c>
      <c r="DN108" s="55">
        <f>SUMIFS('Awards Summary'!$H:$H,'Awards Summary'!$B:$B,$C108,'Awards Summary'!$J:$J,"NIFA")</f>
        <v>0</v>
      </c>
      <c r="DO108" s="55">
        <f>SUMIFS('Disbursements Summary'!$E:$E,'Disbursements Summary'!$C:$C,$C108,'Disbursements Summary'!$A:$A,"NIFA")</f>
        <v>0</v>
      </c>
      <c r="DP108" s="55">
        <f>SUMIFS('Awards Summary'!$H:$H,'Awards Summary'!$B:$B,$C108,'Awards Summary'!$J:$J,"NHCC")</f>
        <v>0</v>
      </c>
      <c r="DQ108" s="55">
        <f>SUMIFS('Disbursements Summary'!$E:$E,'Disbursements Summary'!$C:$C,$C108,'Disbursements Summary'!$A:$A,"NHCC")</f>
        <v>0</v>
      </c>
      <c r="DR108" s="55">
        <f>SUMIFS('Awards Summary'!$H:$H,'Awards Summary'!$B:$B,$C108,'Awards Summary'!$J:$J,"NHT")</f>
        <v>0</v>
      </c>
      <c r="DS108" s="55">
        <f>SUMIFS('Disbursements Summary'!$E:$E,'Disbursements Summary'!$C:$C,$C108,'Disbursements Summary'!$A:$A,"NHT")</f>
        <v>0</v>
      </c>
      <c r="DT108" s="55">
        <f>SUMIFS('Awards Summary'!$H:$H,'Awards Summary'!$B:$B,$C108,'Awards Summary'!$J:$J,"NYPA")</f>
        <v>0</v>
      </c>
      <c r="DU108" s="55">
        <f>SUMIFS('Disbursements Summary'!$E:$E,'Disbursements Summary'!$C:$C,$C108,'Disbursements Summary'!$A:$A,"NYPA")</f>
        <v>0</v>
      </c>
      <c r="DV108" s="55">
        <f>SUMIFS('Awards Summary'!$H:$H,'Awards Summary'!$B:$B,$C108,'Awards Summary'!$J:$J,"NYSBA")</f>
        <v>0</v>
      </c>
      <c r="DW108" s="55">
        <f>SUMIFS('Disbursements Summary'!$E:$E,'Disbursements Summary'!$C:$C,$C108,'Disbursements Summary'!$A:$A,"NYSBA")</f>
        <v>0</v>
      </c>
      <c r="DX108" s="55">
        <f>SUMIFS('Awards Summary'!$H:$H,'Awards Summary'!$B:$B,$C108,'Awards Summary'!$J:$J,"NYSERDA")</f>
        <v>0</v>
      </c>
      <c r="DY108" s="55">
        <f>SUMIFS('Disbursements Summary'!$E:$E,'Disbursements Summary'!$C:$C,$C108,'Disbursements Summary'!$A:$A,"NYSERDA")</f>
        <v>0</v>
      </c>
      <c r="DZ108" s="55">
        <f>SUMIFS('Awards Summary'!$H:$H,'Awards Summary'!$B:$B,$C108,'Awards Summary'!$J:$J,"DHCR")</f>
        <v>0</v>
      </c>
      <c r="EA108" s="55">
        <f>SUMIFS('Disbursements Summary'!$E:$E,'Disbursements Summary'!$C:$C,$C108,'Disbursements Summary'!$A:$A,"DHCR")</f>
        <v>0</v>
      </c>
      <c r="EB108" s="55">
        <f>SUMIFS('Awards Summary'!$H:$H,'Awards Summary'!$B:$B,$C108,'Awards Summary'!$J:$J,"HFA")</f>
        <v>0</v>
      </c>
      <c r="EC108" s="55">
        <f>SUMIFS('Disbursements Summary'!$E:$E,'Disbursements Summary'!$C:$C,$C108,'Disbursements Summary'!$A:$A,"HFA")</f>
        <v>0</v>
      </c>
      <c r="ED108" s="55">
        <f>SUMIFS('Awards Summary'!$H:$H,'Awards Summary'!$B:$B,$C108,'Awards Summary'!$J:$J,"NYSIF")</f>
        <v>0</v>
      </c>
      <c r="EE108" s="55">
        <f>SUMIFS('Disbursements Summary'!$E:$E,'Disbursements Summary'!$C:$C,$C108,'Disbursements Summary'!$A:$A,"NYSIF")</f>
        <v>0</v>
      </c>
      <c r="EF108" s="55">
        <f>SUMIFS('Awards Summary'!$H:$H,'Awards Summary'!$B:$B,$C108,'Awards Summary'!$J:$J,"NYBREDS")</f>
        <v>0</v>
      </c>
      <c r="EG108" s="55">
        <f>SUMIFS('Disbursements Summary'!$E:$E,'Disbursements Summary'!$C:$C,$C108,'Disbursements Summary'!$A:$A,"NYBREDS")</f>
        <v>0</v>
      </c>
      <c r="EH108" s="55">
        <f>SUMIFS('Awards Summary'!$H:$H,'Awards Summary'!$B:$B,$C108,'Awards Summary'!$J:$J,"NYSTA")</f>
        <v>0</v>
      </c>
      <c r="EI108" s="55">
        <f>SUMIFS('Disbursements Summary'!$E:$E,'Disbursements Summary'!$C:$C,$C108,'Disbursements Summary'!$A:$A,"NYSTA")</f>
        <v>0</v>
      </c>
      <c r="EJ108" s="55">
        <f>SUMIFS('Awards Summary'!$H:$H,'Awards Summary'!$B:$B,$C108,'Awards Summary'!$J:$J,"NFWB")</f>
        <v>0</v>
      </c>
      <c r="EK108" s="55">
        <f>SUMIFS('Disbursements Summary'!$E:$E,'Disbursements Summary'!$C:$C,$C108,'Disbursements Summary'!$A:$A,"NFWB")</f>
        <v>0</v>
      </c>
      <c r="EL108" s="55">
        <f>SUMIFS('Awards Summary'!$H:$H,'Awards Summary'!$B:$B,$C108,'Awards Summary'!$J:$J,"NFTA")</f>
        <v>0</v>
      </c>
      <c r="EM108" s="55">
        <f>SUMIFS('Disbursements Summary'!$E:$E,'Disbursements Summary'!$C:$C,$C108,'Disbursements Summary'!$A:$A,"NFTA")</f>
        <v>0</v>
      </c>
      <c r="EN108" s="55">
        <f>SUMIFS('Awards Summary'!$H:$H,'Awards Summary'!$B:$B,$C108,'Awards Summary'!$J:$J,"OPWDD")</f>
        <v>0</v>
      </c>
      <c r="EO108" s="55">
        <f>SUMIFS('Disbursements Summary'!$E:$E,'Disbursements Summary'!$C:$C,$C108,'Disbursements Summary'!$A:$A,"OPWDD")</f>
        <v>0</v>
      </c>
      <c r="EP108" s="55">
        <f>SUMIFS('Awards Summary'!$H:$H,'Awards Summary'!$B:$B,$C108,'Awards Summary'!$J:$J,"AGING")</f>
        <v>0</v>
      </c>
      <c r="EQ108" s="55">
        <f>SUMIFS('Disbursements Summary'!$E:$E,'Disbursements Summary'!$C:$C,$C108,'Disbursements Summary'!$A:$A,"AGING")</f>
        <v>0</v>
      </c>
      <c r="ER108" s="55">
        <f>SUMIFS('Awards Summary'!$H:$H,'Awards Summary'!$B:$B,$C108,'Awards Summary'!$J:$J,"OPDV")</f>
        <v>0</v>
      </c>
      <c r="ES108" s="55">
        <f>SUMIFS('Disbursements Summary'!$E:$E,'Disbursements Summary'!$C:$C,$C108,'Disbursements Summary'!$A:$A,"OPDV")</f>
        <v>0</v>
      </c>
      <c r="ET108" s="55">
        <f>SUMIFS('Awards Summary'!$H:$H,'Awards Summary'!$B:$B,$C108,'Awards Summary'!$J:$J,"OVS")</f>
        <v>0</v>
      </c>
      <c r="EU108" s="55">
        <f>SUMIFS('Disbursements Summary'!$E:$E,'Disbursements Summary'!$C:$C,$C108,'Disbursements Summary'!$A:$A,"OVS")</f>
        <v>0</v>
      </c>
      <c r="EV108" s="55">
        <f>SUMIFS('Awards Summary'!$H:$H,'Awards Summary'!$B:$B,$C108,'Awards Summary'!$J:$J,"OASAS")</f>
        <v>0</v>
      </c>
      <c r="EW108" s="55">
        <f>SUMIFS('Disbursements Summary'!$E:$E,'Disbursements Summary'!$C:$C,$C108,'Disbursements Summary'!$A:$A,"OASAS")</f>
        <v>0</v>
      </c>
      <c r="EX108" s="55">
        <f>SUMIFS('Awards Summary'!$H:$H,'Awards Summary'!$B:$B,$C108,'Awards Summary'!$J:$J,"OCFS")</f>
        <v>0</v>
      </c>
      <c r="EY108" s="55">
        <f>SUMIFS('Disbursements Summary'!$E:$E,'Disbursements Summary'!$C:$C,$C108,'Disbursements Summary'!$A:$A,"OCFS")</f>
        <v>0</v>
      </c>
      <c r="EZ108" s="55">
        <f>SUMIFS('Awards Summary'!$H:$H,'Awards Summary'!$B:$B,$C108,'Awards Summary'!$J:$J,"OGS")</f>
        <v>0</v>
      </c>
      <c r="FA108" s="55">
        <f>SUMIFS('Disbursements Summary'!$E:$E,'Disbursements Summary'!$C:$C,$C108,'Disbursements Summary'!$A:$A,"OGS")</f>
        <v>0</v>
      </c>
      <c r="FB108" s="55">
        <f>SUMIFS('Awards Summary'!$H:$H,'Awards Summary'!$B:$B,$C108,'Awards Summary'!$J:$J,"OMH")</f>
        <v>0</v>
      </c>
      <c r="FC108" s="55">
        <f>SUMIFS('Disbursements Summary'!$E:$E,'Disbursements Summary'!$C:$C,$C108,'Disbursements Summary'!$A:$A,"OMH")</f>
        <v>0</v>
      </c>
      <c r="FD108" s="55">
        <f>SUMIFS('Awards Summary'!$H:$H,'Awards Summary'!$B:$B,$C108,'Awards Summary'!$J:$J,"PARKS")</f>
        <v>0</v>
      </c>
      <c r="FE108" s="55">
        <f>SUMIFS('Disbursements Summary'!$E:$E,'Disbursements Summary'!$C:$C,$C108,'Disbursements Summary'!$A:$A,"PARKS")</f>
        <v>0</v>
      </c>
      <c r="FF108" s="55">
        <f>SUMIFS('Awards Summary'!$H:$H,'Awards Summary'!$B:$B,$C108,'Awards Summary'!$J:$J,"OTDA")</f>
        <v>0</v>
      </c>
      <c r="FG108" s="55">
        <f>SUMIFS('Disbursements Summary'!$E:$E,'Disbursements Summary'!$C:$C,$C108,'Disbursements Summary'!$A:$A,"OTDA")</f>
        <v>0</v>
      </c>
      <c r="FH108" s="55">
        <f>SUMIFS('Awards Summary'!$H:$H,'Awards Summary'!$B:$B,$C108,'Awards Summary'!$J:$J,"OIG")</f>
        <v>0</v>
      </c>
      <c r="FI108" s="55">
        <f>SUMIFS('Disbursements Summary'!$E:$E,'Disbursements Summary'!$C:$C,$C108,'Disbursements Summary'!$A:$A,"OIG")</f>
        <v>0</v>
      </c>
      <c r="FJ108" s="55">
        <f>SUMIFS('Awards Summary'!$H:$H,'Awards Summary'!$B:$B,$C108,'Awards Summary'!$J:$J,"OMIG")</f>
        <v>0</v>
      </c>
      <c r="FK108" s="55">
        <f>SUMIFS('Disbursements Summary'!$E:$E,'Disbursements Summary'!$C:$C,$C108,'Disbursements Summary'!$A:$A,"OMIG")</f>
        <v>0</v>
      </c>
      <c r="FL108" s="55">
        <f>SUMIFS('Awards Summary'!$H:$H,'Awards Summary'!$B:$B,$C108,'Awards Summary'!$J:$J,"OSC")</f>
        <v>0</v>
      </c>
      <c r="FM108" s="55">
        <f>SUMIFS('Disbursements Summary'!$E:$E,'Disbursements Summary'!$C:$C,$C108,'Disbursements Summary'!$A:$A,"OSC")</f>
        <v>0</v>
      </c>
      <c r="FN108" s="55">
        <f>SUMIFS('Awards Summary'!$H:$H,'Awards Summary'!$B:$B,$C108,'Awards Summary'!$J:$J,"OWIG")</f>
        <v>0</v>
      </c>
      <c r="FO108" s="55">
        <f>SUMIFS('Disbursements Summary'!$E:$E,'Disbursements Summary'!$C:$C,$C108,'Disbursements Summary'!$A:$A,"OWIG")</f>
        <v>0</v>
      </c>
      <c r="FP108" s="55">
        <f>SUMIFS('Awards Summary'!$H:$H,'Awards Summary'!$B:$B,$C108,'Awards Summary'!$J:$J,"OGDEN")</f>
        <v>0</v>
      </c>
      <c r="FQ108" s="55">
        <f>SUMIFS('Disbursements Summary'!$E:$E,'Disbursements Summary'!$C:$C,$C108,'Disbursements Summary'!$A:$A,"OGDEN")</f>
        <v>0</v>
      </c>
      <c r="FR108" s="55">
        <f>SUMIFS('Awards Summary'!$H:$H,'Awards Summary'!$B:$B,$C108,'Awards Summary'!$J:$J,"ORDA")</f>
        <v>0</v>
      </c>
      <c r="FS108" s="55">
        <f>SUMIFS('Disbursements Summary'!$E:$E,'Disbursements Summary'!$C:$C,$C108,'Disbursements Summary'!$A:$A,"ORDA")</f>
        <v>0</v>
      </c>
      <c r="FT108" s="55">
        <f>SUMIFS('Awards Summary'!$H:$H,'Awards Summary'!$B:$B,$C108,'Awards Summary'!$J:$J,"OSWEGO")</f>
        <v>0</v>
      </c>
      <c r="FU108" s="55">
        <f>SUMIFS('Disbursements Summary'!$E:$E,'Disbursements Summary'!$C:$C,$C108,'Disbursements Summary'!$A:$A,"OSWEGO")</f>
        <v>0</v>
      </c>
      <c r="FV108" s="55">
        <f>SUMIFS('Awards Summary'!$H:$H,'Awards Summary'!$B:$B,$C108,'Awards Summary'!$J:$J,"PERB")</f>
        <v>0</v>
      </c>
      <c r="FW108" s="55">
        <f>SUMIFS('Disbursements Summary'!$E:$E,'Disbursements Summary'!$C:$C,$C108,'Disbursements Summary'!$A:$A,"PERB")</f>
        <v>0</v>
      </c>
      <c r="FX108" s="55">
        <f>SUMIFS('Awards Summary'!$H:$H,'Awards Summary'!$B:$B,$C108,'Awards Summary'!$J:$J,"RGRTA")</f>
        <v>0</v>
      </c>
      <c r="FY108" s="55">
        <f>SUMIFS('Disbursements Summary'!$E:$E,'Disbursements Summary'!$C:$C,$C108,'Disbursements Summary'!$A:$A,"RGRTA")</f>
        <v>0</v>
      </c>
      <c r="FZ108" s="55">
        <f>SUMIFS('Awards Summary'!$H:$H,'Awards Summary'!$B:$B,$C108,'Awards Summary'!$J:$J,"RIOC")</f>
        <v>0</v>
      </c>
      <c r="GA108" s="55">
        <f>SUMIFS('Disbursements Summary'!$E:$E,'Disbursements Summary'!$C:$C,$C108,'Disbursements Summary'!$A:$A,"RIOC")</f>
        <v>0</v>
      </c>
      <c r="GB108" s="55">
        <f>SUMIFS('Awards Summary'!$H:$H,'Awards Summary'!$B:$B,$C108,'Awards Summary'!$J:$J,"RPCI")</f>
        <v>0</v>
      </c>
      <c r="GC108" s="55">
        <f>SUMIFS('Disbursements Summary'!$E:$E,'Disbursements Summary'!$C:$C,$C108,'Disbursements Summary'!$A:$A,"RPCI")</f>
        <v>0</v>
      </c>
      <c r="GD108" s="55">
        <f>SUMIFS('Awards Summary'!$H:$H,'Awards Summary'!$B:$B,$C108,'Awards Summary'!$J:$J,"SMDA")</f>
        <v>0</v>
      </c>
      <c r="GE108" s="55">
        <f>SUMIFS('Disbursements Summary'!$E:$E,'Disbursements Summary'!$C:$C,$C108,'Disbursements Summary'!$A:$A,"SMDA")</f>
        <v>0</v>
      </c>
      <c r="GF108" s="55">
        <f>SUMIFS('Awards Summary'!$H:$H,'Awards Summary'!$B:$B,$C108,'Awards Summary'!$J:$J,"SCOC")</f>
        <v>0</v>
      </c>
      <c r="GG108" s="55">
        <f>SUMIFS('Disbursements Summary'!$E:$E,'Disbursements Summary'!$C:$C,$C108,'Disbursements Summary'!$A:$A,"SCOC")</f>
        <v>0</v>
      </c>
      <c r="GH108" s="55">
        <f>SUMIFS('Awards Summary'!$H:$H,'Awards Summary'!$B:$B,$C108,'Awards Summary'!$J:$J,"SUCF")</f>
        <v>0</v>
      </c>
      <c r="GI108" s="55">
        <f>SUMIFS('Disbursements Summary'!$E:$E,'Disbursements Summary'!$C:$C,$C108,'Disbursements Summary'!$A:$A,"SUCF")</f>
        <v>0</v>
      </c>
      <c r="GJ108" s="55">
        <f>SUMIFS('Awards Summary'!$H:$H,'Awards Summary'!$B:$B,$C108,'Awards Summary'!$J:$J,"SUNY")</f>
        <v>0</v>
      </c>
      <c r="GK108" s="55">
        <f>SUMIFS('Disbursements Summary'!$E:$E,'Disbursements Summary'!$C:$C,$C108,'Disbursements Summary'!$A:$A,"SUNY")</f>
        <v>0</v>
      </c>
      <c r="GL108" s="55">
        <f>SUMIFS('Awards Summary'!$H:$H,'Awards Summary'!$B:$B,$C108,'Awards Summary'!$J:$J,"SRAA")</f>
        <v>0</v>
      </c>
      <c r="GM108" s="55">
        <f>SUMIFS('Disbursements Summary'!$E:$E,'Disbursements Summary'!$C:$C,$C108,'Disbursements Summary'!$A:$A,"SRAA")</f>
        <v>0</v>
      </c>
      <c r="GN108" s="55">
        <f>SUMIFS('Awards Summary'!$H:$H,'Awards Summary'!$B:$B,$C108,'Awards Summary'!$J:$J,"UNDC")</f>
        <v>0</v>
      </c>
      <c r="GO108" s="55">
        <f>SUMIFS('Disbursements Summary'!$E:$E,'Disbursements Summary'!$C:$C,$C108,'Disbursements Summary'!$A:$A,"UNDC")</f>
        <v>0</v>
      </c>
      <c r="GP108" s="55">
        <f>SUMIFS('Awards Summary'!$H:$H,'Awards Summary'!$B:$B,$C108,'Awards Summary'!$J:$J,"MVWA")</f>
        <v>0</v>
      </c>
      <c r="GQ108" s="55">
        <f>SUMIFS('Disbursements Summary'!$E:$E,'Disbursements Summary'!$C:$C,$C108,'Disbursements Summary'!$A:$A,"MVWA")</f>
        <v>0</v>
      </c>
      <c r="GR108" s="55">
        <f>SUMIFS('Awards Summary'!$H:$H,'Awards Summary'!$B:$B,$C108,'Awards Summary'!$J:$J,"WMC")</f>
        <v>0</v>
      </c>
      <c r="GS108" s="55">
        <f>SUMIFS('Disbursements Summary'!$E:$E,'Disbursements Summary'!$C:$C,$C108,'Disbursements Summary'!$A:$A,"WMC")</f>
        <v>0</v>
      </c>
      <c r="GT108" s="55">
        <f>SUMIFS('Awards Summary'!$H:$H,'Awards Summary'!$B:$B,$C108,'Awards Summary'!$J:$J,"WCB")</f>
        <v>0</v>
      </c>
      <c r="GU108" s="55">
        <f>SUMIFS('Disbursements Summary'!$E:$E,'Disbursements Summary'!$C:$C,$C108,'Disbursements Summary'!$A:$A,"WCB")</f>
        <v>0</v>
      </c>
      <c r="GV108" s="32">
        <f t="shared" si="10"/>
        <v>0</v>
      </c>
      <c r="GW108" s="32">
        <f t="shared" si="11"/>
        <v>0</v>
      </c>
      <c r="GX108" s="30" t="b">
        <f t="shared" si="12"/>
        <v>1</v>
      </c>
      <c r="GY108" s="30" t="b">
        <f t="shared" si="13"/>
        <v>1</v>
      </c>
    </row>
    <row r="109" spans="1:207" s="30" customFormat="1">
      <c r="A109" s="22" t="str">
        <f t="shared" si="9"/>
        <v/>
      </c>
      <c r="B109" s="21" t="s">
        <v>257</v>
      </c>
      <c r="C109" s="29">
        <v>161253</v>
      </c>
      <c r="D109" s="26">
        <f>COUNTIF('Awards Summary'!B:B,"161253")</f>
        <v>0</v>
      </c>
      <c r="E109" s="45">
        <f>SUMIFS('Awards Summary'!H:H,'Awards Summary'!B:B,"161253")</f>
        <v>0</v>
      </c>
      <c r="F109" s="46">
        <f>SUMIFS('Disbursements Summary'!E:E,'Disbursements Summary'!C:C, "161253")</f>
        <v>0</v>
      </c>
      <c r="H109" s="55">
        <f>SUMIFS('Awards Summary'!$H:$H,'Awards Summary'!$B:$B,$C109,'Awards Summary'!$J:$J,"APA")</f>
        <v>0</v>
      </c>
      <c r="I109" s="55">
        <f>SUMIFS('Disbursements Summary'!$E:$E,'Disbursements Summary'!$C:$C,$C109,'Disbursements Summary'!$A:$A,"APA")</f>
        <v>0</v>
      </c>
      <c r="J109" s="55">
        <f>SUMIFS('Awards Summary'!$H:$H,'Awards Summary'!$B:$B,$C109,'Awards Summary'!$J:$J,"Ag&amp;Horse")</f>
        <v>0</v>
      </c>
      <c r="K109" s="55">
        <f>SUMIFS('Disbursements Summary'!$E:$E,'Disbursements Summary'!$C:$C,$C109,'Disbursements Summary'!$A:$A,"Ag&amp;Horse")</f>
        <v>0</v>
      </c>
      <c r="L109" s="55">
        <f>SUMIFS('Awards Summary'!$H:$H,'Awards Summary'!$B:$B,$C109,'Awards Summary'!$J:$J,"ACAA")</f>
        <v>0</v>
      </c>
      <c r="M109" s="55">
        <f>SUMIFS('Disbursements Summary'!$E:$E,'Disbursements Summary'!$C:$C,$C109,'Disbursements Summary'!$A:$A,"ACAA")</f>
        <v>0</v>
      </c>
      <c r="N109" s="55">
        <f>SUMIFS('Awards Summary'!$H:$H,'Awards Summary'!$B:$B,$C109,'Awards Summary'!$J:$J,"PortAlbany")</f>
        <v>0</v>
      </c>
      <c r="O109" s="55">
        <f>SUMIFS('Disbursements Summary'!$E:$E,'Disbursements Summary'!$C:$C,$C109,'Disbursements Summary'!$A:$A,"PortAlbany")</f>
        <v>0</v>
      </c>
      <c r="P109" s="55">
        <f>SUMIFS('Awards Summary'!$H:$H,'Awards Summary'!$B:$B,$C109,'Awards Summary'!$J:$J,"SLA")</f>
        <v>0</v>
      </c>
      <c r="Q109" s="55">
        <f>SUMIFS('Disbursements Summary'!$E:$E,'Disbursements Summary'!$C:$C,$C109,'Disbursements Summary'!$A:$A,"SLA")</f>
        <v>0</v>
      </c>
      <c r="R109" s="55">
        <f>SUMIFS('Awards Summary'!$H:$H,'Awards Summary'!$B:$B,$C109,'Awards Summary'!$J:$J,"BPCA")</f>
        <v>0</v>
      </c>
      <c r="S109" s="55">
        <f>SUMIFS('Disbursements Summary'!$E:$E,'Disbursements Summary'!$C:$C,$C109,'Disbursements Summary'!$A:$A,"BPCA")</f>
        <v>0</v>
      </c>
      <c r="T109" s="55">
        <f>SUMIFS('Awards Summary'!$H:$H,'Awards Summary'!$B:$B,$C109,'Awards Summary'!$J:$J,"ELECTIONS")</f>
        <v>0</v>
      </c>
      <c r="U109" s="55">
        <f>SUMIFS('Disbursements Summary'!$E:$E,'Disbursements Summary'!$C:$C,$C109,'Disbursements Summary'!$A:$A,"ELECTIONS")</f>
        <v>0</v>
      </c>
      <c r="V109" s="55">
        <f>SUMIFS('Awards Summary'!$H:$H,'Awards Summary'!$B:$B,$C109,'Awards Summary'!$J:$J,"BFSA")</f>
        <v>0</v>
      </c>
      <c r="W109" s="55">
        <f>SUMIFS('Disbursements Summary'!$E:$E,'Disbursements Summary'!$C:$C,$C109,'Disbursements Summary'!$A:$A,"BFSA")</f>
        <v>0</v>
      </c>
      <c r="X109" s="55">
        <f>SUMIFS('Awards Summary'!$H:$H,'Awards Summary'!$B:$B,$C109,'Awards Summary'!$J:$J,"CDTA")</f>
        <v>0</v>
      </c>
      <c r="Y109" s="55">
        <f>SUMIFS('Disbursements Summary'!$E:$E,'Disbursements Summary'!$C:$C,$C109,'Disbursements Summary'!$A:$A,"CDTA")</f>
        <v>0</v>
      </c>
      <c r="Z109" s="55">
        <f>SUMIFS('Awards Summary'!$H:$H,'Awards Summary'!$B:$B,$C109,'Awards Summary'!$J:$J,"CCWSA")</f>
        <v>0</v>
      </c>
      <c r="AA109" s="55">
        <f>SUMIFS('Disbursements Summary'!$E:$E,'Disbursements Summary'!$C:$C,$C109,'Disbursements Summary'!$A:$A,"CCWSA")</f>
        <v>0</v>
      </c>
      <c r="AB109" s="55">
        <f>SUMIFS('Awards Summary'!$H:$H,'Awards Summary'!$B:$B,$C109,'Awards Summary'!$J:$J,"CNYRTA")</f>
        <v>0</v>
      </c>
      <c r="AC109" s="55">
        <f>SUMIFS('Disbursements Summary'!$E:$E,'Disbursements Summary'!$C:$C,$C109,'Disbursements Summary'!$A:$A,"CNYRTA")</f>
        <v>0</v>
      </c>
      <c r="AD109" s="55">
        <f>SUMIFS('Awards Summary'!$H:$H,'Awards Summary'!$B:$B,$C109,'Awards Summary'!$J:$J,"CUCF")</f>
        <v>0</v>
      </c>
      <c r="AE109" s="55">
        <f>SUMIFS('Disbursements Summary'!$E:$E,'Disbursements Summary'!$C:$C,$C109,'Disbursements Summary'!$A:$A,"CUCF")</f>
        <v>0</v>
      </c>
      <c r="AF109" s="55">
        <f>SUMIFS('Awards Summary'!$H:$H,'Awards Summary'!$B:$B,$C109,'Awards Summary'!$J:$J,"CUNY")</f>
        <v>0</v>
      </c>
      <c r="AG109" s="55">
        <f>SUMIFS('Disbursements Summary'!$E:$E,'Disbursements Summary'!$C:$C,$C109,'Disbursements Summary'!$A:$A,"CUNY")</f>
        <v>0</v>
      </c>
      <c r="AH109" s="55">
        <f>SUMIFS('Awards Summary'!$H:$H,'Awards Summary'!$B:$B,$C109,'Awards Summary'!$J:$J,"ARTS")</f>
        <v>0</v>
      </c>
      <c r="AI109" s="55">
        <f>SUMIFS('Disbursements Summary'!$E:$E,'Disbursements Summary'!$C:$C,$C109,'Disbursements Summary'!$A:$A,"ARTS")</f>
        <v>0</v>
      </c>
      <c r="AJ109" s="55">
        <f>SUMIFS('Awards Summary'!$H:$H,'Awards Summary'!$B:$B,$C109,'Awards Summary'!$J:$J,"AG&amp;MKTS")</f>
        <v>0</v>
      </c>
      <c r="AK109" s="55">
        <f>SUMIFS('Disbursements Summary'!$E:$E,'Disbursements Summary'!$C:$C,$C109,'Disbursements Summary'!$A:$A,"AG&amp;MKTS")</f>
        <v>0</v>
      </c>
      <c r="AL109" s="55">
        <f>SUMIFS('Awards Summary'!$H:$H,'Awards Summary'!$B:$B,$C109,'Awards Summary'!$J:$J,"CS")</f>
        <v>0</v>
      </c>
      <c r="AM109" s="55">
        <f>SUMIFS('Disbursements Summary'!$E:$E,'Disbursements Summary'!$C:$C,$C109,'Disbursements Summary'!$A:$A,"CS")</f>
        <v>0</v>
      </c>
      <c r="AN109" s="55">
        <f>SUMIFS('Awards Summary'!$H:$H,'Awards Summary'!$B:$B,$C109,'Awards Summary'!$J:$J,"DOCCS")</f>
        <v>0</v>
      </c>
      <c r="AO109" s="55">
        <f>SUMIFS('Disbursements Summary'!$E:$E,'Disbursements Summary'!$C:$C,$C109,'Disbursements Summary'!$A:$A,"DOCCS")</f>
        <v>0</v>
      </c>
      <c r="AP109" s="55">
        <f>SUMIFS('Awards Summary'!$H:$H,'Awards Summary'!$B:$B,$C109,'Awards Summary'!$J:$J,"DED")</f>
        <v>0</v>
      </c>
      <c r="AQ109" s="55">
        <f>SUMIFS('Disbursements Summary'!$E:$E,'Disbursements Summary'!$C:$C,$C109,'Disbursements Summary'!$A:$A,"DED")</f>
        <v>0</v>
      </c>
      <c r="AR109" s="55">
        <f>SUMIFS('Awards Summary'!$H:$H,'Awards Summary'!$B:$B,$C109,'Awards Summary'!$J:$J,"DEC")</f>
        <v>0</v>
      </c>
      <c r="AS109" s="55">
        <f>SUMIFS('Disbursements Summary'!$E:$E,'Disbursements Summary'!$C:$C,$C109,'Disbursements Summary'!$A:$A,"DEC")</f>
        <v>0</v>
      </c>
      <c r="AT109" s="55">
        <f>SUMIFS('Awards Summary'!$H:$H,'Awards Summary'!$B:$B,$C109,'Awards Summary'!$J:$J,"DFS")</f>
        <v>0</v>
      </c>
      <c r="AU109" s="55">
        <f>SUMIFS('Disbursements Summary'!$E:$E,'Disbursements Summary'!$C:$C,$C109,'Disbursements Summary'!$A:$A,"DFS")</f>
        <v>0</v>
      </c>
      <c r="AV109" s="55">
        <f>SUMIFS('Awards Summary'!$H:$H,'Awards Summary'!$B:$B,$C109,'Awards Summary'!$J:$J,"DOH")</f>
        <v>0</v>
      </c>
      <c r="AW109" s="55">
        <f>SUMIFS('Disbursements Summary'!$E:$E,'Disbursements Summary'!$C:$C,$C109,'Disbursements Summary'!$A:$A,"DOH")</f>
        <v>0</v>
      </c>
      <c r="AX109" s="55">
        <f>SUMIFS('Awards Summary'!$H:$H,'Awards Summary'!$B:$B,$C109,'Awards Summary'!$J:$J,"DOL")</f>
        <v>0</v>
      </c>
      <c r="AY109" s="55">
        <f>SUMIFS('Disbursements Summary'!$E:$E,'Disbursements Summary'!$C:$C,$C109,'Disbursements Summary'!$A:$A,"DOL")</f>
        <v>0</v>
      </c>
      <c r="AZ109" s="55">
        <f>SUMIFS('Awards Summary'!$H:$H,'Awards Summary'!$B:$B,$C109,'Awards Summary'!$J:$J,"DMV")</f>
        <v>0</v>
      </c>
      <c r="BA109" s="55">
        <f>SUMIFS('Disbursements Summary'!$E:$E,'Disbursements Summary'!$C:$C,$C109,'Disbursements Summary'!$A:$A,"DMV")</f>
        <v>0</v>
      </c>
      <c r="BB109" s="55">
        <f>SUMIFS('Awards Summary'!$H:$H,'Awards Summary'!$B:$B,$C109,'Awards Summary'!$J:$J,"DPS")</f>
        <v>0</v>
      </c>
      <c r="BC109" s="55">
        <f>SUMIFS('Disbursements Summary'!$E:$E,'Disbursements Summary'!$C:$C,$C109,'Disbursements Summary'!$A:$A,"DPS")</f>
        <v>0</v>
      </c>
      <c r="BD109" s="55">
        <f>SUMIFS('Awards Summary'!$H:$H,'Awards Summary'!$B:$B,$C109,'Awards Summary'!$J:$J,"DOS")</f>
        <v>0</v>
      </c>
      <c r="BE109" s="55">
        <f>SUMIFS('Disbursements Summary'!$E:$E,'Disbursements Summary'!$C:$C,$C109,'Disbursements Summary'!$A:$A,"DOS")</f>
        <v>0</v>
      </c>
      <c r="BF109" s="55">
        <f>SUMIFS('Awards Summary'!$H:$H,'Awards Summary'!$B:$B,$C109,'Awards Summary'!$J:$J,"TAX")</f>
        <v>0</v>
      </c>
      <c r="BG109" s="55">
        <f>SUMIFS('Disbursements Summary'!$E:$E,'Disbursements Summary'!$C:$C,$C109,'Disbursements Summary'!$A:$A,"TAX")</f>
        <v>0</v>
      </c>
      <c r="BH109" s="55">
        <f>SUMIFS('Awards Summary'!$H:$H,'Awards Summary'!$B:$B,$C109,'Awards Summary'!$J:$J,"DOT")</f>
        <v>0</v>
      </c>
      <c r="BI109" s="55">
        <f>SUMIFS('Disbursements Summary'!$E:$E,'Disbursements Summary'!$C:$C,$C109,'Disbursements Summary'!$A:$A,"DOT")</f>
        <v>0</v>
      </c>
      <c r="BJ109" s="55">
        <f>SUMIFS('Awards Summary'!$H:$H,'Awards Summary'!$B:$B,$C109,'Awards Summary'!$J:$J,"DANC")</f>
        <v>0</v>
      </c>
      <c r="BK109" s="55">
        <f>SUMIFS('Disbursements Summary'!$E:$E,'Disbursements Summary'!$C:$C,$C109,'Disbursements Summary'!$A:$A,"DANC")</f>
        <v>0</v>
      </c>
      <c r="BL109" s="55">
        <f>SUMIFS('Awards Summary'!$H:$H,'Awards Summary'!$B:$B,$C109,'Awards Summary'!$J:$J,"DOB")</f>
        <v>0</v>
      </c>
      <c r="BM109" s="55">
        <f>SUMIFS('Disbursements Summary'!$E:$E,'Disbursements Summary'!$C:$C,$C109,'Disbursements Summary'!$A:$A,"DOB")</f>
        <v>0</v>
      </c>
      <c r="BN109" s="55">
        <f>SUMIFS('Awards Summary'!$H:$H,'Awards Summary'!$B:$B,$C109,'Awards Summary'!$J:$J,"DCJS")</f>
        <v>0</v>
      </c>
      <c r="BO109" s="55">
        <f>SUMIFS('Disbursements Summary'!$E:$E,'Disbursements Summary'!$C:$C,$C109,'Disbursements Summary'!$A:$A,"DCJS")</f>
        <v>0</v>
      </c>
      <c r="BP109" s="55">
        <f>SUMIFS('Awards Summary'!$H:$H,'Awards Summary'!$B:$B,$C109,'Awards Summary'!$J:$J,"DHSES")</f>
        <v>0</v>
      </c>
      <c r="BQ109" s="55">
        <f>SUMIFS('Disbursements Summary'!$E:$E,'Disbursements Summary'!$C:$C,$C109,'Disbursements Summary'!$A:$A,"DHSES")</f>
        <v>0</v>
      </c>
      <c r="BR109" s="55">
        <f>SUMIFS('Awards Summary'!$H:$H,'Awards Summary'!$B:$B,$C109,'Awards Summary'!$J:$J,"DHR")</f>
        <v>0</v>
      </c>
      <c r="BS109" s="55">
        <f>SUMIFS('Disbursements Summary'!$E:$E,'Disbursements Summary'!$C:$C,$C109,'Disbursements Summary'!$A:$A,"DHR")</f>
        <v>0</v>
      </c>
      <c r="BT109" s="55">
        <f>SUMIFS('Awards Summary'!$H:$H,'Awards Summary'!$B:$B,$C109,'Awards Summary'!$J:$J,"DMNA")</f>
        <v>0</v>
      </c>
      <c r="BU109" s="55">
        <f>SUMIFS('Disbursements Summary'!$E:$E,'Disbursements Summary'!$C:$C,$C109,'Disbursements Summary'!$A:$A,"DMNA")</f>
        <v>0</v>
      </c>
      <c r="BV109" s="55">
        <f>SUMIFS('Awards Summary'!$H:$H,'Awards Summary'!$B:$B,$C109,'Awards Summary'!$J:$J,"TROOPERS")</f>
        <v>0</v>
      </c>
      <c r="BW109" s="55">
        <f>SUMIFS('Disbursements Summary'!$E:$E,'Disbursements Summary'!$C:$C,$C109,'Disbursements Summary'!$A:$A,"TROOPERS")</f>
        <v>0</v>
      </c>
      <c r="BX109" s="55">
        <f>SUMIFS('Awards Summary'!$H:$H,'Awards Summary'!$B:$B,$C109,'Awards Summary'!$J:$J,"DVA")</f>
        <v>0</v>
      </c>
      <c r="BY109" s="55">
        <f>SUMIFS('Disbursements Summary'!$E:$E,'Disbursements Summary'!$C:$C,$C109,'Disbursements Summary'!$A:$A,"DVA")</f>
        <v>0</v>
      </c>
      <c r="BZ109" s="55">
        <f>SUMIFS('Awards Summary'!$H:$H,'Awards Summary'!$B:$B,$C109,'Awards Summary'!$J:$J,"DASNY")</f>
        <v>0</v>
      </c>
      <c r="CA109" s="55">
        <f>SUMIFS('Disbursements Summary'!$E:$E,'Disbursements Summary'!$C:$C,$C109,'Disbursements Summary'!$A:$A,"DASNY")</f>
        <v>0</v>
      </c>
      <c r="CB109" s="55">
        <f>SUMIFS('Awards Summary'!$H:$H,'Awards Summary'!$B:$B,$C109,'Awards Summary'!$J:$J,"EGG")</f>
        <v>0</v>
      </c>
      <c r="CC109" s="55">
        <f>SUMIFS('Disbursements Summary'!$E:$E,'Disbursements Summary'!$C:$C,$C109,'Disbursements Summary'!$A:$A,"EGG")</f>
        <v>0</v>
      </c>
      <c r="CD109" s="55">
        <f>SUMIFS('Awards Summary'!$H:$H,'Awards Summary'!$B:$B,$C109,'Awards Summary'!$J:$J,"ESD")</f>
        <v>0</v>
      </c>
      <c r="CE109" s="55">
        <f>SUMIFS('Disbursements Summary'!$E:$E,'Disbursements Summary'!$C:$C,$C109,'Disbursements Summary'!$A:$A,"ESD")</f>
        <v>0</v>
      </c>
      <c r="CF109" s="55">
        <f>SUMIFS('Awards Summary'!$H:$H,'Awards Summary'!$B:$B,$C109,'Awards Summary'!$J:$J,"EFC")</f>
        <v>0</v>
      </c>
      <c r="CG109" s="55">
        <f>SUMIFS('Disbursements Summary'!$E:$E,'Disbursements Summary'!$C:$C,$C109,'Disbursements Summary'!$A:$A,"EFC")</f>
        <v>0</v>
      </c>
      <c r="CH109" s="55">
        <f>SUMIFS('Awards Summary'!$H:$H,'Awards Summary'!$B:$B,$C109,'Awards Summary'!$J:$J,"ECFSA")</f>
        <v>0</v>
      </c>
      <c r="CI109" s="55">
        <f>SUMIFS('Disbursements Summary'!$E:$E,'Disbursements Summary'!$C:$C,$C109,'Disbursements Summary'!$A:$A,"ECFSA")</f>
        <v>0</v>
      </c>
      <c r="CJ109" s="55">
        <f>SUMIFS('Awards Summary'!$H:$H,'Awards Summary'!$B:$B,$C109,'Awards Summary'!$J:$J,"ECMC")</f>
        <v>0</v>
      </c>
      <c r="CK109" s="55">
        <f>SUMIFS('Disbursements Summary'!$E:$E,'Disbursements Summary'!$C:$C,$C109,'Disbursements Summary'!$A:$A,"ECMC")</f>
        <v>0</v>
      </c>
      <c r="CL109" s="55">
        <f>SUMIFS('Awards Summary'!$H:$H,'Awards Summary'!$B:$B,$C109,'Awards Summary'!$J:$J,"CHAMBER")</f>
        <v>0</v>
      </c>
      <c r="CM109" s="55">
        <f>SUMIFS('Disbursements Summary'!$E:$E,'Disbursements Summary'!$C:$C,$C109,'Disbursements Summary'!$A:$A,"CHAMBER")</f>
        <v>0</v>
      </c>
      <c r="CN109" s="55">
        <f>SUMIFS('Awards Summary'!$H:$H,'Awards Summary'!$B:$B,$C109,'Awards Summary'!$J:$J,"GAMING")</f>
        <v>0</v>
      </c>
      <c r="CO109" s="55">
        <f>SUMIFS('Disbursements Summary'!$E:$E,'Disbursements Summary'!$C:$C,$C109,'Disbursements Summary'!$A:$A,"GAMING")</f>
        <v>0</v>
      </c>
      <c r="CP109" s="55">
        <f>SUMIFS('Awards Summary'!$H:$H,'Awards Summary'!$B:$B,$C109,'Awards Summary'!$J:$J,"GOER")</f>
        <v>0</v>
      </c>
      <c r="CQ109" s="55">
        <f>SUMIFS('Disbursements Summary'!$E:$E,'Disbursements Summary'!$C:$C,$C109,'Disbursements Summary'!$A:$A,"GOER")</f>
        <v>0</v>
      </c>
      <c r="CR109" s="55">
        <f>SUMIFS('Awards Summary'!$H:$H,'Awards Summary'!$B:$B,$C109,'Awards Summary'!$J:$J,"HESC")</f>
        <v>0</v>
      </c>
      <c r="CS109" s="55">
        <f>SUMIFS('Disbursements Summary'!$E:$E,'Disbursements Summary'!$C:$C,$C109,'Disbursements Summary'!$A:$A,"HESC")</f>
        <v>0</v>
      </c>
      <c r="CT109" s="55">
        <f>SUMIFS('Awards Summary'!$H:$H,'Awards Summary'!$B:$B,$C109,'Awards Summary'!$J:$J,"GOSR")</f>
        <v>0</v>
      </c>
      <c r="CU109" s="55">
        <f>SUMIFS('Disbursements Summary'!$E:$E,'Disbursements Summary'!$C:$C,$C109,'Disbursements Summary'!$A:$A,"GOSR")</f>
        <v>0</v>
      </c>
      <c r="CV109" s="55">
        <f>SUMIFS('Awards Summary'!$H:$H,'Awards Summary'!$B:$B,$C109,'Awards Summary'!$J:$J,"HRPT")</f>
        <v>0</v>
      </c>
      <c r="CW109" s="55">
        <f>SUMIFS('Disbursements Summary'!$E:$E,'Disbursements Summary'!$C:$C,$C109,'Disbursements Summary'!$A:$A,"HRPT")</f>
        <v>0</v>
      </c>
      <c r="CX109" s="55">
        <f>SUMIFS('Awards Summary'!$H:$H,'Awards Summary'!$B:$B,$C109,'Awards Summary'!$J:$J,"HRBRRD")</f>
        <v>0</v>
      </c>
      <c r="CY109" s="55">
        <f>SUMIFS('Disbursements Summary'!$E:$E,'Disbursements Summary'!$C:$C,$C109,'Disbursements Summary'!$A:$A,"HRBRRD")</f>
        <v>0</v>
      </c>
      <c r="CZ109" s="55">
        <f>SUMIFS('Awards Summary'!$H:$H,'Awards Summary'!$B:$B,$C109,'Awards Summary'!$J:$J,"ITS")</f>
        <v>0</v>
      </c>
      <c r="DA109" s="55">
        <f>SUMIFS('Disbursements Summary'!$E:$E,'Disbursements Summary'!$C:$C,$C109,'Disbursements Summary'!$A:$A,"ITS")</f>
        <v>0</v>
      </c>
      <c r="DB109" s="55">
        <f>SUMIFS('Awards Summary'!$H:$H,'Awards Summary'!$B:$B,$C109,'Awards Summary'!$J:$J,"JAVITS")</f>
        <v>0</v>
      </c>
      <c r="DC109" s="55">
        <f>SUMIFS('Disbursements Summary'!$E:$E,'Disbursements Summary'!$C:$C,$C109,'Disbursements Summary'!$A:$A,"JAVITS")</f>
        <v>0</v>
      </c>
      <c r="DD109" s="55">
        <f>SUMIFS('Awards Summary'!$H:$H,'Awards Summary'!$B:$B,$C109,'Awards Summary'!$J:$J,"JCOPE")</f>
        <v>0</v>
      </c>
      <c r="DE109" s="55">
        <f>SUMIFS('Disbursements Summary'!$E:$E,'Disbursements Summary'!$C:$C,$C109,'Disbursements Summary'!$A:$A,"JCOPE")</f>
        <v>0</v>
      </c>
      <c r="DF109" s="55">
        <f>SUMIFS('Awards Summary'!$H:$H,'Awards Summary'!$B:$B,$C109,'Awards Summary'!$J:$J,"JUSTICE")</f>
        <v>0</v>
      </c>
      <c r="DG109" s="55">
        <f>SUMIFS('Disbursements Summary'!$E:$E,'Disbursements Summary'!$C:$C,$C109,'Disbursements Summary'!$A:$A,"JUSTICE")</f>
        <v>0</v>
      </c>
      <c r="DH109" s="55">
        <f>SUMIFS('Awards Summary'!$H:$H,'Awards Summary'!$B:$B,$C109,'Awards Summary'!$J:$J,"LCWSA")</f>
        <v>0</v>
      </c>
      <c r="DI109" s="55">
        <f>SUMIFS('Disbursements Summary'!$E:$E,'Disbursements Summary'!$C:$C,$C109,'Disbursements Summary'!$A:$A,"LCWSA")</f>
        <v>0</v>
      </c>
      <c r="DJ109" s="55">
        <f>SUMIFS('Awards Summary'!$H:$H,'Awards Summary'!$B:$B,$C109,'Awards Summary'!$J:$J,"LIPA")</f>
        <v>0</v>
      </c>
      <c r="DK109" s="55">
        <f>SUMIFS('Disbursements Summary'!$E:$E,'Disbursements Summary'!$C:$C,$C109,'Disbursements Summary'!$A:$A,"LIPA")</f>
        <v>0</v>
      </c>
      <c r="DL109" s="55">
        <f>SUMIFS('Awards Summary'!$H:$H,'Awards Summary'!$B:$B,$C109,'Awards Summary'!$J:$J,"MTA")</f>
        <v>0</v>
      </c>
      <c r="DM109" s="55">
        <f>SUMIFS('Disbursements Summary'!$E:$E,'Disbursements Summary'!$C:$C,$C109,'Disbursements Summary'!$A:$A,"MTA")</f>
        <v>0</v>
      </c>
      <c r="DN109" s="55">
        <f>SUMIFS('Awards Summary'!$H:$H,'Awards Summary'!$B:$B,$C109,'Awards Summary'!$J:$J,"NIFA")</f>
        <v>0</v>
      </c>
      <c r="DO109" s="55">
        <f>SUMIFS('Disbursements Summary'!$E:$E,'Disbursements Summary'!$C:$C,$C109,'Disbursements Summary'!$A:$A,"NIFA")</f>
        <v>0</v>
      </c>
      <c r="DP109" s="55">
        <f>SUMIFS('Awards Summary'!$H:$H,'Awards Summary'!$B:$B,$C109,'Awards Summary'!$J:$J,"NHCC")</f>
        <v>0</v>
      </c>
      <c r="DQ109" s="55">
        <f>SUMIFS('Disbursements Summary'!$E:$E,'Disbursements Summary'!$C:$C,$C109,'Disbursements Summary'!$A:$A,"NHCC")</f>
        <v>0</v>
      </c>
      <c r="DR109" s="55">
        <f>SUMIFS('Awards Summary'!$H:$H,'Awards Summary'!$B:$B,$C109,'Awards Summary'!$J:$J,"NHT")</f>
        <v>0</v>
      </c>
      <c r="DS109" s="55">
        <f>SUMIFS('Disbursements Summary'!$E:$E,'Disbursements Summary'!$C:$C,$C109,'Disbursements Summary'!$A:$A,"NHT")</f>
        <v>0</v>
      </c>
      <c r="DT109" s="55">
        <f>SUMIFS('Awards Summary'!$H:$H,'Awards Summary'!$B:$B,$C109,'Awards Summary'!$J:$J,"NYPA")</f>
        <v>0</v>
      </c>
      <c r="DU109" s="55">
        <f>SUMIFS('Disbursements Summary'!$E:$E,'Disbursements Summary'!$C:$C,$C109,'Disbursements Summary'!$A:$A,"NYPA")</f>
        <v>0</v>
      </c>
      <c r="DV109" s="55">
        <f>SUMIFS('Awards Summary'!$H:$H,'Awards Summary'!$B:$B,$C109,'Awards Summary'!$J:$J,"NYSBA")</f>
        <v>0</v>
      </c>
      <c r="DW109" s="55">
        <f>SUMIFS('Disbursements Summary'!$E:$E,'Disbursements Summary'!$C:$C,$C109,'Disbursements Summary'!$A:$A,"NYSBA")</f>
        <v>0</v>
      </c>
      <c r="DX109" s="55">
        <f>SUMIFS('Awards Summary'!$H:$H,'Awards Summary'!$B:$B,$C109,'Awards Summary'!$J:$J,"NYSERDA")</f>
        <v>0</v>
      </c>
      <c r="DY109" s="55">
        <f>SUMIFS('Disbursements Summary'!$E:$E,'Disbursements Summary'!$C:$C,$C109,'Disbursements Summary'!$A:$A,"NYSERDA")</f>
        <v>0</v>
      </c>
      <c r="DZ109" s="55">
        <f>SUMIFS('Awards Summary'!$H:$H,'Awards Summary'!$B:$B,$C109,'Awards Summary'!$J:$J,"DHCR")</f>
        <v>0</v>
      </c>
      <c r="EA109" s="55">
        <f>SUMIFS('Disbursements Summary'!$E:$E,'Disbursements Summary'!$C:$C,$C109,'Disbursements Summary'!$A:$A,"DHCR")</f>
        <v>0</v>
      </c>
      <c r="EB109" s="55">
        <f>SUMIFS('Awards Summary'!$H:$H,'Awards Summary'!$B:$B,$C109,'Awards Summary'!$J:$J,"HFA")</f>
        <v>0</v>
      </c>
      <c r="EC109" s="55">
        <f>SUMIFS('Disbursements Summary'!$E:$E,'Disbursements Summary'!$C:$C,$C109,'Disbursements Summary'!$A:$A,"HFA")</f>
        <v>0</v>
      </c>
      <c r="ED109" s="55">
        <f>SUMIFS('Awards Summary'!$H:$H,'Awards Summary'!$B:$B,$C109,'Awards Summary'!$J:$J,"NYSIF")</f>
        <v>0</v>
      </c>
      <c r="EE109" s="55">
        <f>SUMIFS('Disbursements Summary'!$E:$E,'Disbursements Summary'!$C:$C,$C109,'Disbursements Summary'!$A:$A,"NYSIF")</f>
        <v>0</v>
      </c>
      <c r="EF109" s="55">
        <f>SUMIFS('Awards Summary'!$H:$H,'Awards Summary'!$B:$B,$C109,'Awards Summary'!$J:$J,"NYBREDS")</f>
        <v>0</v>
      </c>
      <c r="EG109" s="55">
        <f>SUMIFS('Disbursements Summary'!$E:$E,'Disbursements Summary'!$C:$C,$C109,'Disbursements Summary'!$A:$A,"NYBREDS")</f>
        <v>0</v>
      </c>
      <c r="EH109" s="55">
        <f>SUMIFS('Awards Summary'!$H:$H,'Awards Summary'!$B:$B,$C109,'Awards Summary'!$J:$J,"NYSTA")</f>
        <v>0</v>
      </c>
      <c r="EI109" s="55">
        <f>SUMIFS('Disbursements Summary'!$E:$E,'Disbursements Summary'!$C:$C,$C109,'Disbursements Summary'!$A:$A,"NYSTA")</f>
        <v>0</v>
      </c>
      <c r="EJ109" s="55">
        <f>SUMIFS('Awards Summary'!$H:$H,'Awards Summary'!$B:$B,$C109,'Awards Summary'!$J:$J,"NFWB")</f>
        <v>0</v>
      </c>
      <c r="EK109" s="55">
        <f>SUMIFS('Disbursements Summary'!$E:$E,'Disbursements Summary'!$C:$C,$C109,'Disbursements Summary'!$A:$A,"NFWB")</f>
        <v>0</v>
      </c>
      <c r="EL109" s="55">
        <f>SUMIFS('Awards Summary'!$H:$H,'Awards Summary'!$B:$B,$C109,'Awards Summary'!$J:$J,"NFTA")</f>
        <v>0</v>
      </c>
      <c r="EM109" s="55">
        <f>SUMIFS('Disbursements Summary'!$E:$E,'Disbursements Summary'!$C:$C,$C109,'Disbursements Summary'!$A:$A,"NFTA")</f>
        <v>0</v>
      </c>
      <c r="EN109" s="55">
        <f>SUMIFS('Awards Summary'!$H:$H,'Awards Summary'!$B:$B,$C109,'Awards Summary'!$J:$J,"OPWDD")</f>
        <v>0</v>
      </c>
      <c r="EO109" s="55">
        <f>SUMIFS('Disbursements Summary'!$E:$E,'Disbursements Summary'!$C:$C,$C109,'Disbursements Summary'!$A:$A,"OPWDD")</f>
        <v>0</v>
      </c>
      <c r="EP109" s="55">
        <f>SUMIFS('Awards Summary'!$H:$H,'Awards Summary'!$B:$B,$C109,'Awards Summary'!$J:$J,"AGING")</f>
        <v>0</v>
      </c>
      <c r="EQ109" s="55">
        <f>SUMIFS('Disbursements Summary'!$E:$E,'Disbursements Summary'!$C:$C,$C109,'Disbursements Summary'!$A:$A,"AGING")</f>
        <v>0</v>
      </c>
      <c r="ER109" s="55">
        <f>SUMIFS('Awards Summary'!$H:$H,'Awards Summary'!$B:$B,$C109,'Awards Summary'!$J:$J,"OPDV")</f>
        <v>0</v>
      </c>
      <c r="ES109" s="55">
        <f>SUMIFS('Disbursements Summary'!$E:$E,'Disbursements Summary'!$C:$C,$C109,'Disbursements Summary'!$A:$A,"OPDV")</f>
        <v>0</v>
      </c>
      <c r="ET109" s="55">
        <f>SUMIFS('Awards Summary'!$H:$H,'Awards Summary'!$B:$B,$C109,'Awards Summary'!$J:$J,"OVS")</f>
        <v>0</v>
      </c>
      <c r="EU109" s="55">
        <f>SUMIFS('Disbursements Summary'!$E:$E,'Disbursements Summary'!$C:$C,$C109,'Disbursements Summary'!$A:$A,"OVS")</f>
        <v>0</v>
      </c>
      <c r="EV109" s="55">
        <f>SUMIFS('Awards Summary'!$H:$H,'Awards Summary'!$B:$B,$C109,'Awards Summary'!$J:$J,"OASAS")</f>
        <v>0</v>
      </c>
      <c r="EW109" s="55">
        <f>SUMIFS('Disbursements Summary'!$E:$E,'Disbursements Summary'!$C:$C,$C109,'Disbursements Summary'!$A:$A,"OASAS")</f>
        <v>0</v>
      </c>
      <c r="EX109" s="55">
        <f>SUMIFS('Awards Summary'!$H:$H,'Awards Summary'!$B:$B,$C109,'Awards Summary'!$J:$J,"OCFS")</f>
        <v>0</v>
      </c>
      <c r="EY109" s="55">
        <f>SUMIFS('Disbursements Summary'!$E:$E,'Disbursements Summary'!$C:$C,$C109,'Disbursements Summary'!$A:$A,"OCFS")</f>
        <v>0</v>
      </c>
      <c r="EZ109" s="55">
        <f>SUMIFS('Awards Summary'!$H:$H,'Awards Summary'!$B:$B,$C109,'Awards Summary'!$J:$J,"OGS")</f>
        <v>0</v>
      </c>
      <c r="FA109" s="55">
        <f>SUMIFS('Disbursements Summary'!$E:$E,'Disbursements Summary'!$C:$C,$C109,'Disbursements Summary'!$A:$A,"OGS")</f>
        <v>0</v>
      </c>
      <c r="FB109" s="55">
        <f>SUMIFS('Awards Summary'!$H:$H,'Awards Summary'!$B:$B,$C109,'Awards Summary'!$J:$J,"OMH")</f>
        <v>0</v>
      </c>
      <c r="FC109" s="55">
        <f>SUMIFS('Disbursements Summary'!$E:$E,'Disbursements Summary'!$C:$C,$C109,'Disbursements Summary'!$A:$A,"OMH")</f>
        <v>0</v>
      </c>
      <c r="FD109" s="55">
        <f>SUMIFS('Awards Summary'!$H:$H,'Awards Summary'!$B:$B,$C109,'Awards Summary'!$J:$J,"PARKS")</f>
        <v>0</v>
      </c>
      <c r="FE109" s="55">
        <f>SUMIFS('Disbursements Summary'!$E:$E,'Disbursements Summary'!$C:$C,$C109,'Disbursements Summary'!$A:$A,"PARKS")</f>
        <v>0</v>
      </c>
      <c r="FF109" s="55">
        <f>SUMIFS('Awards Summary'!$H:$H,'Awards Summary'!$B:$B,$C109,'Awards Summary'!$J:$J,"OTDA")</f>
        <v>0</v>
      </c>
      <c r="FG109" s="55">
        <f>SUMIFS('Disbursements Summary'!$E:$E,'Disbursements Summary'!$C:$C,$C109,'Disbursements Summary'!$A:$A,"OTDA")</f>
        <v>0</v>
      </c>
      <c r="FH109" s="55">
        <f>SUMIFS('Awards Summary'!$H:$H,'Awards Summary'!$B:$B,$C109,'Awards Summary'!$J:$J,"OIG")</f>
        <v>0</v>
      </c>
      <c r="FI109" s="55">
        <f>SUMIFS('Disbursements Summary'!$E:$E,'Disbursements Summary'!$C:$C,$C109,'Disbursements Summary'!$A:$A,"OIG")</f>
        <v>0</v>
      </c>
      <c r="FJ109" s="55">
        <f>SUMIFS('Awards Summary'!$H:$H,'Awards Summary'!$B:$B,$C109,'Awards Summary'!$J:$J,"OMIG")</f>
        <v>0</v>
      </c>
      <c r="FK109" s="55">
        <f>SUMIFS('Disbursements Summary'!$E:$E,'Disbursements Summary'!$C:$C,$C109,'Disbursements Summary'!$A:$A,"OMIG")</f>
        <v>0</v>
      </c>
      <c r="FL109" s="55">
        <f>SUMIFS('Awards Summary'!$H:$H,'Awards Summary'!$B:$B,$C109,'Awards Summary'!$J:$J,"OSC")</f>
        <v>0</v>
      </c>
      <c r="FM109" s="55">
        <f>SUMIFS('Disbursements Summary'!$E:$E,'Disbursements Summary'!$C:$C,$C109,'Disbursements Summary'!$A:$A,"OSC")</f>
        <v>0</v>
      </c>
      <c r="FN109" s="55">
        <f>SUMIFS('Awards Summary'!$H:$H,'Awards Summary'!$B:$B,$C109,'Awards Summary'!$J:$J,"OWIG")</f>
        <v>0</v>
      </c>
      <c r="FO109" s="55">
        <f>SUMIFS('Disbursements Summary'!$E:$E,'Disbursements Summary'!$C:$C,$C109,'Disbursements Summary'!$A:$A,"OWIG")</f>
        <v>0</v>
      </c>
      <c r="FP109" s="55">
        <f>SUMIFS('Awards Summary'!$H:$H,'Awards Summary'!$B:$B,$C109,'Awards Summary'!$J:$J,"OGDEN")</f>
        <v>0</v>
      </c>
      <c r="FQ109" s="55">
        <f>SUMIFS('Disbursements Summary'!$E:$E,'Disbursements Summary'!$C:$C,$C109,'Disbursements Summary'!$A:$A,"OGDEN")</f>
        <v>0</v>
      </c>
      <c r="FR109" s="55">
        <f>SUMIFS('Awards Summary'!$H:$H,'Awards Summary'!$B:$B,$C109,'Awards Summary'!$J:$J,"ORDA")</f>
        <v>0</v>
      </c>
      <c r="FS109" s="55">
        <f>SUMIFS('Disbursements Summary'!$E:$E,'Disbursements Summary'!$C:$C,$C109,'Disbursements Summary'!$A:$A,"ORDA")</f>
        <v>0</v>
      </c>
      <c r="FT109" s="55">
        <f>SUMIFS('Awards Summary'!$H:$H,'Awards Summary'!$B:$B,$C109,'Awards Summary'!$J:$J,"OSWEGO")</f>
        <v>0</v>
      </c>
      <c r="FU109" s="55">
        <f>SUMIFS('Disbursements Summary'!$E:$E,'Disbursements Summary'!$C:$C,$C109,'Disbursements Summary'!$A:$A,"OSWEGO")</f>
        <v>0</v>
      </c>
      <c r="FV109" s="55">
        <f>SUMIFS('Awards Summary'!$H:$H,'Awards Summary'!$B:$B,$C109,'Awards Summary'!$J:$J,"PERB")</f>
        <v>0</v>
      </c>
      <c r="FW109" s="55">
        <f>SUMIFS('Disbursements Summary'!$E:$E,'Disbursements Summary'!$C:$C,$C109,'Disbursements Summary'!$A:$A,"PERB")</f>
        <v>0</v>
      </c>
      <c r="FX109" s="55">
        <f>SUMIFS('Awards Summary'!$H:$H,'Awards Summary'!$B:$B,$C109,'Awards Summary'!$J:$J,"RGRTA")</f>
        <v>0</v>
      </c>
      <c r="FY109" s="55">
        <f>SUMIFS('Disbursements Summary'!$E:$E,'Disbursements Summary'!$C:$C,$C109,'Disbursements Summary'!$A:$A,"RGRTA")</f>
        <v>0</v>
      </c>
      <c r="FZ109" s="55">
        <f>SUMIFS('Awards Summary'!$H:$H,'Awards Summary'!$B:$B,$C109,'Awards Summary'!$J:$J,"RIOC")</f>
        <v>0</v>
      </c>
      <c r="GA109" s="55">
        <f>SUMIFS('Disbursements Summary'!$E:$E,'Disbursements Summary'!$C:$C,$C109,'Disbursements Summary'!$A:$A,"RIOC")</f>
        <v>0</v>
      </c>
      <c r="GB109" s="55">
        <f>SUMIFS('Awards Summary'!$H:$H,'Awards Summary'!$B:$B,$C109,'Awards Summary'!$J:$J,"RPCI")</f>
        <v>0</v>
      </c>
      <c r="GC109" s="55">
        <f>SUMIFS('Disbursements Summary'!$E:$E,'Disbursements Summary'!$C:$C,$C109,'Disbursements Summary'!$A:$A,"RPCI")</f>
        <v>0</v>
      </c>
      <c r="GD109" s="55">
        <f>SUMIFS('Awards Summary'!$H:$H,'Awards Summary'!$B:$B,$C109,'Awards Summary'!$J:$J,"SMDA")</f>
        <v>0</v>
      </c>
      <c r="GE109" s="55">
        <f>SUMIFS('Disbursements Summary'!$E:$E,'Disbursements Summary'!$C:$C,$C109,'Disbursements Summary'!$A:$A,"SMDA")</f>
        <v>0</v>
      </c>
      <c r="GF109" s="55">
        <f>SUMIFS('Awards Summary'!$H:$H,'Awards Summary'!$B:$B,$C109,'Awards Summary'!$J:$J,"SCOC")</f>
        <v>0</v>
      </c>
      <c r="GG109" s="55">
        <f>SUMIFS('Disbursements Summary'!$E:$E,'Disbursements Summary'!$C:$C,$C109,'Disbursements Summary'!$A:$A,"SCOC")</f>
        <v>0</v>
      </c>
      <c r="GH109" s="55">
        <f>SUMIFS('Awards Summary'!$H:$H,'Awards Summary'!$B:$B,$C109,'Awards Summary'!$J:$J,"SUCF")</f>
        <v>0</v>
      </c>
      <c r="GI109" s="55">
        <f>SUMIFS('Disbursements Summary'!$E:$E,'Disbursements Summary'!$C:$C,$C109,'Disbursements Summary'!$A:$A,"SUCF")</f>
        <v>0</v>
      </c>
      <c r="GJ109" s="55">
        <f>SUMIFS('Awards Summary'!$H:$H,'Awards Summary'!$B:$B,$C109,'Awards Summary'!$J:$J,"SUNY")</f>
        <v>0</v>
      </c>
      <c r="GK109" s="55">
        <f>SUMIFS('Disbursements Summary'!$E:$E,'Disbursements Summary'!$C:$C,$C109,'Disbursements Summary'!$A:$A,"SUNY")</f>
        <v>0</v>
      </c>
      <c r="GL109" s="55">
        <f>SUMIFS('Awards Summary'!$H:$H,'Awards Summary'!$B:$B,$C109,'Awards Summary'!$J:$J,"SRAA")</f>
        <v>0</v>
      </c>
      <c r="GM109" s="55">
        <f>SUMIFS('Disbursements Summary'!$E:$E,'Disbursements Summary'!$C:$C,$C109,'Disbursements Summary'!$A:$A,"SRAA")</f>
        <v>0</v>
      </c>
      <c r="GN109" s="55">
        <f>SUMIFS('Awards Summary'!$H:$H,'Awards Summary'!$B:$B,$C109,'Awards Summary'!$J:$J,"UNDC")</f>
        <v>0</v>
      </c>
      <c r="GO109" s="55">
        <f>SUMIFS('Disbursements Summary'!$E:$E,'Disbursements Summary'!$C:$C,$C109,'Disbursements Summary'!$A:$A,"UNDC")</f>
        <v>0</v>
      </c>
      <c r="GP109" s="55">
        <f>SUMIFS('Awards Summary'!$H:$H,'Awards Summary'!$B:$B,$C109,'Awards Summary'!$J:$J,"MVWA")</f>
        <v>0</v>
      </c>
      <c r="GQ109" s="55">
        <f>SUMIFS('Disbursements Summary'!$E:$E,'Disbursements Summary'!$C:$C,$C109,'Disbursements Summary'!$A:$A,"MVWA")</f>
        <v>0</v>
      </c>
      <c r="GR109" s="55">
        <f>SUMIFS('Awards Summary'!$H:$H,'Awards Summary'!$B:$B,$C109,'Awards Summary'!$J:$J,"WMC")</f>
        <v>0</v>
      </c>
      <c r="GS109" s="55">
        <f>SUMIFS('Disbursements Summary'!$E:$E,'Disbursements Summary'!$C:$C,$C109,'Disbursements Summary'!$A:$A,"WMC")</f>
        <v>0</v>
      </c>
      <c r="GT109" s="55">
        <f>SUMIFS('Awards Summary'!$H:$H,'Awards Summary'!$B:$B,$C109,'Awards Summary'!$J:$J,"WCB")</f>
        <v>0</v>
      </c>
      <c r="GU109" s="55">
        <f>SUMIFS('Disbursements Summary'!$E:$E,'Disbursements Summary'!$C:$C,$C109,'Disbursements Summary'!$A:$A,"WCB")</f>
        <v>0</v>
      </c>
      <c r="GV109" s="32">
        <f t="shared" si="10"/>
        <v>0</v>
      </c>
      <c r="GW109" s="32">
        <f t="shared" si="11"/>
        <v>0</v>
      </c>
      <c r="GX109" s="30" t="b">
        <f t="shared" si="12"/>
        <v>1</v>
      </c>
      <c r="GY109" s="30" t="b">
        <f t="shared" si="13"/>
        <v>1</v>
      </c>
    </row>
    <row r="110" spans="1:207" s="30" customFormat="1">
      <c r="A110" s="22" t="str">
        <f t="shared" si="9"/>
        <v/>
      </c>
      <c r="B110" s="64" t="s">
        <v>460</v>
      </c>
      <c r="C110" s="65">
        <v>161260</v>
      </c>
      <c r="D110" s="66">
        <f>COUNTIF('Awards Summary'!B:B,"161260")</f>
        <v>0</v>
      </c>
      <c r="E110" s="67">
        <f>SUMIFS('Awards Summary'!H:H,'Awards Summary'!B:B,"161260")</f>
        <v>0</v>
      </c>
      <c r="F110" s="68">
        <f>SUMIFS('Disbursements Summary'!E:E,'Disbursements Summary'!C:C, "161260")</f>
        <v>0</v>
      </c>
      <c r="H110" s="55">
        <f>SUMIFS('Awards Summary'!$H:$H,'Awards Summary'!$B:$B,$C110,'Awards Summary'!$J:$J,"APA")</f>
        <v>0</v>
      </c>
      <c r="I110" s="55">
        <f>SUMIFS('Disbursements Summary'!$E:$E,'Disbursements Summary'!$C:$C,$C110,'Disbursements Summary'!$A:$A,"APA")</f>
        <v>0</v>
      </c>
      <c r="J110" s="55">
        <f>SUMIFS('Awards Summary'!$H:$H,'Awards Summary'!$B:$B,$C110,'Awards Summary'!$J:$J,"Ag&amp;Horse")</f>
        <v>0</v>
      </c>
      <c r="K110" s="55">
        <f>SUMIFS('Disbursements Summary'!$E:$E,'Disbursements Summary'!$C:$C,$C110,'Disbursements Summary'!$A:$A,"Ag&amp;Horse")</f>
        <v>0</v>
      </c>
      <c r="L110" s="55">
        <f>SUMIFS('Awards Summary'!$H:$H,'Awards Summary'!$B:$B,$C110,'Awards Summary'!$J:$J,"ACAA")</f>
        <v>0</v>
      </c>
      <c r="M110" s="55">
        <f>SUMIFS('Disbursements Summary'!$E:$E,'Disbursements Summary'!$C:$C,$C110,'Disbursements Summary'!$A:$A,"ACAA")</f>
        <v>0</v>
      </c>
      <c r="N110" s="55">
        <f>SUMIFS('Awards Summary'!$H:$H,'Awards Summary'!$B:$B,$C110,'Awards Summary'!$J:$J,"PortAlbany")</f>
        <v>0</v>
      </c>
      <c r="O110" s="55">
        <f>SUMIFS('Disbursements Summary'!$E:$E,'Disbursements Summary'!$C:$C,$C110,'Disbursements Summary'!$A:$A,"PortAlbany")</f>
        <v>0</v>
      </c>
      <c r="P110" s="55">
        <f>SUMIFS('Awards Summary'!$H:$H,'Awards Summary'!$B:$B,$C110,'Awards Summary'!$J:$J,"SLA")</f>
        <v>0</v>
      </c>
      <c r="Q110" s="55">
        <f>SUMIFS('Disbursements Summary'!$E:$E,'Disbursements Summary'!$C:$C,$C110,'Disbursements Summary'!$A:$A,"SLA")</f>
        <v>0</v>
      </c>
      <c r="R110" s="55">
        <f>SUMIFS('Awards Summary'!$H:$H,'Awards Summary'!$B:$B,$C110,'Awards Summary'!$J:$J,"BPCA")</f>
        <v>0</v>
      </c>
      <c r="S110" s="55">
        <f>SUMIFS('Disbursements Summary'!$E:$E,'Disbursements Summary'!$C:$C,$C110,'Disbursements Summary'!$A:$A,"BPCA")</f>
        <v>0</v>
      </c>
      <c r="T110" s="55">
        <f>SUMIFS('Awards Summary'!$H:$H,'Awards Summary'!$B:$B,$C110,'Awards Summary'!$J:$J,"ELECTIONS")</f>
        <v>0</v>
      </c>
      <c r="U110" s="55">
        <f>SUMIFS('Disbursements Summary'!$E:$E,'Disbursements Summary'!$C:$C,$C110,'Disbursements Summary'!$A:$A,"ELECTIONS")</f>
        <v>0</v>
      </c>
      <c r="V110" s="55">
        <f>SUMIFS('Awards Summary'!$H:$H,'Awards Summary'!$B:$B,$C110,'Awards Summary'!$J:$J,"BFSA")</f>
        <v>0</v>
      </c>
      <c r="W110" s="55">
        <f>SUMIFS('Disbursements Summary'!$E:$E,'Disbursements Summary'!$C:$C,$C110,'Disbursements Summary'!$A:$A,"BFSA")</f>
        <v>0</v>
      </c>
      <c r="X110" s="55">
        <f>SUMIFS('Awards Summary'!$H:$H,'Awards Summary'!$B:$B,$C110,'Awards Summary'!$J:$J,"CDTA")</f>
        <v>0</v>
      </c>
      <c r="Y110" s="55">
        <f>SUMIFS('Disbursements Summary'!$E:$E,'Disbursements Summary'!$C:$C,$C110,'Disbursements Summary'!$A:$A,"CDTA")</f>
        <v>0</v>
      </c>
      <c r="Z110" s="55">
        <f>SUMIFS('Awards Summary'!$H:$H,'Awards Summary'!$B:$B,$C110,'Awards Summary'!$J:$J,"CCWSA")</f>
        <v>0</v>
      </c>
      <c r="AA110" s="55">
        <f>SUMIFS('Disbursements Summary'!$E:$E,'Disbursements Summary'!$C:$C,$C110,'Disbursements Summary'!$A:$A,"CCWSA")</f>
        <v>0</v>
      </c>
      <c r="AB110" s="55">
        <f>SUMIFS('Awards Summary'!$H:$H,'Awards Summary'!$B:$B,$C110,'Awards Summary'!$J:$J,"CNYRTA")</f>
        <v>0</v>
      </c>
      <c r="AC110" s="55">
        <f>SUMIFS('Disbursements Summary'!$E:$E,'Disbursements Summary'!$C:$C,$C110,'Disbursements Summary'!$A:$A,"CNYRTA")</f>
        <v>0</v>
      </c>
      <c r="AD110" s="55">
        <f>SUMIFS('Awards Summary'!$H:$H,'Awards Summary'!$B:$B,$C110,'Awards Summary'!$J:$J,"CUCF")</f>
        <v>0</v>
      </c>
      <c r="AE110" s="55">
        <f>SUMIFS('Disbursements Summary'!$E:$E,'Disbursements Summary'!$C:$C,$C110,'Disbursements Summary'!$A:$A,"CUCF")</f>
        <v>0</v>
      </c>
      <c r="AF110" s="55">
        <f>SUMIFS('Awards Summary'!$H:$H,'Awards Summary'!$B:$B,$C110,'Awards Summary'!$J:$J,"CUNY")</f>
        <v>0</v>
      </c>
      <c r="AG110" s="55">
        <f>SUMIFS('Disbursements Summary'!$E:$E,'Disbursements Summary'!$C:$C,$C110,'Disbursements Summary'!$A:$A,"CUNY")</f>
        <v>0</v>
      </c>
      <c r="AH110" s="55">
        <f>SUMIFS('Awards Summary'!$H:$H,'Awards Summary'!$B:$B,$C110,'Awards Summary'!$J:$J,"ARTS")</f>
        <v>0</v>
      </c>
      <c r="AI110" s="55">
        <f>SUMIFS('Disbursements Summary'!$E:$E,'Disbursements Summary'!$C:$C,$C110,'Disbursements Summary'!$A:$A,"ARTS")</f>
        <v>0</v>
      </c>
      <c r="AJ110" s="55">
        <f>SUMIFS('Awards Summary'!$H:$H,'Awards Summary'!$B:$B,$C110,'Awards Summary'!$J:$J,"AG&amp;MKTS")</f>
        <v>0</v>
      </c>
      <c r="AK110" s="55">
        <f>SUMIFS('Disbursements Summary'!$E:$E,'Disbursements Summary'!$C:$C,$C110,'Disbursements Summary'!$A:$A,"AG&amp;MKTS")</f>
        <v>0</v>
      </c>
      <c r="AL110" s="55">
        <f>SUMIFS('Awards Summary'!$H:$H,'Awards Summary'!$B:$B,$C110,'Awards Summary'!$J:$J,"CS")</f>
        <v>0</v>
      </c>
      <c r="AM110" s="55">
        <f>SUMIFS('Disbursements Summary'!$E:$E,'Disbursements Summary'!$C:$C,$C110,'Disbursements Summary'!$A:$A,"CS")</f>
        <v>0</v>
      </c>
      <c r="AN110" s="55">
        <f>SUMIFS('Awards Summary'!$H:$H,'Awards Summary'!$B:$B,$C110,'Awards Summary'!$J:$J,"DOCCS")</f>
        <v>0</v>
      </c>
      <c r="AO110" s="55">
        <f>SUMIFS('Disbursements Summary'!$E:$E,'Disbursements Summary'!$C:$C,$C110,'Disbursements Summary'!$A:$A,"DOCCS")</f>
        <v>0</v>
      </c>
      <c r="AP110" s="55">
        <f>SUMIFS('Awards Summary'!$H:$H,'Awards Summary'!$B:$B,$C110,'Awards Summary'!$J:$J,"DED")</f>
        <v>0</v>
      </c>
      <c r="AQ110" s="55">
        <f>SUMIFS('Disbursements Summary'!$E:$E,'Disbursements Summary'!$C:$C,$C110,'Disbursements Summary'!$A:$A,"DED")</f>
        <v>0</v>
      </c>
      <c r="AR110" s="55">
        <f>SUMIFS('Awards Summary'!$H:$H,'Awards Summary'!$B:$B,$C110,'Awards Summary'!$J:$J,"DEC")</f>
        <v>0</v>
      </c>
      <c r="AS110" s="55">
        <f>SUMIFS('Disbursements Summary'!$E:$E,'Disbursements Summary'!$C:$C,$C110,'Disbursements Summary'!$A:$A,"DEC")</f>
        <v>0</v>
      </c>
      <c r="AT110" s="55">
        <f>SUMIFS('Awards Summary'!$H:$H,'Awards Summary'!$B:$B,$C110,'Awards Summary'!$J:$J,"DFS")</f>
        <v>0</v>
      </c>
      <c r="AU110" s="55">
        <f>SUMIFS('Disbursements Summary'!$E:$E,'Disbursements Summary'!$C:$C,$C110,'Disbursements Summary'!$A:$A,"DFS")</f>
        <v>0</v>
      </c>
      <c r="AV110" s="55">
        <f>SUMIFS('Awards Summary'!$H:$H,'Awards Summary'!$B:$B,$C110,'Awards Summary'!$J:$J,"DOH")</f>
        <v>0</v>
      </c>
      <c r="AW110" s="55">
        <f>SUMIFS('Disbursements Summary'!$E:$E,'Disbursements Summary'!$C:$C,$C110,'Disbursements Summary'!$A:$A,"DOH")</f>
        <v>0</v>
      </c>
      <c r="AX110" s="55">
        <f>SUMIFS('Awards Summary'!$H:$H,'Awards Summary'!$B:$B,$C110,'Awards Summary'!$J:$J,"DOL")</f>
        <v>0</v>
      </c>
      <c r="AY110" s="55">
        <f>SUMIFS('Disbursements Summary'!$E:$E,'Disbursements Summary'!$C:$C,$C110,'Disbursements Summary'!$A:$A,"DOL")</f>
        <v>0</v>
      </c>
      <c r="AZ110" s="55">
        <f>SUMIFS('Awards Summary'!$H:$H,'Awards Summary'!$B:$B,$C110,'Awards Summary'!$J:$J,"DMV")</f>
        <v>0</v>
      </c>
      <c r="BA110" s="55">
        <f>SUMIFS('Disbursements Summary'!$E:$E,'Disbursements Summary'!$C:$C,$C110,'Disbursements Summary'!$A:$A,"DMV")</f>
        <v>0</v>
      </c>
      <c r="BB110" s="55">
        <f>SUMIFS('Awards Summary'!$H:$H,'Awards Summary'!$B:$B,$C110,'Awards Summary'!$J:$J,"DPS")</f>
        <v>0</v>
      </c>
      <c r="BC110" s="55">
        <f>SUMIFS('Disbursements Summary'!$E:$E,'Disbursements Summary'!$C:$C,$C110,'Disbursements Summary'!$A:$A,"DPS")</f>
        <v>0</v>
      </c>
      <c r="BD110" s="55">
        <f>SUMIFS('Awards Summary'!$H:$H,'Awards Summary'!$B:$B,$C110,'Awards Summary'!$J:$J,"DOS")</f>
        <v>0</v>
      </c>
      <c r="BE110" s="55">
        <f>SUMIFS('Disbursements Summary'!$E:$E,'Disbursements Summary'!$C:$C,$C110,'Disbursements Summary'!$A:$A,"DOS")</f>
        <v>0</v>
      </c>
      <c r="BF110" s="55">
        <f>SUMIFS('Awards Summary'!$H:$H,'Awards Summary'!$B:$B,$C110,'Awards Summary'!$J:$J,"TAX")</f>
        <v>0</v>
      </c>
      <c r="BG110" s="55">
        <f>SUMIFS('Disbursements Summary'!$E:$E,'Disbursements Summary'!$C:$C,$C110,'Disbursements Summary'!$A:$A,"TAX")</f>
        <v>0</v>
      </c>
      <c r="BH110" s="55">
        <f>SUMIFS('Awards Summary'!$H:$H,'Awards Summary'!$B:$B,$C110,'Awards Summary'!$J:$J,"DOT")</f>
        <v>0</v>
      </c>
      <c r="BI110" s="55">
        <f>SUMIFS('Disbursements Summary'!$E:$E,'Disbursements Summary'!$C:$C,$C110,'Disbursements Summary'!$A:$A,"DOT")</f>
        <v>0</v>
      </c>
      <c r="BJ110" s="55">
        <f>SUMIFS('Awards Summary'!$H:$H,'Awards Summary'!$B:$B,$C110,'Awards Summary'!$J:$J,"DANC")</f>
        <v>0</v>
      </c>
      <c r="BK110" s="55">
        <f>SUMIFS('Disbursements Summary'!$E:$E,'Disbursements Summary'!$C:$C,$C110,'Disbursements Summary'!$A:$A,"DANC")</f>
        <v>0</v>
      </c>
      <c r="BL110" s="55">
        <f>SUMIFS('Awards Summary'!$H:$H,'Awards Summary'!$B:$B,$C110,'Awards Summary'!$J:$J,"DOB")</f>
        <v>0</v>
      </c>
      <c r="BM110" s="55">
        <f>SUMIFS('Disbursements Summary'!$E:$E,'Disbursements Summary'!$C:$C,$C110,'Disbursements Summary'!$A:$A,"DOB")</f>
        <v>0</v>
      </c>
      <c r="BN110" s="55">
        <f>SUMIFS('Awards Summary'!$H:$H,'Awards Summary'!$B:$B,$C110,'Awards Summary'!$J:$J,"DCJS")</f>
        <v>0</v>
      </c>
      <c r="BO110" s="55">
        <f>SUMIFS('Disbursements Summary'!$E:$E,'Disbursements Summary'!$C:$C,$C110,'Disbursements Summary'!$A:$A,"DCJS")</f>
        <v>0</v>
      </c>
      <c r="BP110" s="55">
        <f>SUMIFS('Awards Summary'!$H:$H,'Awards Summary'!$B:$B,$C110,'Awards Summary'!$J:$J,"DHSES")</f>
        <v>0</v>
      </c>
      <c r="BQ110" s="55">
        <f>SUMIFS('Disbursements Summary'!$E:$E,'Disbursements Summary'!$C:$C,$C110,'Disbursements Summary'!$A:$A,"DHSES")</f>
        <v>0</v>
      </c>
      <c r="BR110" s="55">
        <f>SUMIFS('Awards Summary'!$H:$H,'Awards Summary'!$B:$B,$C110,'Awards Summary'!$J:$J,"DHR")</f>
        <v>0</v>
      </c>
      <c r="BS110" s="55">
        <f>SUMIFS('Disbursements Summary'!$E:$E,'Disbursements Summary'!$C:$C,$C110,'Disbursements Summary'!$A:$A,"DHR")</f>
        <v>0</v>
      </c>
      <c r="BT110" s="55">
        <f>SUMIFS('Awards Summary'!$H:$H,'Awards Summary'!$B:$B,$C110,'Awards Summary'!$J:$J,"DMNA")</f>
        <v>0</v>
      </c>
      <c r="BU110" s="55">
        <f>SUMIFS('Disbursements Summary'!$E:$E,'Disbursements Summary'!$C:$C,$C110,'Disbursements Summary'!$A:$A,"DMNA")</f>
        <v>0</v>
      </c>
      <c r="BV110" s="55">
        <f>SUMIFS('Awards Summary'!$H:$H,'Awards Summary'!$B:$B,$C110,'Awards Summary'!$J:$J,"TROOPERS")</f>
        <v>0</v>
      </c>
      <c r="BW110" s="55">
        <f>SUMIFS('Disbursements Summary'!$E:$E,'Disbursements Summary'!$C:$C,$C110,'Disbursements Summary'!$A:$A,"TROOPERS")</f>
        <v>0</v>
      </c>
      <c r="BX110" s="55">
        <f>SUMIFS('Awards Summary'!$H:$H,'Awards Summary'!$B:$B,$C110,'Awards Summary'!$J:$J,"DVA")</f>
        <v>0</v>
      </c>
      <c r="BY110" s="55">
        <f>SUMIFS('Disbursements Summary'!$E:$E,'Disbursements Summary'!$C:$C,$C110,'Disbursements Summary'!$A:$A,"DVA")</f>
        <v>0</v>
      </c>
      <c r="BZ110" s="55">
        <f>SUMIFS('Awards Summary'!$H:$H,'Awards Summary'!$B:$B,$C110,'Awards Summary'!$J:$J,"DASNY")</f>
        <v>0</v>
      </c>
      <c r="CA110" s="55">
        <f>SUMIFS('Disbursements Summary'!$E:$E,'Disbursements Summary'!$C:$C,$C110,'Disbursements Summary'!$A:$A,"DASNY")</f>
        <v>0</v>
      </c>
      <c r="CB110" s="55">
        <f>SUMIFS('Awards Summary'!$H:$H,'Awards Summary'!$B:$B,$C110,'Awards Summary'!$J:$J,"EGG")</f>
        <v>0</v>
      </c>
      <c r="CC110" s="55">
        <f>SUMIFS('Disbursements Summary'!$E:$E,'Disbursements Summary'!$C:$C,$C110,'Disbursements Summary'!$A:$A,"EGG")</f>
        <v>0</v>
      </c>
      <c r="CD110" s="55">
        <f>SUMIFS('Awards Summary'!$H:$H,'Awards Summary'!$B:$B,$C110,'Awards Summary'!$J:$J,"ESD")</f>
        <v>0</v>
      </c>
      <c r="CE110" s="55">
        <f>SUMIFS('Disbursements Summary'!$E:$E,'Disbursements Summary'!$C:$C,$C110,'Disbursements Summary'!$A:$A,"ESD")</f>
        <v>0</v>
      </c>
      <c r="CF110" s="55">
        <f>SUMIFS('Awards Summary'!$H:$H,'Awards Summary'!$B:$B,$C110,'Awards Summary'!$J:$J,"EFC")</f>
        <v>0</v>
      </c>
      <c r="CG110" s="55">
        <f>SUMIFS('Disbursements Summary'!$E:$E,'Disbursements Summary'!$C:$C,$C110,'Disbursements Summary'!$A:$A,"EFC")</f>
        <v>0</v>
      </c>
      <c r="CH110" s="55">
        <f>SUMIFS('Awards Summary'!$H:$H,'Awards Summary'!$B:$B,$C110,'Awards Summary'!$J:$J,"ECFSA")</f>
        <v>0</v>
      </c>
      <c r="CI110" s="55">
        <f>SUMIFS('Disbursements Summary'!$E:$E,'Disbursements Summary'!$C:$C,$C110,'Disbursements Summary'!$A:$A,"ECFSA")</f>
        <v>0</v>
      </c>
      <c r="CJ110" s="55">
        <f>SUMIFS('Awards Summary'!$H:$H,'Awards Summary'!$B:$B,$C110,'Awards Summary'!$J:$J,"ECMC")</f>
        <v>0</v>
      </c>
      <c r="CK110" s="55">
        <f>SUMIFS('Disbursements Summary'!$E:$E,'Disbursements Summary'!$C:$C,$C110,'Disbursements Summary'!$A:$A,"ECMC")</f>
        <v>0</v>
      </c>
      <c r="CL110" s="55">
        <f>SUMIFS('Awards Summary'!$H:$H,'Awards Summary'!$B:$B,$C110,'Awards Summary'!$J:$J,"CHAMBER")</f>
        <v>0</v>
      </c>
      <c r="CM110" s="55">
        <f>SUMIFS('Disbursements Summary'!$E:$E,'Disbursements Summary'!$C:$C,$C110,'Disbursements Summary'!$A:$A,"CHAMBER")</f>
        <v>0</v>
      </c>
      <c r="CN110" s="55">
        <f>SUMIFS('Awards Summary'!$H:$H,'Awards Summary'!$B:$B,$C110,'Awards Summary'!$J:$J,"GAMING")</f>
        <v>0</v>
      </c>
      <c r="CO110" s="55">
        <f>SUMIFS('Disbursements Summary'!$E:$E,'Disbursements Summary'!$C:$C,$C110,'Disbursements Summary'!$A:$A,"GAMING")</f>
        <v>0</v>
      </c>
      <c r="CP110" s="55">
        <f>SUMIFS('Awards Summary'!$H:$H,'Awards Summary'!$B:$B,$C110,'Awards Summary'!$J:$J,"GOER")</f>
        <v>0</v>
      </c>
      <c r="CQ110" s="55">
        <f>SUMIFS('Disbursements Summary'!$E:$E,'Disbursements Summary'!$C:$C,$C110,'Disbursements Summary'!$A:$A,"GOER")</f>
        <v>0</v>
      </c>
      <c r="CR110" s="55">
        <f>SUMIFS('Awards Summary'!$H:$H,'Awards Summary'!$B:$B,$C110,'Awards Summary'!$J:$J,"HESC")</f>
        <v>0</v>
      </c>
      <c r="CS110" s="55">
        <f>SUMIFS('Disbursements Summary'!$E:$E,'Disbursements Summary'!$C:$C,$C110,'Disbursements Summary'!$A:$A,"HESC")</f>
        <v>0</v>
      </c>
      <c r="CT110" s="55">
        <f>SUMIFS('Awards Summary'!$H:$H,'Awards Summary'!$B:$B,$C110,'Awards Summary'!$J:$J,"GOSR")</f>
        <v>0</v>
      </c>
      <c r="CU110" s="55">
        <f>SUMIFS('Disbursements Summary'!$E:$E,'Disbursements Summary'!$C:$C,$C110,'Disbursements Summary'!$A:$A,"GOSR")</f>
        <v>0</v>
      </c>
      <c r="CV110" s="55">
        <f>SUMIFS('Awards Summary'!$H:$H,'Awards Summary'!$B:$B,$C110,'Awards Summary'!$J:$J,"HRPT")</f>
        <v>0</v>
      </c>
      <c r="CW110" s="55">
        <f>SUMIFS('Disbursements Summary'!$E:$E,'Disbursements Summary'!$C:$C,$C110,'Disbursements Summary'!$A:$A,"HRPT")</f>
        <v>0</v>
      </c>
      <c r="CX110" s="55">
        <f>SUMIFS('Awards Summary'!$H:$H,'Awards Summary'!$B:$B,$C110,'Awards Summary'!$J:$J,"HRBRRD")</f>
        <v>0</v>
      </c>
      <c r="CY110" s="55">
        <f>SUMIFS('Disbursements Summary'!$E:$E,'Disbursements Summary'!$C:$C,$C110,'Disbursements Summary'!$A:$A,"HRBRRD")</f>
        <v>0</v>
      </c>
      <c r="CZ110" s="55">
        <f>SUMIFS('Awards Summary'!$H:$H,'Awards Summary'!$B:$B,$C110,'Awards Summary'!$J:$J,"ITS")</f>
        <v>0</v>
      </c>
      <c r="DA110" s="55">
        <f>SUMIFS('Disbursements Summary'!$E:$E,'Disbursements Summary'!$C:$C,$C110,'Disbursements Summary'!$A:$A,"ITS")</f>
        <v>0</v>
      </c>
      <c r="DB110" s="55">
        <f>SUMIFS('Awards Summary'!$H:$H,'Awards Summary'!$B:$B,$C110,'Awards Summary'!$J:$J,"JAVITS")</f>
        <v>0</v>
      </c>
      <c r="DC110" s="55">
        <f>SUMIFS('Disbursements Summary'!$E:$E,'Disbursements Summary'!$C:$C,$C110,'Disbursements Summary'!$A:$A,"JAVITS")</f>
        <v>0</v>
      </c>
      <c r="DD110" s="55">
        <f>SUMIFS('Awards Summary'!$H:$H,'Awards Summary'!$B:$B,$C110,'Awards Summary'!$J:$J,"JCOPE")</f>
        <v>0</v>
      </c>
      <c r="DE110" s="55">
        <f>SUMIFS('Disbursements Summary'!$E:$E,'Disbursements Summary'!$C:$C,$C110,'Disbursements Summary'!$A:$A,"JCOPE")</f>
        <v>0</v>
      </c>
      <c r="DF110" s="55">
        <f>SUMIFS('Awards Summary'!$H:$H,'Awards Summary'!$B:$B,$C110,'Awards Summary'!$J:$J,"JUSTICE")</f>
        <v>0</v>
      </c>
      <c r="DG110" s="55">
        <f>SUMIFS('Disbursements Summary'!$E:$E,'Disbursements Summary'!$C:$C,$C110,'Disbursements Summary'!$A:$A,"JUSTICE")</f>
        <v>0</v>
      </c>
      <c r="DH110" s="55">
        <f>SUMIFS('Awards Summary'!$H:$H,'Awards Summary'!$B:$B,$C110,'Awards Summary'!$J:$J,"LCWSA")</f>
        <v>0</v>
      </c>
      <c r="DI110" s="55">
        <f>SUMIFS('Disbursements Summary'!$E:$E,'Disbursements Summary'!$C:$C,$C110,'Disbursements Summary'!$A:$A,"LCWSA")</f>
        <v>0</v>
      </c>
      <c r="DJ110" s="55">
        <f>SUMIFS('Awards Summary'!$H:$H,'Awards Summary'!$B:$B,$C110,'Awards Summary'!$J:$J,"LIPA")</f>
        <v>0</v>
      </c>
      <c r="DK110" s="55">
        <f>SUMIFS('Disbursements Summary'!$E:$E,'Disbursements Summary'!$C:$C,$C110,'Disbursements Summary'!$A:$A,"LIPA")</f>
        <v>0</v>
      </c>
      <c r="DL110" s="55">
        <f>SUMIFS('Awards Summary'!$H:$H,'Awards Summary'!$B:$B,$C110,'Awards Summary'!$J:$J,"MTA")</f>
        <v>0</v>
      </c>
      <c r="DM110" s="55">
        <f>SUMIFS('Disbursements Summary'!$E:$E,'Disbursements Summary'!$C:$C,$C110,'Disbursements Summary'!$A:$A,"MTA")</f>
        <v>0</v>
      </c>
      <c r="DN110" s="55">
        <f>SUMIFS('Awards Summary'!$H:$H,'Awards Summary'!$B:$B,$C110,'Awards Summary'!$J:$J,"NIFA")</f>
        <v>0</v>
      </c>
      <c r="DO110" s="55">
        <f>SUMIFS('Disbursements Summary'!$E:$E,'Disbursements Summary'!$C:$C,$C110,'Disbursements Summary'!$A:$A,"NIFA")</f>
        <v>0</v>
      </c>
      <c r="DP110" s="55">
        <f>SUMIFS('Awards Summary'!$H:$H,'Awards Summary'!$B:$B,$C110,'Awards Summary'!$J:$J,"NHCC")</f>
        <v>0</v>
      </c>
      <c r="DQ110" s="55">
        <f>SUMIFS('Disbursements Summary'!$E:$E,'Disbursements Summary'!$C:$C,$C110,'Disbursements Summary'!$A:$A,"NHCC")</f>
        <v>0</v>
      </c>
      <c r="DR110" s="55">
        <f>SUMIFS('Awards Summary'!$H:$H,'Awards Summary'!$B:$B,$C110,'Awards Summary'!$J:$J,"NHT")</f>
        <v>0</v>
      </c>
      <c r="DS110" s="55">
        <f>SUMIFS('Disbursements Summary'!$E:$E,'Disbursements Summary'!$C:$C,$C110,'Disbursements Summary'!$A:$A,"NHT")</f>
        <v>0</v>
      </c>
      <c r="DT110" s="55">
        <f>SUMIFS('Awards Summary'!$H:$H,'Awards Summary'!$B:$B,$C110,'Awards Summary'!$J:$J,"NYPA")</f>
        <v>0</v>
      </c>
      <c r="DU110" s="55">
        <f>SUMIFS('Disbursements Summary'!$E:$E,'Disbursements Summary'!$C:$C,$C110,'Disbursements Summary'!$A:$A,"NYPA")</f>
        <v>0</v>
      </c>
      <c r="DV110" s="55">
        <f>SUMIFS('Awards Summary'!$H:$H,'Awards Summary'!$B:$B,$C110,'Awards Summary'!$J:$J,"NYSBA")</f>
        <v>0</v>
      </c>
      <c r="DW110" s="55">
        <f>SUMIFS('Disbursements Summary'!$E:$E,'Disbursements Summary'!$C:$C,$C110,'Disbursements Summary'!$A:$A,"NYSBA")</f>
        <v>0</v>
      </c>
      <c r="DX110" s="55">
        <f>SUMIFS('Awards Summary'!$H:$H,'Awards Summary'!$B:$B,$C110,'Awards Summary'!$J:$J,"NYSERDA")</f>
        <v>0</v>
      </c>
      <c r="DY110" s="55">
        <f>SUMIFS('Disbursements Summary'!$E:$E,'Disbursements Summary'!$C:$C,$C110,'Disbursements Summary'!$A:$A,"NYSERDA")</f>
        <v>0</v>
      </c>
      <c r="DZ110" s="55">
        <f>SUMIFS('Awards Summary'!$H:$H,'Awards Summary'!$B:$B,$C110,'Awards Summary'!$J:$J,"DHCR")</f>
        <v>0</v>
      </c>
      <c r="EA110" s="55">
        <f>SUMIFS('Disbursements Summary'!$E:$E,'Disbursements Summary'!$C:$C,$C110,'Disbursements Summary'!$A:$A,"DHCR")</f>
        <v>0</v>
      </c>
      <c r="EB110" s="55">
        <f>SUMIFS('Awards Summary'!$H:$H,'Awards Summary'!$B:$B,$C110,'Awards Summary'!$J:$J,"HFA")</f>
        <v>0</v>
      </c>
      <c r="EC110" s="55">
        <f>SUMIFS('Disbursements Summary'!$E:$E,'Disbursements Summary'!$C:$C,$C110,'Disbursements Summary'!$A:$A,"HFA")</f>
        <v>0</v>
      </c>
      <c r="ED110" s="55">
        <f>SUMIFS('Awards Summary'!$H:$H,'Awards Summary'!$B:$B,$C110,'Awards Summary'!$J:$J,"NYSIF")</f>
        <v>0</v>
      </c>
      <c r="EE110" s="55">
        <f>SUMIFS('Disbursements Summary'!$E:$E,'Disbursements Summary'!$C:$C,$C110,'Disbursements Summary'!$A:$A,"NYSIF")</f>
        <v>0</v>
      </c>
      <c r="EF110" s="55">
        <f>SUMIFS('Awards Summary'!$H:$H,'Awards Summary'!$B:$B,$C110,'Awards Summary'!$J:$J,"NYBREDS")</f>
        <v>0</v>
      </c>
      <c r="EG110" s="55">
        <f>SUMIFS('Disbursements Summary'!$E:$E,'Disbursements Summary'!$C:$C,$C110,'Disbursements Summary'!$A:$A,"NYBREDS")</f>
        <v>0</v>
      </c>
      <c r="EH110" s="55">
        <f>SUMIFS('Awards Summary'!$H:$H,'Awards Summary'!$B:$B,$C110,'Awards Summary'!$J:$J,"NYSTA")</f>
        <v>0</v>
      </c>
      <c r="EI110" s="55">
        <f>SUMIFS('Disbursements Summary'!$E:$E,'Disbursements Summary'!$C:$C,$C110,'Disbursements Summary'!$A:$A,"NYSTA")</f>
        <v>0</v>
      </c>
      <c r="EJ110" s="55">
        <f>SUMIFS('Awards Summary'!$H:$H,'Awards Summary'!$B:$B,$C110,'Awards Summary'!$J:$J,"NFWB")</f>
        <v>0</v>
      </c>
      <c r="EK110" s="55">
        <f>SUMIFS('Disbursements Summary'!$E:$E,'Disbursements Summary'!$C:$C,$C110,'Disbursements Summary'!$A:$A,"NFWB")</f>
        <v>0</v>
      </c>
      <c r="EL110" s="55">
        <f>SUMIFS('Awards Summary'!$H:$H,'Awards Summary'!$B:$B,$C110,'Awards Summary'!$J:$J,"NFTA")</f>
        <v>0</v>
      </c>
      <c r="EM110" s="55">
        <f>SUMIFS('Disbursements Summary'!$E:$E,'Disbursements Summary'!$C:$C,$C110,'Disbursements Summary'!$A:$A,"NFTA")</f>
        <v>0</v>
      </c>
      <c r="EN110" s="55">
        <f>SUMIFS('Awards Summary'!$H:$H,'Awards Summary'!$B:$B,$C110,'Awards Summary'!$J:$J,"OPWDD")</f>
        <v>0</v>
      </c>
      <c r="EO110" s="55">
        <f>SUMIFS('Disbursements Summary'!$E:$E,'Disbursements Summary'!$C:$C,$C110,'Disbursements Summary'!$A:$A,"OPWDD")</f>
        <v>0</v>
      </c>
      <c r="EP110" s="55">
        <f>SUMIFS('Awards Summary'!$H:$H,'Awards Summary'!$B:$B,$C110,'Awards Summary'!$J:$J,"AGING")</f>
        <v>0</v>
      </c>
      <c r="EQ110" s="55">
        <f>SUMIFS('Disbursements Summary'!$E:$E,'Disbursements Summary'!$C:$C,$C110,'Disbursements Summary'!$A:$A,"AGING")</f>
        <v>0</v>
      </c>
      <c r="ER110" s="55">
        <f>SUMIFS('Awards Summary'!$H:$H,'Awards Summary'!$B:$B,$C110,'Awards Summary'!$J:$J,"OPDV")</f>
        <v>0</v>
      </c>
      <c r="ES110" s="55">
        <f>SUMIFS('Disbursements Summary'!$E:$E,'Disbursements Summary'!$C:$C,$C110,'Disbursements Summary'!$A:$A,"OPDV")</f>
        <v>0</v>
      </c>
      <c r="ET110" s="55">
        <f>SUMIFS('Awards Summary'!$H:$H,'Awards Summary'!$B:$B,$C110,'Awards Summary'!$J:$J,"OVS")</f>
        <v>0</v>
      </c>
      <c r="EU110" s="55">
        <f>SUMIFS('Disbursements Summary'!$E:$E,'Disbursements Summary'!$C:$C,$C110,'Disbursements Summary'!$A:$A,"OVS")</f>
        <v>0</v>
      </c>
      <c r="EV110" s="55">
        <f>SUMIFS('Awards Summary'!$H:$H,'Awards Summary'!$B:$B,$C110,'Awards Summary'!$J:$J,"OASAS")</f>
        <v>0</v>
      </c>
      <c r="EW110" s="55">
        <f>SUMIFS('Disbursements Summary'!$E:$E,'Disbursements Summary'!$C:$C,$C110,'Disbursements Summary'!$A:$A,"OASAS")</f>
        <v>0</v>
      </c>
      <c r="EX110" s="55">
        <f>SUMIFS('Awards Summary'!$H:$H,'Awards Summary'!$B:$B,$C110,'Awards Summary'!$J:$J,"OCFS")</f>
        <v>0</v>
      </c>
      <c r="EY110" s="55">
        <f>SUMIFS('Disbursements Summary'!$E:$E,'Disbursements Summary'!$C:$C,$C110,'Disbursements Summary'!$A:$A,"OCFS")</f>
        <v>0</v>
      </c>
      <c r="EZ110" s="55">
        <f>SUMIFS('Awards Summary'!$H:$H,'Awards Summary'!$B:$B,$C110,'Awards Summary'!$J:$J,"OGS")</f>
        <v>0</v>
      </c>
      <c r="FA110" s="55">
        <f>SUMIFS('Disbursements Summary'!$E:$E,'Disbursements Summary'!$C:$C,$C110,'Disbursements Summary'!$A:$A,"OGS")</f>
        <v>0</v>
      </c>
      <c r="FB110" s="55">
        <f>SUMIFS('Awards Summary'!$H:$H,'Awards Summary'!$B:$B,$C110,'Awards Summary'!$J:$J,"OMH")</f>
        <v>0</v>
      </c>
      <c r="FC110" s="55">
        <f>SUMIFS('Disbursements Summary'!$E:$E,'Disbursements Summary'!$C:$C,$C110,'Disbursements Summary'!$A:$A,"OMH")</f>
        <v>0</v>
      </c>
      <c r="FD110" s="55">
        <f>SUMIFS('Awards Summary'!$H:$H,'Awards Summary'!$B:$B,$C110,'Awards Summary'!$J:$J,"PARKS")</f>
        <v>0</v>
      </c>
      <c r="FE110" s="55">
        <f>SUMIFS('Disbursements Summary'!$E:$E,'Disbursements Summary'!$C:$C,$C110,'Disbursements Summary'!$A:$A,"PARKS")</f>
        <v>0</v>
      </c>
      <c r="FF110" s="55">
        <f>SUMIFS('Awards Summary'!$H:$H,'Awards Summary'!$B:$B,$C110,'Awards Summary'!$J:$J,"OTDA")</f>
        <v>0</v>
      </c>
      <c r="FG110" s="55">
        <f>SUMIFS('Disbursements Summary'!$E:$E,'Disbursements Summary'!$C:$C,$C110,'Disbursements Summary'!$A:$A,"OTDA")</f>
        <v>0</v>
      </c>
      <c r="FH110" s="55">
        <f>SUMIFS('Awards Summary'!$H:$H,'Awards Summary'!$B:$B,$C110,'Awards Summary'!$J:$J,"OIG")</f>
        <v>0</v>
      </c>
      <c r="FI110" s="55">
        <f>SUMIFS('Disbursements Summary'!$E:$E,'Disbursements Summary'!$C:$C,$C110,'Disbursements Summary'!$A:$A,"OIG")</f>
        <v>0</v>
      </c>
      <c r="FJ110" s="55">
        <f>SUMIFS('Awards Summary'!$H:$H,'Awards Summary'!$B:$B,$C110,'Awards Summary'!$J:$J,"OMIG")</f>
        <v>0</v>
      </c>
      <c r="FK110" s="55">
        <f>SUMIFS('Disbursements Summary'!$E:$E,'Disbursements Summary'!$C:$C,$C110,'Disbursements Summary'!$A:$A,"OMIG")</f>
        <v>0</v>
      </c>
      <c r="FL110" s="55">
        <f>SUMIFS('Awards Summary'!$H:$H,'Awards Summary'!$B:$B,$C110,'Awards Summary'!$J:$J,"OSC")</f>
        <v>0</v>
      </c>
      <c r="FM110" s="55">
        <f>SUMIFS('Disbursements Summary'!$E:$E,'Disbursements Summary'!$C:$C,$C110,'Disbursements Summary'!$A:$A,"OSC")</f>
        <v>0</v>
      </c>
      <c r="FN110" s="55">
        <f>SUMIFS('Awards Summary'!$H:$H,'Awards Summary'!$B:$B,$C110,'Awards Summary'!$J:$J,"OWIG")</f>
        <v>0</v>
      </c>
      <c r="FO110" s="55">
        <f>SUMIFS('Disbursements Summary'!$E:$E,'Disbursements Summary'!$C:$C,$C110,'Disbursements Summary'!$A:$A,"OWIG")</f>
        <v>0</v>
      </c>
      <c r="FP110" s="55">
        <f>SUMIFS('Awards Summary'!$H:$H,'Awards Summary'!$B:$B,$C110,'Awards Summary'!$J:$J,"OGDEN")</f>
        <v>0</v>
      </c>
      <c r="FQ110" s="55">
        <f>SUMIFS('Disbursements Summary'!$E:$E,'Disbursements Summary'!$C:$C,$C110,'Disbursements Summary'!$A:$A,"OGDEN")</f>
        <v>0</v>
      </c>
      <c r="FR110" s="55">
        <f>SUMIFS('Awards Summary'!$H:$H,'Awards Summary'!$B:$B,$C110,'Awards Summary'!$J:$J,"ORDA")</f>
        <v>0</v>
      </c>
      <c r="FS110" s="55">
        <f>SUMIFS('Disbursements Summary'!$E:$E,'Disbursements Summary'!$C:$C,$C110,'Disbursements Summary'!$A:$A,"ORDA")</f>
        <v>0</v>
      </c>
      <c r="FT110" s="55">
        <f>SUMIFS('Awards Summary'!$H:$H,'Awards Summary'!$B:$B,$C110,'Awards Summary'!$J:$J,"OSWEGO")</f>
        <v>0</v>
      </c>
      <c r="FU110" s="55">
        <f>SUMIFS('Disbursements Summary'!$E:$E,'Disbursements Summary'!$C:$C,$C110,'Disbursements Summary'!$A:$A,"OSWEGO")</f>
        <v>0</v>
      </c>
      <c r="FV110" s="55">
        <f>SUMIFS('Awards Summary'!$H:$H,'Awards Summary'!$B:$B,$C110,'Awards Summary'!$J:$J,"PERB")</f>
        <v>0</v>
      </c>
      <c r="FW110" s="55">
        <f>SUMIFS('Disbursements Summary'!$E:$E,'Disbursements Summary'!$C:$C,$C110,'Disbursements Summary'!$A:$A,"PERB")</f>
        <v>0</v>
      </c>
      <c r="FX110" s="55">
        <f>SUMIFS('Awards Summary'!$H:$H,'Awards Summary'!$B:$B,$C110,'Awards Summary'!$J:$J,"RGRTA")</f>
        <v>0</v>
      </c>
      <c r="FY110" s="55">
        <f>SUMIFS('Disbursements Summary'!$E:$E,'Disbursements Summary'!$C:$C,$C110,'Disbursements Summary'!$A:$A,"RGRTA")</f>
        <v>0</v>
      </c>
      <c r="FZ110" s="55">
        <f>SUMIFS('Awards Summary'!$H:$H,'Awards Summary'!$B:$B,$C110,'Awards Summary'!$J:$J,"RIOC")</f>
        <v>0</v>
      </c>
      <c r="GA110" s="55">
        <f>SUMIFS('Disbursements Summary'!$E:$E,'Disbursements Summary'!$C:$C,$C110,'Disbursements Summary'!$A:$A,"RIOC")</f>
        <v>0</v>
      </c>
      <c r="GB110" s="55">
        <f>SUMIFS('Awards Summary'!$H:$H,'Awards Summary'!$B:$B,$C110,'Awards Summary'!$J:$J,"RPCI")</f>
        <v>0</v>
      </c>
      <c r="GC110" s="55">
        <f>SUMIFS('Disbursements Summary'!$E:$E,'Disbursements Summary'!$C:$C,$C110,'Disbursements Summary'!$A:$A,"RPCI")</f>
        <v>0</v>
      </c>
      <c r="GD110" s="55">
        <f>SUMIFS('Awards Summary'!$H:$H,'Awards Summary'!$B:$B,$C110,'Awards Summary'!$J:$J,"SMDA")</f>
        <v>0</v>
      </c>
      <c r="GE110" s="55">
        <f>SUMIFS('Disbursements Summary'!$E:$E,'Disbursements Summary'!$C:$C,$C110,'Disbursements Summary'!$A:$A,"SMDA")</f>
        <v>0</v>
      </c>
      <c r="GF110" s="55">
        <f>SUMIFS('Awards Summary'!$H:$H,'Awards Summary'!$B:$B,$C110,'Awards Summary'!$J:$J,"SCOC")</f>
        <v>0</v>
      </c>
      <c r="GG110" s="55">
        <f>SUMIFS('Disbursements Summary'!$E:$E,'Disbursements Summary'!$C:$C,$C110,'Disbursements Summary'!$A:$A,"SCOC")</f>
        <v>0</v>
      </c>
      <c r="GH110" s="55">
        <f>SUMIFS('Awards Summary'!$H:$H,'Awards Summary'!$B:$B,$C110,'Awards Summary'!$J:$J,"SUCF")</f>
        <v>0</v>
      </c>
      <c r="GI110" s="55">
        <f>SUMIFS('Disbursements Summary'!$E:$E,'Disbursements Summary'!$C:$C,$C110,'Disbursements Summary'!$A:$A,"SUCF")</f>
        <v>0</v>
      </c>
      <c r="GJ110" s="55">
        <f>SUMIFS('Awards Summary'!$H:$H,'Awards Summary'!$B:$B,$C110,'Awards Summary'!$J:$J,"SUNY")</f>
        <v>0</v>
      </c>
      <c r="GK110" s="55">
        <f>SUMIFS('Disbursements Summary'!$E:$E,'Disbursements Summary'!$C:$C,$C110,'Disbursements Summary'!$A:$A,"SUNY")</f>
        <v>0</v>
      </c>
      <c r="GL110" s="55">
        <f>SUMIFS('Awards Summary'!$H:$H,'Awards Summary'!$B:$B,$C110,'Awards Summary'!$J:$J,"SRAA")</f>
        <v>0</v>
      </c>
      <c r="GM110" s="55">
        <f>SUMIFS('Disbursements Summary'!$E:$E,'Disbursements Summary'!$C:$C,$C110,'Disbursements Summary'!$A:$A,"SRAA")</f>
        <v>0</v>
      </c>
      <c r="GN110" s="55">
        <f>SUMIFS('Awards Summary'!$H:$H,'Awards Summary'!$B:$B,$C110,'Awards Summary'!$J:$J,"UNDC")</f>
        <v>0</v>
      </c>
      <c r="GO110" s="55">
        <f>SUMIFS('Disbursements Summary'!$E:$E,'Disbursements Summary'!$C:$C,$C110,'Disbursements Summary'!$A:$A,"UNDC")</f>
        <v>0</v>
      </c>
      <c r="GP110" s="55">
        <f>SUMIFS('Awards Summary'!$H:$H,'Awards Summary'!$B:$B,$C110,'Awards Summary'!$J:$J,"MVWA")</f>
        <v>0</v>
      </c>
      <c r="GQ110" s="55">
        <f>SUMIFS('Disbursements Summary'!$E:$E,'Disbursements Summary'!$C:$C,$C110,'Disbursements Summary'!$A:$A,"MVWA")</f>
        <v>0</v>
      </c>
      <c r="GR110" s="55">
        <f>SUMIFS('Awards Summary'!$H:$H,'Awards Summary'!$B:$B,$C110,'Awards Summary'!$J:$J,"WMC")</f>
        <v>0</v>
      </c>
      <c r="GS110" s="55">
        <f>SUMIFS('Disbursements Summary'!$E:$E,'Disbursements Summary'!$C:$C,$C110,'Disbursements Summary'!$A:$A,"WMC")</f>
        <v>0</v>
      </c>
      <c r="GT110" s="55">
        <f>SUMIFS('Awards Summary'!$H:$H,'Awards Summary'!$B:$B,$C110,'Awards Summary'!$J:$J,"WCB")</f>
        <v>0</v>
      </c>
      <c r="GU110" s="55">
        <f>SUMIFS('Disbursements Summary'!$E:$E,'Disbursements Summary'!$C:$C,$C110,'Disbursements Summary'!$A:$A,"WCB")</f>
        <v>0</v>
      </c>
      <c r="GV110" s="32">
        <f t="shared" si="10"/>
        <v>0</v>
      </c>
      <c r="GW110" s="32">
        <f t="shared" si="11"/>
        <v>0</v>
      </c>
      <c r="GX110" s="30" t="b">
        <f t="shared" si="12"/>
        <v>1</v>
      </c>
      <c r="GY110" s="30" t="b">
        <f t="shared" si="13"/>
        <v>1</v>
      </c>
    </row>
    <row r="111" spans="1:207" s="30" customFormat="1">
      <c r="A111" s="22" t="str">
        <f t="shared" si="9"/>
        <v/>
      </c>
      <c r="B111" s="64" t="s">
        <v>462</v>
      </c>
      <c r="C111" s="65">
        <v>161262</v>
      </c>
      <c r="D111" s="66">
        <f>COUNTIF('Awards Summary'!B:B,"161262")</f>
        <v>0</v>
      </c>
      <c r="E111" s="67">
        <f>SUMIFS('Awards Summary'!H:H,'Awards Summary'!B:B,"161262")</f>
        <v>0</v>
      </c>
      <c r="F111" s="68">
        <f>SUMIFS('Disbursements Summary'!E:E,'Disbursements Summary'!C:C, "161262")</f>
        <v>0</v>
      </c>
      <c r="H111" s="55">
        <f>SUMIFS('Awards Summary'!$H:$H,'Awards Summary'!$B:$B,$C111,'Awards Summary'!$J:$J,"APA")</f>
        <v>0</v>
      </c>
      <c r="I111" s="55">
        <f>SUMIFS('Disbursements Summary'!$E:$E,'Disbursements Summary'!$C:$C,$C111,'Disbursements Summary'!$A:$A,"APA")</f>
        <v>0</v>
      </c>
      <c r="J111" s="55">
        <f>SUMIFS('Awards Summary'!$H:$H,'Awards Summary'!$B:$B,$C111,'Awards Summary'!$J:$J,"Ag&amp;Horse")</f>
        <v>0</v>
      </c>
      <c r="K111" s="55">
        <f>SUMIFS('Disbursements Summary'!$E:$E,'Disbursements Summary'!$C:$C,$C111,'Disbursements Summary'!$A:$A,"Ag&amp;Horse")</f>
        <v>0</v>
      </c>
      <c r="L111" s="55">
        <f>SUMIFS('Awards Summary'!$H:$H,'Awards Summary'!$B:$B,$C111,'Awards Summary'!$J:$J,"ACAA")</f>
        <v>0</v>
      </c>
      <c r="M111" s="55">
        <f>SUMIFS('Disbursements Summary'!$E:$E,'Disbursements Summary'!$C:$C,$C111,'Disbursements Summary'!$A:$A,"ACAA")</f>
        <v>0</v>
      </c>
      <c r="N111" s="55">
        <f>SUMIFS('Awards Summary'!$H:$H,'Awards Summary'!$B:$B,$C111,'Awards Summary'!$J:$J,"PortAlbany")</f>
        <v>0</v>
      </c>
      <c r="O111" s="55">
        <f>SUMIFS('Disbursements Summary'!$E:$E,'Disbursements Summary'!$C:$C,$C111,'Disbursements Summary'!$A:$A,"PortAlbany")</f>
        <v>0</v>
      </c>
      <c r="P111" s="55">
        <f>SUMIFS('Awards Summary'!$H:$H,'Awards Summary'!$B:$B,$C111,'Awards Summary'!$J:$J,"SLA")</f>
        <v>0</v>
      </c>
      <c r="Q111" s="55">
        <f>SUMIFS('Disbursements Summary'!$E:$E,'Disbursements Summary'!$C:$C,$C111,'Disbursements Summary'!$A:$A,"SLA")</f>
        <v>0</v>
      </c>
      <c r="R111" s="55">
        <f>SUMIFS('Awards Summary'!$H:$H,'Awards Summary'!$B:$B,$C111,'Awards Summary'!$J:$J,"BPCA")</f>
        <v>0</v>
      </c>
      <c r="S111" s="55">
        <f>SUMIFS('Disbursements Summary'!$E:$E,'Disbursements Summary'!$C:$C,$C111,'Disbursements Summary'!$A:$A,"BPCA")</f>
        <v>0</v>
      </c>
      <c r="T111" s="55">
        <f>SUMIFS('Awards Summary'!$H:$H,'Awards Summary'!$B:$B,$C111,'Awards Summary'!$J:$J,"ELECTIONS")</f>
        <v>0</v>
      </c>
      <c r="U111" s="55">
        <f>SUMIFS('Disbursements Summary'!$E:$E,'Disbursements Summary'!$C:$C,$C111,'Disbursements Summary'!$A:$A,"ELECTIONS")</f>
        <v>0</v>
      </c>
      <c r="V111" s="55">
        <f>SUMIFS('Awards Summary'!$H:$H,'Awards Summary'!$B:$B,$C111,'Awards Summary'!$J:$J,"BFSA")</f>
        <v>0</v>
      </c>
      <c r="W111" s="55">
        <f>SUMIFS('Disbursements Summary'!$E:$E,'Disbursements Summary'!$C:$C,$C111,'Disbursements Summary'!$A:$A,"BFSA")</f>
        <v>0</v>
      </c>
      <c r="X111" s="55">
        <f>SUMIFS('Awards Summary'!$H:$H,'Awards Summary'!$B:$B,$C111,'Awards Summary'!$J:$J,"CDTA")</f>
        <v>0</v>
      </c>
      <c r="Y111" s="55">
        <f>SUMIFS('Disbursements Summary'!$E:$E,'Disbursements Summary'!$C:$C,$C111,'Disbursements Summary'!$A:$A,"CDTA")</f>
        <v>0</v>
      </c>
      <c r="Z111" s="55">
        <f>SUMIFS('Awards Summary'!$H:$H,'Awards Summary'!$B:$B,$C111,'Awards Summary'!$J:$J,"CCWSA")</f>
        <v>0</v>
      </c>
      <c r="AA111" s="55">
        <f>SUMIFS('Disbursements Summary'!$E:$E,'Disbursements Summary'!$C:$C,$C111,'Disbursements Summary'!$A:$A,"CCWSA")</f>
        <v>0</v>
      </c>
      <c r="AB111" s="55">
        <f>SUMIFS('Awards Summary'!$H:$H,'Awards Summary'!$B:$B,$C111,'Awards Summary'!$J:$J,"CNYRTA")</f>
        <v>0</v>
      </c>
      <c r="AC111" s="55">
        <f>SUMIFS('Disbursements Summary'!$E:$E,'Disbursements Summary'!$C:$C,$C111,'Disbursements Summary'!$A:$A,"CNYRTA")</f>
        <v>0</v>
      </c>
      <c r="AD111" s="55">
        <f>SUMIFS('Awards Summary'!$H:$H,'Awards Summary'!$B:$B,$C111,'Awards Summary'!$J:$J,"CUCF")</f>
        <v>0</v>
      </c>
      <c r="AE111" s="55">
        <f>SUMIFS('Disbursements Summary'!$E:$E,'Disbursements Summary'!$C:$C,$C111,'Disbursements Summary'!$A:$A,"CUCF")</f>
        <v>0</v>
      </c>
      <c r="AF111" s="55">
        <f>SUMIFS('Awards Summary'!$H:$H,'Awards Summary'!$B:$B,$C111,'Awards Summary'!$J:$J,"CUNY")</f>
        <v>0</v>
      </c>
      <c r="AG111" s="55">
        <f>SUMIFS('Disbursements Summary'!$E:$E,'Disbursements Summary'!$C:$C,$C111,'Disbursements Summary'!$A:$A,"CUNY")</f>
        <v>0</v>
      </c>
      <c r="AH111" s="55">
        <f>SUMIFS('Awards Summary'!$H:$H,'Awards Summary'!$B:$B,$C111,'Awards Summary'!$J:$J,"ARTS")</f>
        <v>0</v>
      </c>
      <c r="AI111" s="55">
        <f>SUMIFS('Disbursements Summary'!$E:$E,'Disbursements Summary'!$C:$C,$C111,'Disbursements Summary'!$A:$A,"ARTS")</f>
        <v>0</v>
      </c>
      <c r="AJ111" s="55">
        <f>SUMIFS('Awards Summary'!$H:$H,'Awards Summary'!$B:$B,$C111,'Awards Summary'!$J:$J,"AG&amp;MKTS")</f>
        <v>0</v>
      </c>
      <c r="AK111" s="55">
        <f>SUMIFS('Disbursements Summary'!$E:$E,'Disbursements Summary'!$C:$C,$C111,'Disbursements Summary'!$A:$A,"AG&amp;MKTS")</f>
        <v>0</v>
      </c>
      <c r="AL111" s="55">
        <f>SUMIFS('Awards Summary'!$H:$H,'Awards Summary'!$B:$B,$C111,'Awards Summary'!$J:$J,"CS")</f>
        <v>0</v>
      </c>
      <c r="AM111" s="55">
        <f>SUMIFS('Disbursements Summary'!$E:$E,'Disbursements Summary'!$C:$C,$C111,'Disbursements Summary'!$A:$A,"CS")</f>
        <v>0</v>
      </c>
      <c r="AN111" s="55">
        <f>SUMIFS('Awards Summary'!$H:$H,'Awards Summary'!$B:$B,$C111,'Awards Summary'!$J:$J,"DOCCS")</f>
        <v>0</v>
      </c>
      <c r="AO111" s="55">
        <f>SUMIFS('Disbursements Summary'!$E:$E,'Disbursements Summary'!$C:$C,$C111,'Disbursements Summary'!$A:$A,"DOCCS")</f>
        <v>0</v>
      </c>
      <c r="AP111" s="55">
        <f>SUMIFS('Awards Summary'!$H:$H,'Awards Summary'!$B:$B,$C111,'Awards Summary'!$J:$J,"DED")</f>
        <v>0</v>
      </c>
      <c r="AQ111" s="55">
        <f>SUMIFS('Disbursements Summary'!$E:$E,'Disbursements Summary'!$C:$C,$C111,'Disbursements Summary'!$A:$A,"DED")</f>
        <v>0</v>
      </c>
      <c r="AR111" s="55">
        <f>SUMIFS('Awards Summary'!$H:$H,'Awards Summary'!$B:$B,$C111,'Awards Summary'!$J:$J,"DEC")</f>
        <v>0</v>
      </c>
      <c r="AS111" s="55">
        <f>SUMIFS('Disbursements Summary'!$E:$E,'Disbursements Summary'!$C:$C,$C111,'Disbursements Summary'!$A:$A,"DEC")</f>
        <v>0</v>
      </c>
      <c r="AT111" s="55">
        <f>SUMIFS('Awards Summary'!$H:$H,'Awards Summary'!$B:$B,$C111,'Awards Summary'!$J:$J,"DFS")</f>
        <v>0</v>
      </c>
      <c r="AU111" s="55">
        <f>SUMIFS('Disbursements Summary'!$E:$E,'Disbursements Summary'!$C:$C,$C111,'Disbursements Summary'!$A:$A,"DFS")</f>
        <v>0</v>
      </c>
      <c r="AV111" s="55">
        <f>SUMIFS('Awards Summary'!$H:$H,'Awards Summary'!$B:$B,$C111,'Awards Summary'!$J:$J,"DOH")</f>
        <v>0</v>
      </c>
      <c r="AW111" s="55">
        <f>SUMIFS('Disbursements Summary'!$E:$E,'Disbursements Summary'!$C:$C,$C111,'Disbursements Summary'!$A:$A,"DOH")</f>
        <v>0</v>
      </c>
      <c r="AX111" s="55">
        <f>SUMIFS('Awards Summary'!$H:$H,'Awards Summary'!$B:$B,$C111,'Awards Summary'!$J:$J,"DOL")</f>
        <v>0</v>
      </c>
      <c r="AY111" s="55">
        <f>SUMIFS('Disbursements Summary'!$E:$E,'Disbursements Summary'!$C:$C,$C111,'Disbursements Summary'!$A:$A,"DOL")</f>
        <v>0</v>
      </c>
      <c r="AZ111" s="55">
        <f>SUMIFS('Awards Summary'!$H:$H,'Awards Summary'!$B:$B,$C111,'Awards Summary'!$J:$J,"DMV")</f>
        <v>0</v>
      </c>
      <c r="BA111" s="55">
        <f>SUMIFS('Disbursements Summary'!$E:$E,'Disbursements Summary'!$C:$C,$C111,'Disbursements Summary'!$A:$A,"DMV")</f>
        <v>0</v>
      </c>
      <c r="BB111" s="55">
        <f>SUMIFS('Awards Summary'!$H:$H,'Awards Summary'!$B:$B,$C111,'Awards Summary'!$J:$J,"DPS")</f>
        <v>0</v>
      </c>
      <c r="BC111" s="55">
        <f>SUMIFS('Disbursements Summary'!$E:$E,'Disbursements Summary'!$C:$C,$C111,'Disbursements Summary'!$A:$A,"DPS")</f>
        <v>0</v>
      </c>
      <c r="BD111" s="55">
        <f>SUMIFS('Awards Summary'!$H:$H,'Awards Summary'!$B:$B,$C111,'Awards Summary'!$J:$J,"DOS")</f>
        <v>0</v>
      </c>
      <c r="BE111" s="55">
        <f>SUMIFS('Disbursements Summary'!$E:$E,'Disbursements Summary'!$C:$C,$C111,'Disbursements Summary'!$A:$A,"DOS")</f>
        <v>0</v>
      </c>
      <c r="BF111" s="55">
        <f>SUMIFS('Awards Summary'!$H:$H,'Awards Summary'!$B:$B,$C111,'Awards Summary'!$J:$J,"TAX")</f>
        <v>0</v>
      </c>
      <c r="BG111" s="55">
        <f>SUMIFS('Disbursements Summary'!$E:$E,'Disbursements Summary'!$C:$C,$C111,'Disbursements Summary'!$A:$A,"TAX")</f>
        <v>0</v>
      </c>
      <c r="BH111" s="55">
        <f>SUMIFS('Awards Summary'!$H:$H,'Awards Summary'!$B:$B,$C111,'Awards Summary'!$J:$J,"DOT")</f>
        <v>0</v>
      </c>
      <c r="BI111" s="55">
        <f>SUMIFS('Disbursements Summary'!$E:$E,'Disbursements Summary'!$C:$C,$C111,'Disbursements Summary'!$A:$A,"DOT")</f>
        <v>0</v>
      </c>
      <c r="BJ111" s="55">
        <f>SUMIFS('Awards Summary'!$H:$H,'Awards Summary'!$B:$B,$C111,'Awards Summary'!$J:$J,"DANC")</f>
        <v>0</v>
      </c>
      <c r="BK111" s="55">
        <f>SUMIFS('Disbursements Summary'!$E:$E,'Disbursements Summary'!$C:$C,$C111,'Disbursements Summary'!$A:$A,"DANC")</f>
        <v>0</v>
      </c>
      <c r="BL111" s="55">
        <f>SUMIFS('Awards Summary'!$H:$H,'Awards Summary'!$B:$B,$C111,'Awards Summary'!$J:$J,"DOB")</f>
        <v>0</v>
      </c>
      <c r="BM111" s="55">
        <f>SUMIFS('Disbursements Summary'!$E:$E,'Disbursements Summary'!$C:$C,$C111,'Disbursements Summary'!$A:$A,"DOB")</f>
        <v>0</v>
      </c>
      <c r="BN111" s="55">
        <f>SUMIFS('Awards Summary'!$H:$H,'Awards Summary'!$B:$B,$C111,'Awards Summary'!$J:$J,"DCJS")</f>
        <v>0</v>
      </c>
      <c r="BO111" s="55">
        <f>SUMIFS('Disbursements Summary'!$E:$E,'Disbursements Summary'!$C:$C,$C111,'Disbursements Summary'!$A:$A,"DCJS")</f>
        <v>0</v>
      </c>
      <c r="BP111" s="55">
        <f>SUMIFS('Awards Summary'!$H:$H,'Awards Summary'!$B:$B,$C111,'Awards Summary'!$J:$J,"DHSES")</f>
        <v>0</v>
      </c>
      <c r="BQ111" s="55">
        <f>SUMIFS('Disbursements Summary'!$E:$E,'Disbursements Summary'!$C:$C,$C111,'Disbursements Summary'!$A:$A,"DHSES")</f>
        <v>0</v>
      </c>
      <c r="BR111" s="55">
        <f>SUMIFS('Awards Summary'!$H:$H,'Awards Summary'!$B:$B,$C111,'Awards Summary'!$J:$J,"DHR")</f>
        <v>0</v>
      </c>
      <c r="BS111" s="55">
        <f>SUMIFS('Disbursements Summary'!$E:$E,'Disbursements Summary'!$C:$C,$C111,'Disbursements Summary'!$A:$A,"DHR")</f>
        <v>0</v>
      </c>
      <c r="BT111" s="55">
        <f>SUMIFS('Awards Summary'!$H:$H,'Awards Summary'!$B:$B,$C111,'Awards Summary'!$J:$J,"DMNA")</f>
        <v>0</v>
      </c>
      <c r="BU111" s="55">
        <f>SUMIFS('Disbursements Summary'!$E:$E,'Disbursements Summary'!$C:$C,$C111,'Disbursements Summary'!$A:$A,"DMNA")</f>
        <v>0</v>
      </c>
      <c r="BV111" s="55">
        <f>SUMIFS('Awards Summary'!$H:$H,'Awards Summary'!$B:$B,$C111,'Awards Summary'!$J:$J,"TROOPERS")</f>
        <v>0</v>
      </c>
      <c r="BW111" s="55">
        <f>SUMIFS('Disbursements Summary'!$E:$E,'Disbursements Summary'!$C:$C,$C111,'Disbursements Summary'!$A:$A,"TROOPERS")</f>
        <v>0</v>
      </c>
      <c r="BX111" s="55">
        <f>SUMIFS('Awards Summary'!$H:$H,'Awards Summary'!$B:$B,$C111,'Awards Summary'!$J:$J,"DVA")</f>
        <v>0</v>
      </c>
      <c r="BY111" s="55">
        <f>SUMIFS('Disbursements Summary'!$E:$E,'Disbursements Summary'!$C:$C,$C111,'Disbursements Summary'!$A:$A,"DVA")</f>
        <v>0</v>
      </c>
      <c r="BZ111" s="55">
        <f>SUMIFS('Awards Summary'!$H:$H,'Awards Summary'!$B:$B,$C111,'Awards Summary'!$J:$J,"DASNY")</f>
        <v>0</v>
      </c>
      <c r="CA111" s="55">
        <f>SUMIFS('Disbursements Summary'!$E:$E,'Disbursements Summary'!$C:$C,$C111,'Disbursements Summary'!$A:$A,"DASNY")</f>
        <v>0</v>
      </c>
      <c r="CB111" s="55">
        <f>SUMIFS('Awards Summary'!$H:$H,'Awards Summary'!$B:$B,$C111,'Awards Summary'!$J:$J,"EGG")</f>
        <v>0</v>
      </c>
      <c r="CC111" s="55">
        <f>SUMIFS('Disbursements Summary'!$E:$E,'Disbursements Summary'!$C:$C,$C111,'Disbursements Summary'!$A:$A,"EGG")</f>
        <v>0</v>
      </c>
      <c r="CD111" s="55">
        <f>SUMIFS('Awards Summary'!$H:$H,'Awards Summary'!$B:$B,$C111,'Awards Summary'!$J:$J,"ESD")</f>
        <v>0</v>
      </c>
      <c r="CE111" s="55">
        <f>SUMIFS('Disbursements Summary'!$E:$E,'Disbursements Summary'!$C:$C,$C111,'Disbursements Summary'!$A:$A,"ESD")</f>
        <v>0</v>
      </c>
      <c r="CF111" s="55">
        <f>SUMIFS('Awards Summary'!$H:$H,'Awards Summary'!$B:$B,$C111,'Awards Summary'!$J:$J,"EFC")</f>
        <v>0</v>
      </c>
      <c r="CG111" s="55">
        <f>SUMIFS('Disbursements Summary'!$E:$E,'Disbursements Summary'!$C:$C,$C111,'Disbursements Summary'!$A:$A,"EFC")</f>
        <v>0</v>
      </c>
      <c r="CH111" s="55">
        <f>SUMIFS('Awards Summary'!$H:$H,'Awards Summary'!$B:$B,$C111,'Awards Summary'!$J:$J,"ECFSA")</f>
        <v>0</v>
      </c>
      <c r="CI111" s="55">
        <f>SUMIFS('Disbursements Summary'!$E:$E,'Disbursements Summary'!$C:$C,$C111,'Disbursements Summary'!$A:$A,"ECFSA")</f>
        <v>0</v>
      </c>
      <c r="CJ111" s="55">
        <f>SUMIFS('Awards Summary'!$H:$H,'Awards Summary'!$B:$B,$C111,'Awards Summary'!$J:$J,"ECMC")</f>
        <v>0</v>
      </c>
      <c r="CK111" s="55">
        <f>SUMIFS('Disbursements Summary'!$E:$E,'Disbursements Summary'!$C:$C,$C111,'Disbursements Summary'!$A:$A,"ECMC")</f>
        <v>0</v>
      </c>
      <c r="CL111" s="55">
        <f>SUMIFS('Awards Summary'!$H:$H,'Awards Summary'!$B:$B,$C111,'Awards Summary'!$J:$J,"CHAMBER")</f>
        <v>0</v>
      </c>
      <c r="CM111" s="55">
        <f>SUMIFS('Disbursements Summary'!$E:$E,'Disbursements Summary'!$C:$C,$C111,'Disbursements Summary'!$A:$A,"CHAMBER")</f>
        <v>0</v>
      </c>
      <c r="CN111" s="55">
        <f>SUMIFS('Awards Summary'!$H:$H,'Awards Summary'!$B:$B,$C111,'Awards Summary'!$J:$J,"GAMING")</f>
        <v>0</v>
      </c>
      <c r="CO111" s="55">
        <f>SUMIFS('Disbursements Summary'!$E:$E,'Disbursements Summary'!$C:$C,$C111,'Disbursements Summary'!$A:$A,"GAMING")</f>
        <v>0</v>
      </c>
      <c r="CP111" s="55">
        <f>SUMIFS('Awards Summary'!$H:$H,'Awards Summary'!$B:$B,$C111,'Awards Summary'!$J:$J,"GOER")</f>
        <v>0</v>
      </c>
      <c r="CQ111" s="55">
        <f>SUMIFS('Disbursements Summary'!$E:$E,'Disbursements Summary'!$C:$C,$C111,'Disbursements Summary'!$A:$A,"GOER")</f>
        <v>0</v>
      </c>
      <c r="CR111" s="55">
        <f>SUMIFS('Awards Summary'!$H:$H,'Awards Summary'!$B:$B,$C111,'Awards Summary'!$J:$J,"HESC")</f>
        <v>0</v>
      </c>
      <c r="CS111" s="55">
        <f>SUMIFS('Disbursements Summary'!$E:$E,'Disbursements Summary'!$C:$C,$C111,'Disbursements Summary'!$A:$A,"HESC")</f>
        <v>0</v>
      </c>
      <c r="CT111" s="55">
        <f>SUMIFS('Awards Summary'!$H:$H,'Awards Summary'!$B:$B,$C111,'Awards Summary'!$J:$J,"GOSR")</f>
        <v>0</v>
      </c>
      <c r="CU111" s="55">
        <f>SUMIFS('Disbursements Summary'!$E:$E,'Disbursements Summary'!$C:$C,$C111,'Disbursements Summary'!$A:$A,"GOSR")</f>
        <v>0</v>
      </c>
      <c r="CV111" s="55">
        <f>SUMIFS('Awards Summary'!$H:$H,'Awards Summary'!$B:$B,$C111,'Awards Summary'!$J:$J,"HRPT")</f>
        <v>0</v>
      </c>
      <c r="CW111" s="55">
        <f>SUMIFS('Disbursements Summary'!$E:$E,'Disbursements Summary'!$C:$C,$C111,'Disbursements Summary'!$A:$A,"HRPT")</f>
        <v>0</v>
      </c>
      <c r="CX111" s="55">
        <f>SUMIFS('Awards Summary'!$H:$H,'Awards Summary'!$B:$B,$C111,'Awards Summary'!$J:$J,"HRBRRD")</f>
        <v>0</v>
      </c>
      <c r="CY111" s="55">
        <f>SUMIFS('Disbursements Summary'!$E:$E,'Disbursements Summary'!$C:$C,$C111,'Disbursements Summary'!$A:$A,"HRBRRD")</f>
        <v>0</v>
      </c>
      <c r="CZ111" s="55">
        <f>SUMIFS('Awards Summary'!$H:$H,'Awards Summary'!$B:$B,$C111,'Awards Summary'!$J:$J,"ITS")</f>
        <v>0</v>
      </c>
      <c r="DA111" s="55">
        <f>SUMIFS('Disbursements Summary'!$E:$E,'Disbursements Summary'!$C:$C,$C111,'Disbursements Summary'!$A:$A,"ITS")</f>
        <v>0</v>
      </c>
      <c r="DB111" s="55">
        <f>SUMIFS('Awards Summary'!$H:$H,'Awards Summary'!$B:$B,$C111,'Awards Summary'!$J:$J,"JAVITS")</f>
        <v>0</v>
      </c>
      <c r="DC111" s="55">
        <f>SUMIFS('Disbursements Summary'!$E:$E,'Disbursements Summary'!$C:$C,$C111,'Disbursements Summary'!$A:$A,"JAVITS")</f>
        <v>0</v>
      </c>
      <c r="DD111" s="55">
        <f>SUMIFS('Awards Summary'!$H:$H,'Awards Summary'!$B:$B,$C111,'Awards Summary'!$J:$J,"JCOPE")</f>
        <v>0</v>
      </c>
      <c r="DE111" s="55">
        <f>SUMIFS('Disbursements Summary'!$E:$E,'Disbursements Summary'!$C:$C,$C111,'Disbursements Summary'!$A:$A,"JCOPE")</f>
        <v>0</v>
      </c>
      <c r="DF111" s="55">
        <f>SUMIFS('Awards Summary'!$H:$H,'Awards Summary'!$B:$B,$C111,'Awards Summary'!$J:$J,"JUSTICE")</f>
        <v>0</v>
      </c>
      <c r="DG111" s="55">
        <f>SUMIFS('Disbursements Summary'!$E:$E,'Disbursements Summary'!$C:$C,$C111,'Disbursements Summary'!$A:$A,"JUSTICE")</f>
        <v>0</v>
      </c>
      <c r="DH111" s="55">
        <f>SUMIFS('Awards Summary'!$H:$H,'Awards Summary'!$B:$B,$C111,'Awards Summary'!$J:$J,"LCWSA")</f>
        <v>0</v>
      </c>
      <c r="DI111" s="55">
        <f>SUMIFS('Disbursements Summary'!$E:$E,'Disbursements Summary'!$C:$C,$C111,'Disbursements Summary'!$A:$A,"LCWSA")</f>
        <v>0</v>
      </c>
      <c r="DJ111" s="55">
        <f>SUMIFS('Awards Summary'!$H:$H,'Awards Summary'!$B:$B,$C111,'Awards Summary'!$J:$J,"LIPA")</f>
        <v>0</v>
      </c>
      <c r="DK111" s="55">
        <f>SUMIFS('Disbursements Summary'!$E:$E,'Disbursements Summary'!$C:$C,$C111,'Disbursements Summary'!$A:$A,"LIPA")</f>
        <v>0</v>
      </c>
      <c r="DL111" s="55">
        <f>SUMIFS('Awards Summary'!$H:$H,'Awards Summary'!$B:$B,$C111,'Awards Summary'!$J:$J,"MTA")</f>
        <v>0</v>
      </c>
      <c r="DM111" s="55">
        <f>SUMIFS('Disbursements Summary'!$E:$E,'Disbursements Summary'!$C:$C,$C111,'Disbursements Summary'!$A:$A,"MTA")</f>
        <v>0</v>
      </c>
      <c r="DN111" s="55">
        <f>SUMIFS('Awards Summary'!$H:$H,'Awards Summary'!$B:$B,$C111,'Awards Summary'!$J:$J,"NIFA")</f>
        <v>0</v>
      </c>
      <c r="DO111" s="55">
        <f>SUMIFS('Disbursements Summary'!$E:$E,'Disbursements Summary'!$C:$C,$C111,'Disbursements Summary'!$A:$A,"NIFA")</f>
        <v>0</v>
      </c>
      <c r="DP111" s="55">
        <f>SUMIFS('Awards Summary'!$H:$H,'Awards Summary'!$B:$B,$C111,'Awards Summary'!$J:$J,"NHCC")</f>
        <v>0</v>
      </c>
      <c r="DQ111" s="55">
        <f>SUMIFS('Disbursements Summary'!$E:$E,'Disbursements Summary'!$C:$C,$C111,'Disbursements Summary'!$A:$A,"NHCC")</f>
        <v>0</v>
      </c>
      <c r="DR111" s="55">
        <f>SUMIFS('Awards Summary'!$H:$H,'Awards Summary'!$B:$B,$C111,'Awards Summary'!$J:$J,"NHT")</f>
        <v>0</v>
      </c>
      <c r="DS111" s="55">
        <f>SUMIFS('Disbursements Summary'!$E:$E,'Disbursements Summary'!$C:$C,$C111,'Disbursements Summary'!$A:$A,"NHT")</f>
        <v>0</v>
      </c>
      <c r="DT111" s="55">
        <f>SUMIFS('Awards Summary'!$H:$H,'Awards Summary'!$B:$B,$C111,'Awards Summary'!$J:$J,"NYPA")</f>
        <v>0</v>
      </c>
      <c r="DU111" s="55">
        <f>SUMIFS('Disbursements Summary'!$E:$E,'Disbursements Summary'!$C:$C,$C111,'Disbursements Summary'!$A:$A,"NYPA")</f>
        <v>0</v>
      </c>
      <c r="DV111" s="55">
        <f>SUMIFS('Awards Summary'!$H:$H,'Awards Summary'!$B:$B,$C111,'Awards Summary'!$J:$J,"NYSBA")</f>
        <v>0</v>
      </c>
      <c r="DW111" s="55">
        <f>SUMIFS('Disbursements Summary'!$E:$E,'Disbursements Summary'!$C:$C,$C111,'Disbursements Summary'!$A:$A,"NYSBA")</f>
        <v>0</v>
      </c>
      <c r="DX111" s="55">
        <f>SUMIFS('Awards Summary'!$H:$H,'Awards Summary'!$B:$B,$C111,'Awards Summary'!$J:$J,"NYSERDA")</f>
        <v>0</v>
      </c>
      <c r="DY111" s="55">
        <f>SUMIFS('Disbursements Summary'!$E:$E,'Disbursements Summary'!$C:$C,$C111,'Disbursements Summary'!$A:$A,"NYSERDA")</f>
        <v>0</v>
      </c>
      <c r="DZ111" s="55">
        <f>SUMIFS('Awards Summary'!$H:$H,'Awards Summary'!$B:$B,$C111,'Awards Summary'!$J:$J,"DHCR")</f>
        <v>0</v>
      </c>
      <c r="EA111" s="55">
        <f>SUMIFS('Disbursements Summary'!$E:$E,'Disbursements Summary'!$C:$C,$C111,'Disbursements Summary'!$A:$A,"DHCR")</f>
        <v>0</v>
      </c>
      <c r="EB111" s="55">
        <f>SUMIFS('Awards Summary'!$H:$H,'Awards Summary'!$B:$B,$C111,'Awards Summary'!$J:$J,"HFA")</f>
        <v>0</v>
      </c>
      <c r="EC111" s="55">
        <f>SUMIFS('Disbursements Summary'!$E:$E,'Disbursements Summary'!$C:$C,$C111,'Disbursements Summary'!$A:$A,"HFA")</f>
        <v>0</v>
      </c>
      <c r="ED111" s="55">
        <f>SUMIFS('Awards Summary'!$H:$H,'Awards Summary'!$B:$B,$C111,'Awards Summary'!$J:$J,"NYSIF")</f>
        <v>0</v>
      </c>
      <c r="EE111" s="55">
        <f>SUMIFS('Disbursements Summary'!$E:$E,'Disbursements Summary'!$C:$C,$C111,'Disbursements Summary'!$A:$A,"NYSIF")</f>
        <v>0</v>
      </c>
      <c r="EF111" s="55">
        <f>SUMIFS('Awards Summary'!$H:$H,'Awards Summary'!$B:$B,$C111,'Awards Summary'!$J:$J,"NYBREDS")</f>
        <v>0</v>
      </c>
      <c r="EG111" s="55">
        <f>SUMIFS('Disbursements Summary'!$E:$E,'Disbursements Summary'!$C:$C,$C111,'Disbursements Summary'!$A:$A,"NYBREDS")</f>
        <v>0</v>
      </c>
      <c r="EH111" s="55">
        <f>SUMIFS('Awards Summary'!$H:$H,'Awards Summary'!$B:$B,$C111,'Awards Summary'!$J:$J,"NYSTA")</f>
        <v>0</v>
      </c>
      <c r="EI111" s="55">
        <f>SUMIFS('Disbursements Summary'!$E:$E,'Disbursements Summary'!$C:$C,$C111,'Disbursements Summary'!$A:$A,"NYSTA")</f>
        <v>0</v>
      </c>
      <c r="EJ111" s="55">
        <f>SUMIFS('Awards Summary'!$H:$H,'Awards Summary'!$B:$B,$C111,'Awards Summary'!$J:$J,"NFWB")</f>
        <v>0</v>
      </c>
      <c r="EK111" s="55">
        <f>SUMIFS('Disbursements Summary'!$E:$E,'Disbursements Summary'!$C:$C,$C111,'Disbursements Summary'!$A:$A,"NFWB")</f>
        <v>0</v>
      </c>
      <c r="EL111" s="55">
        <f>SUMIFS('Awards Summary'!$H:$H,'Awards Summary'!$B:$B,$C111,'Awards Summary'!$J:$J,"NFTA")</f>
        <v>0</v>
      </c>
      <c r="EM111" s="55">
        <f>SUMIFS('Disbursements Summary'!$E:$E,'Disbursements Summary'!$C:$C,$C111,'Disbursements Summary'!$A:$A,"NFTA")</f>
        <v>0</v>
      </c>
      <c r="EN111" s="55">
        <f>SUMIFS('Awards Summary'!$H:$H,'Awards Summary'!$B:$B,$C111,'Awards Summary'!$J:$J,"OPWDD")</f>
        <v>0</v>
      </c>
      <c r="EO111" s="55">
        <f>SUMIFS('Disbursements Summary'!$E:$E,'Disbursements Summary'!$C:$C,$C111,'Disbursements Summary'!$A:$A,"OPWDD")</f>
        <v>0</v>
      </c>
      <c r="EP111" s="55">
        <f>SUMIFS('Awards Summary'!$H:$H,'Awards Summary'!$B:$B,$C111,'Awards Summary'!$J:$J,"AGING")</f>
        <v>0</v>
      </c>
      <c r="EQ111" s="55">
        <f>SUMIFS('Disbursements Summary'!$E:$E,'Disbursements Summary'!$C:$C,$C111,'Disbursements Summary'!$A:$A,"AGING")</f>
        <v>0</v>
      </c>
      <c r="ER111" s="55">
        <f>SUMIFS('Awards Summary'!$H:$H,'Awards Summary'!$B:$B,$C111,'Awards Summary'!$J:$J,"OPDV")</f>
        <v>0</v>
      </c>
      <c r="ES111" s="55">
        <f>SUMIFS('Disbursements Summary'!$E:$E,'Disbursements Summary'!$C:$C,$C111,'Disbursements Summary'!$A:$A,"OPDV")</f>
        <v>0</v>
      </c>
      <c r="ET111" s="55">
        <f>SUMIFS('Awards Summary'!$H:$H,'Awards Summary'!$B:$B,$C111,'Awards Summary'!$J:$J,"OVS")</f>
        <v>0</v>
      </c>
      <c r="EU111" s="55">
        <f>SUMIFS('Disbursements Summary'!$E:$E,'Disbursements Summary'!$C:$C,$C111,'Disbursements Summary'!$A:$A,"OVS")</f>
        <v>0</v>
      </c>
      <c r="EV111" s="55">
        <f>SUMIFS('Awards Summary'!$H:$H,'Awards Summary'!$B:$B,$C111,'Awards Summary'!$J:$J,"OASAS")</f>
        <v>0</v>
      </c>
      <c r="EW111" s="55">
        <f>SUMIFS('Disbursements Summary'!$E:$E,'Disbursements Summary'!$C:$C,$C111,'Disbursements Summary'!$A:$A,"OASAS")</f>
        <v>0</v>
      </c>
      <c r="EX111" s="55">
        <f>SUMIFS('Awards Summary'!$H:$H,'Awards Summary'!$B:$B,$C111,'Awards Summary'!$J:$J,"OCFS")</f>
        <v>0</v>
      </c>
      <c r="EY111" s="55">
        <f>SUMIFS('Disbursements Summary'!$E:$E,'Disbursements Summary'!$C:$C,$C111,'Disbursements Summary'!$A:$A,"OCFS")</f>
        <v>0</v>
      </c>
      <c r="EZ111" s="55">
        <f>SUMIFS('Awards Summary'!$H:$H,'Awards Summary'!$B:$B,$C111,'Awards Summary'!$J:$J,"OGS")</f>
        <v>0</v>
      </c>
      <c r="FA111" s="55">
        <f>SUMIFS('Disbursements Summary'!$E:$E,'Disbursements Summary'!$C:$C,$C111,'Disbursements Summary'!$A:$A,"OGS")</f>
        <v>0</v>
      </c>
      <c r="FB111" s="55">
        <f>SUMIFS('Awards Summary'!$H:$H,'Awards Summary'!$B:$B,$C111,'Awards Summary'!$J:$J,"OMH")</f>
        <v>0</v>
      </c>
      <c r="FC111" s="55">
        <f>SUMIFS('Disbursements Summary'!$E:$E,'Disbursements Summary'!$C:$C,$C111,'Disbursements Summary'!$A:$A,"OMH")</f>
        <v>0</v>
      </c>
      <c r="FD111" s="55">
        <f>SUMIFS('Awards Summary'!$H:$H,'Awards Summary'!$B:$B,$C111,'Awards Summary'!$J:$J,"PARKS")</f>
        <v>0</v>
      </c>
      <c r="FE111" s="55">
        <f>SUMIFS('Disbursements Summary'!$E:$E,'Disbursements Summary'!$C:$C,$C111,'Disbursements Summary'!$A:$A,"PARKS")</f>
        <v>0</v>
      </c>
      <c r="FF111" s="55">
        <f>SUMIFS('Awards Summary'!$H:$H,'Awards Summary'!$B:$B,$C111,'Awards Summary'!$J:$J,"OTDA")</f>
        <v>0</v>
      </c>
      <c r="FG111" s="55">
        <f>SUMIFS('Disbursements Summary'!$E:$E,'Disbursements Summary'!$C:$C,$C111,'Disbursements Summary'!$A:$A,"OTDA")</f>
        <v>0</v>
      </c>
      <c r="FH111" s="55">
        <f>SUMIFS('Awards Summary'!$H:$H,'Awards Summary'!$B:$B,$C111,'Awards Summary'!$J:$J,"OIG")</f>
        <v>0</v>
      </c>
      <c r="FI111" s="55">
        <f>SUMIFS('Disbursements Summary'!$E:$E,'Disbursements Summary'!$C:$C,$C111,'Disbursements Summary'!$A:$A,"OIG")</f>
        <v>0</v>
      </c>
      <c r="FJ111" s="55">
        <f>SUMIFS('Awards Summary'!$H:$H,'Awards Summary'!$B:$B,$C111,'Awards Summary'!$J:$J,"OMIG")</f>
        <v>0</v>
      </c>
      <c r="FK111" s="55">
        <f>SUMIFS('Disbursements Summary'!$E:$E,'Disbursements Summary'!$C:$C,$C111,'Disbursements Summary'!$A:$A,"OMIG")</f>
        <v>0</v>
      </c>
      <c r="FL111" s="55">
        <f>SUMIFS('Awards Summary'!$H:$H,'Awards Summary'!$B:$B,$C111,'Awards Summary'!$J:$J,"OSC")</f>
        <v>0</v>
      </c>
      <c r="FM111" s="55">
        <f>SUMIFS('Disbursements Summary'!$E:$E,'Disbursements Summary'!$C:$C,$C111,'Disbursements Summary'!$A:$A,"OSC")</f>
        <v>0</v>
      </c>
      <c r="FN111" s="55">
        <f>SUMIFS('Awards Summary'!$H:$H,'Awards Summary'!$B:$B,$C111,'Awards Summary'!$J:$J,"OWIG")</f>
        <v>0</v>
      </c>
      <c r="FO111" s="55">
        <f>SUMIFS('Disbursements Summary'!$E:$E,'Disbursements Summary'!$C:$C,$C111,'Disbursements Summary'!$A:$A,"OWIG")</f>
        <v>0</v>
      </c>
      <c r="FP111" s="55">
        <f>SUMIFS('Awards Summary'!$H:$H,'Awards Summary'!$B:$B,$C111,'Awards Summary'!$J:$J,"OGDEN")</f>
        <v>0</v>
      </c>
      <c r="FQ111" s="55">
        <f>SUMIFS('Disbursements Summary'!$E:$E,'Disbursements Summary'!$C:$C,$C111,'Disbursements Summary'!$A:$A,"OGDEN")</f>
        <v>0</v>
      </c>
      <c r="FR111" s="55">
        <f>SUMIFS('Awards Summary'!$H:$H,'Awards Summary'!$B:$B,$C111,'Awards Summary'!$J:$J,"ORDA")</f>
        <v>0</v>
      </c>
      <c r="FS111" s="55">
        <f>SUMIFS('Disbursements Summary'!$E:$E,'Disbursements Summary'!$C:$C,$C111,'Disbursements Summary'!$A:$A,"ORDA")</f>
        <v>0</v>
      </c>
      <c r="FT111" s="55">
        <f>SUMIFS('Awards Summary'!$H:$H,'Awards Summary'!$B:$B,$C111,'Awards Summary'!$J:$J,"OSWEGO")</f>
        <v>0</v>
      </c>
      <c r="FU111" s="55">
        <f>SUMIFS('Disbursements Summary'!$E:$E,'Disbursements Summary'!$C:$C,$C111,'Disbursements Summary'!$A:$A,"OSWEGO")</f>
        <v>0</v>
      </c>
      <c r="FV111" s="55">
        <f>SUMIFS('Awards Summary'!$H:$H,'Awards Summary'!$B:$B,$C111,'Awards Summary'!$J:$J,"PERB")</f>
        <v>0</v>
      </c>
      <c r="FW111" s="55">
        <f>SUMIFS('Disbursements Summary'!$E:$E,'Disbursements Summary'!$C:$C,$C111,'Disbursements Summary'!$A:$A,"PERB")</f>
        <v>0</v>
      </c>
      <c r="FX111" s="55">
        <f>SUMIFS('Awards Summary'!$H:$H,'Awards Summary'!$B:$B,$C111,'Awards Summary'!$J:$J,"RGRTA")</f>
        <v>0</v>
      </c>
      <c r="FY111" s="55">
        <f>SUMIFS('Disbursements Summary'!$E:$E,'Disbursements Summary'!$C:$C,$C111,'Disbursements Summary'!$A:$A,"RGRTA")</f>
        <v>0</v>
      </c>
      <c r="FZ111" s="55">
        <f>SUMIFS('Awards Summary'!$H:$H,'Awards Summary'!$B:$B,$C111,'Awards Summary'!$J:$J,"RIOC")</f>
        <v>0</v>
      </c>
      <c r="GA111" s="55">
        <f>SUMIFS('Disbursements Summary'!$E:$E,'Disbursements Summary'!$C:$C,$C111,'Disbursements Summary'!$A:$A,"RIOC")</f>
        <v>0</v>
      </c>
      <c r="GB111" s="55">
        <f>SUMIFS('Awards Summary'!$H:$H,'Awards Summary'!$B:$B,$C111,'Awards Summary'!$J:$J,"RPCI")</f>
        <v>0</v>
      </c>
      <c r="GC111" s="55">
        <f>SUMIFS('Disbursements Summary'!$E:$E,'Disbursements Summary'!$C:$C,$C111,'Disbursements Summary'!$A:$A,"RPCI")</f>
        <v>0</v>
      </c>
      <c r="GD111" s="55">
        <f>SUMIFS('Awards Summary'!$H:$H,'Awards Summary'!$B:$B,$C111,'Awards Summary'!$J:$J,"SMDA")</f>
        <v>0</v>
      </c>
      <c r="GE111" s="55">
        <f>SUMIFS('Disbursements Summary'!$E:$E,'Disbursements Summary'!$C:$C,$C111,'Disbursements Summary'!$A:$A,"SMDA")</f>
        <v>0</v>
      </c>
      <c r="GF111" s="55">
        <f>SUMIFS('Awards Summary'!$H:$H,'Awards Summary'!$B:$B,$C111,'Awards Summary'!$J:$J,"SCOC")</f>
        <v>0</v>
      </c>
      <c r="GG111" s="55">
        <f>SUMIFS('Disbursements Summary'!$E:$E,'Disbursements Summary'!$C:$C,$C111,'Disbursements Summary'!$A:$A,"SCOC")</f>
        <v>0</v>
      </c>
      <c r="GH111" s="55">
        <f>SUMIFS('Awards Summary'!$H:$H,'Awards Summary'!$B:$B,$C111,'Awards Summary'!$J:$J,"SUCF")</f>
        <v>0</v>
      </c>
      <c r="GI111" s="55">
        <f>SUMIFS('Disbursements Summary'!$E:$E,'Disbursements Summary'!$C:$C,$C111,'Disbursements Summary'!$A:$A,"SUCF")</f>
        <v>0</v>
      </c>
      <c r="GJ111" s="55">
        <f>SUMIFS('Awards Summary'!$H:$H,'Awards Summary'!$B:$B,$C111,'Awards Summary'!$J:$J,"SUNY")</f>
        <v>0</v>
      </c>
      <c r="GK111" s="55">
        <f>SUMIFS('Disbursements Summary'!$E:$E,'Disbursements Summary'!$C:$C,$C111,'Disbursements Summary'!$A:$A,"SUNY")</f>
        <v>0</v>
      </c>
      <c r="GL111" s="55">
        <f>SUMIFS('Awards Summary'!$H:$H,'Awards Summary'!$B:$B,$C111,'Awards Summary'!$J:$J,"SRAA")</f>
        <v>0</v>
      </c>
      <c r="GM111" s="55">
        <f>SUMIFS('Disbursements Summary'!$E:$E,'Disbursements Summary'!$C:$C,$C111,'Disbursements Summary'!$A:$A,"SRAA")</f>
        <v>0</v>
      </c>
      <c r="GN111" s="55">
        <f>SUMIFS('Awards Summary'!$H:$H,'Awards Summary'!$B:$B,$C111,'Awards Summary'!$J:$J,"UNDC")</f>
        <v>0</v>
      </c>
      <c r="GO111" s="55">
        <f>SUMIFS('Disbursements Summary'!$E:$E,'Disbursements Summary'!$C:$C,$C111,'Disbursements Summary'!$A:$A,"UNDC")</f>
        <v>0</v>
      </c>
      <c r="GP111" s="55">
        <f>SUMIFS('Awards Summary'!$H:$H,'Awards Summary'!$B:$B,$C111,'Awards Summary'!$J:$J,"MVWA")</f>
        <v>0</v>
      </c>
      <c r="GQ111" s="55">
        <f>SUMIFS('Disbursements Summary'!$E:$E,'Disbursements Summary'!$C:$C,$C111,'Disbursements Summary'!$A:$A,"MVWA")</f>
        <v>0</v>
      </c>
      <c r="GR111" s="55">
        <f>SUMIFS('Awards Summary'!$H:$H,'Awards Summary'!$B:$B,$C111,'Awards Summary'!$J:$J,"WMC")</f>
        <v>0</v>
      </c>
      <c r="GS111" s="55">
        <f>SUMIFS('Disbursements Summary'!$E:$E,'Disbursements Summary'!$C:$C,$C111,'Disbursements Summary'!$A:$A,"WMC")</f>
        <v>0</v>
      </c>
      <c r="GT111" s="55">
        <f>SUMIFS('Awards Summary'!$H:$H,'Awards Summary'!$B:$B,$C111,'Awards Summary'!$J:$J,"WCB")</f>
        <v>0</v>
      </c>
      <c r="GU111" s="55">
        <f>SUMIFS('Disbursements Summary'!$E:$E,'Disbursements Summary'!$C:$C,$C111,'Disbursements Summary'!$A:$A,"WCB")</f>
        <v>0</v>
      </c>
      <c r="GV111" s="32">
        <f t="shared" si="10"/>
        <v>0</v>
      </c>
      <c r="GW111" s="32">
        <f t="shared" si="11"/>
        <v>0</v>
      </c>
      <c r="GX111" s="30" t="b">
        <f t="shared" si="12"/>
        <v>1</v>
      </c>
      <c r="GY111" s="30" t="b">
        <f t="shared" si="13"/>
        <v>1</v>
      </c>
    </row>
    <row r="112" spans="1:207" s="30" customFormat="1">
      <c r="A112" s="22" t="str">
        <f t="shared" si="9"/>
        <v/>
      </c>
      <c r="B112" s="21" t="s">
        <v>258</v>
      </c>
      <c r="C112" s="29">
        <v>161270</v>
      </c>
      <c r="D112" s="26">
        <f>COUNTIF('Awards Summary'!B:B,"161270")</f>
        <v>0</v>
      </c>
      <c r="E112" s="45">
        <f>SUMIFS('Awards Summary'!H:H,'Awards Summary'!B:B,"161270")</f>
        <v>0</v>
      </c>
      <c r="F112" s="46">
        <f>SUMIFS('Disbursements Summary'!E:E,'Disbursements Summary'!C:C, "161270")</f>
        <v>0</v>
      </c>
      <c r="H112" s="55">
        <f>SUMIFS('Awards Summary'!$H:$H,'Awards Summary'!$B:$B,$C112,'Awards Summary'!$J:$J,"APA")</f>
        <v>0</v>
      </c>
      <c r="I112" s="55">
        <f>SUMIFS('Disbursements Summary'!$E:$E,'Disbursements Summary'!$C:$C,$C112,'Disbursements Summary'!$A:$A,"APA")</f>
        <v>0</v>
      </c>
      <c r="J112" s="55">
        <f>SUMIFS('Awards Summary'!$H:$H,'Awards Summary'!$B:$B,$C112,'Awards Summary'!$J:$J,"Ag&amp;Horse")</f>
        <v>0</v>
      </c>
      <c r="K112" s="55">
        <f>SUMIFS('Disbursements Summary'!$E:$E,'Disbursements Summary'!$C:$C,$C112,'Disbursements Summary'!$A:$A,"Ag&amp;Horse")</f>
        <v>0</v>
      </c>
      <c r="L112" s="55">
        <f>SUMIFS('Awards Summary'!$H:$H,'Awards Summary'!$B:$B,$C112,'Awards Summary'!$J:$J,"ACAA")</f>
        <v>0</v>
      </c>
      <c r="M112" s="55">
        <f>SUMIFS('Disbursements Summary'!$E:$E,'Disbursements Summary'!$C:$C,$C112,'Disbursements Summary'!$A:$A,"ACAA")</f>
        <v>0</v>
      </c>
      <c r="N112" s="55">
        <f>SUMIFS('Awards Summary'!$H:$H,'Awards Summary'!$B:$B,$C112,'Awards Summary'!$J:$J,"PortAlbany")</f>
        <v>0</v>
      </c>
      <c r="O112" s="55">
        <f>SUMIFS('Disbursements Summary'!$E:$E,'Disbursements Summary'!$C:$C,$C112,'Disbursements Summary'!$A:$A,"PortAlbany")</f>
        <v>0</v>
      </c>
      <c r="P112" s="55">
        <f>SUMIFS('Awards Summary'!$H:$H,'Awards Summary'!$B:$B,$C112,'Awards Summary'!$J:$J,"SLA")</f>
        <v>0</v>
      </c>
      <c r="Q112" s="55">
        <f>SUMIFS('Disbursements Summary'!$E:$E,'Disbursements Summary'!$C:$C,$C112,'Disbursements Summary'!$A:$A,"SLA")</f>
        <v>0</v>
      </c>
      <c r="R112" s="55">
        <f>SUMIFS('Awards Summary'!$H:$H,'Awards Summary'!$B:$B,$C112,'Awards Summary'!$J:$J,"BPCA")</f>
        <v>0</v>
      </c>
      <c r="S112" s="55">
        <f>SUMIFS('Disbursements Summary'!$E:$E,'Disbursements Summary'!$C:$C,$C112,'Disbursements Summary'!$A:$A,"BPCA")</f>
        <v>0</v>
      </c>
      <c r="T112" s="55">
        <f>SUMIFS('Awards Summary'!$H:$H,'Awards Summary'!$B:$B,$C112,'Awards Summary'!$J:$J,"ELECTIONS")</f>
        <v>0</v>
      </c>
      <c r="U112" s="55">
        <f>SUMIFS('Disbursements Summary'!$E:$E,'Disbursements Summary'!$C:$C,$C112,'Disbursements Summary'!$A:$A,"ELECTIONS")</f>
        <v>0</v>
      </c>
      <c r="V112" s="55">
        <f>SUMIFS('Awards Summary'!$H:$H,'Awards Summary'!$B:$B,$C112,'Awards Summary'!$J:$J,"BFSA")</f>
        <v>0</v>
      </c>
      <c r="W112" s="55">
        <f>SUMIFS('Disbursements Summary'!$E:$E,'Disbursements Summary'!$C:$C,$C112,'Disbursements Summary'!$A:$A,"BFSA")</f>
        <v>0</v>
      </c>
      <c r="X112" s="55">
        <f>SUMIFS('Awards Summary'!$H:$H,'Awards Summary'!$B:$B,$C112,'Awards Summary'!$J:$J,"CDTA")</f>
        <v>0</v>
      </c>
      <c r="Y112" s="55">
        <f>SUMIFS('Disbursements Summary'!$E:$E,'Disbursements Summary'!$C:$C,$C112,'Disbursements Summary'!$A:$A,"CDTA")</f>
        <v>0</v>
      </c>
      <c r="Z112" s="55">
        <f>SUMIFS('Awards Summary'!$H:$H,'Awards Summary'!$B:$B,$C112,'Awards Summary'!$J:$J,"CCWSA")</f>
        <v>0</v>
      </c>
      <c r="AA112" s="55">
        <f>SUMIFS('Disbursements Summary'!$E:$E,'Disbursements Summary'!$C:$C,$C112,'Disbursements Summary'!$A:$A,"CCWSA")</f>
        <v>0</v>
      </c>
      <c r="AB112" s="55">
        <f>SUMIFS('Awards Summary'!$H:$H,'Awards Summary'!$B:$B,$C112,'Awards Summary'!$J:$J,"CNYRTA")</f>
        <v>0</v>
      </c>
      <c r="AC112" s="55">
        <f>SUMIFS('Disbursements Summary'!$E:$E,'Disbursements Summary'!$C:$C,$C112,'Disbursements Summary'!$A:$A,"CNYRTA")</f>
        <v>0</v>
      </c>
      <c r="AD112" s="55">
        <f>SUMIFS('Awards Summary'!$H:$H,'Awards Summary'!$B:$B,$C112,'Awards Summary'!$J:$J,"CUCF")</f>
        <v>0</v>
      </c>
      <c r="AE112" s="55">
        <f>SUMIFS('Disbursements Summary'!$E:$E,'Disbursements Summary'!$C:$C,$C112,'Disbursements Summary'!$A:$A,"CUCF")</f>
        <v>0</v>
      </c>
      <c r="AF112" s="55">
        <f>SUMIFS('Awards Summary'!$H:$H,'Awards Summary'!$B:$B,$C112,'Awards Summary'!$J:$J,"CUNY")</f>
        <v>0</v>
      </c>
      <c r="AG112" s="55">
        <f>SUMIFS('Disbursements Summary'!$E:$E,'Disbursements Summary'!$C:$C,$C112,'Disbursements Summary'!$A:$A,"CUNY")</f>
        <v>0</v>
      </c>
      <c r="AH112" s="55">
        <f>SUMIFS('Awards Summary'!$H:$H,'Awards Summary'!$B:$B,$C112,'Awards Summary'!$J:$J,"ARTS")</f>
        <v>0</v>
      </c>
      <c r="AI112" s="55">
        <f>SUMIFS('Disbursements Summary'!$E:$E,'Disbursements Summary'!$C:$C,$C112,'Disbursements Summary'!$A:$A,"ARTS")</f>
        <v>0</v>
      </c>
      <c r="AJ112" s="55">
        <f>SUMIFS('Awards Summary'!$H:$H,'Awards Summary'!$B:$B,$C112,'Awards Summary'!$J:$J,"AG&amp;MKTS")</f>
        <v>0</v>
      </c>
      <c r="AK112" s="55">
        <f>SUMIFS('Disbursements Summary'!$E:$E,'Disbursements Summary'!$C:$C,$C112,'Disbursements Summary'!$A:$A,"AG&amp;MKTS")</f>
        <v>0</v>
      </c>
      <c r="AL112" s="55">
        <f>SUMIFS('Awards Summary'!$H:$H,'Awards Summary'!$B:$B,$C112,'Awards Summary'!$J:$J,"CS")</f>
        <v>0</v>
      </c>
      <c r="AM112" s="55">
        <f>SUMIFS('Disbursements Summary'!$E:$E,'Disbursements Summary'!$C:$C,$C112,'Disbursements Summary'!$A:$A,"CS")</f>
        <v>0</v>
      </c>
      <c r="AN112" s="55">
        <f>SUMIFS('Awards Summary'!$H:$H,'Awards Summary'!$B:$B,$C112,'Awards Summary'!$J:$J,"DOCCS")</f>
        <v>0</v>
      </c>
      <c r="AO112" s="55">
        <f>SUMIFS('Disbursements Summary'!$E:$E,'Disbursements Summary'!$C:$C,$C112,'Disbursements Summary'!$A:$A,"DOCCS")</f>
        <v>0</v>
      </c>
      <c r="AP112" s="55">
        <f>SUMIFS('Awards Summary'!$H:$H,'Awards Summary'!$B:$B,$C112,'Awards Summary'!$J:$J,"DED")</f>
        <v>0</v>
      </c>
      <c r="AQ112" s="55">
        <f>SUMIFS('Disbursements Summary'!$E:$E,'Disbursements Summary'!$C:$C,$C112,'Disbursements Summary'!$A:$A,"DED")</f>
        <v>0</v>
      </c>
      <c r="AR112" s="55">
        <f>SUMIFS('Awards Summary'!$H:$H,'Awards Summary'!$B:$B,$C112,'Awards Summary'!$J:$J,"DEC")</f>
        <v>0</v>
      </c>
      <c r="AS112" s="55">
        <f>SUMIFS('Disbursements Summary'!$E:$E,'Disbursements Summary'!$C:$C,$C112,'Disbursements Summary'!$A:$A,"DEC")</f>
        <v>0</v>
      </c>
      <c r="AT112" s="55">
        <f>SUMIFS('Awards Summary'!$H:$H,'Awards Summary'!$B:$B,$C112,'Awards Summary'!$J:$J,"DFS")</f>
        <v>0</v>
      </c>
      <c r="AU112" s="55">
        <f>SUMIFS('Disbursements Summary'!$E:$E,'Disbursements Summary'!$C:$C,$C112,'Disbursements Summary'!$A:$A,"DFS")</f>
        <v>0</v>
      </c>
      <c r="AV112" s="55">
        <f>SUMIFS('Awards Summary'!$H:$H,'Awards Summary'!$B:$B,$C112,'Awards Summary'!$J:$J,"DOH")</f>
        <v>0</v>
      </c>
      <c r="AW112" s="55">
        <f>SUMIFS('Disbursements Summary'!$E:$E,'Disbursements Summary'!$C:$C,$C112,'Disbursements Summary'!$A:$A,"DOH")</f>
        <v>0</v>
      </c>
      <c r="AX112" s="55">
        <f>SUMIFS('Awards Summary'!$H:$H,'Awards Summary'!$B:$B,$C112,'Awards Summary'!$J:$J,"DOL")</f>
        <v>0</v>
      </c>
      <c r="AY112" s="55">
        <f>SUMIFS('Disbursements Summary'!$E:$E,'Disbursements Summary'!$C:$C,$C112,'Disbursements Summary'!$A:$A,"DOL")</f>
        <v>0</v>
      </c>
      <c r="AZ112" s="55">
        <f>SUMIFS('Awards Summary'!$H:$H,'Awards Summary'!$B:$B,$C112,'Awards Summary'!$J:$J,"DMV")</f>
        <v>0</v>
      </c>
      <c r="BA112" s="55">
        <f>SUMIFS('Disbursements Summary'!$E:$E,'Disbursements Summary'!$C:$C,$C112,'Disbursements Summary'!$A:$A,"DMV")</f>
        <v>0</v>
      </c>
      <c r="BB112" s="55">
        <f>SUMIFS('Awards Summary'!$H:$H,'Awards Summary'!$B:$B,$C112,'Awards Summary'!$J:$J,"DPS")</f>
        <v>0</v>
      </c>
      <c r="BC112" s="55">
        <f>SUMIFS('Disbursements Summary'!$E:$E,'Disbursements Summary'!$C:$C,$C112,'Disbursements Summary'!$A:$A,"DPS")</f>
        <v>0</v>
      </c>
      <c r="BD112" s="55">
        <f>SUMIFS('Awards Summary'!$H:$H,'Awards Summary'!$B:$B,$C112,'Awards Summary'!$J:$J,"DOS")</f>
        <v>0</v>
      </c>
      <c r="BE112" s="55">
        <f>SUMIFS('Disbursements Summary'!$E:$E,'Disbursements Summary'!$C:$C,$C112,'Disbursements Summary'!$A:$A,"DOS")</f>
        <v>0</v>
      </c>
      <c r="BF112" s="55">
        <f>SUMIFS('Awards Summary'!$H:$H,'Awards Summary'!$B:$B,$C112,'Awards Summary'!$J:$J,"TAX")</f>
        <v>0</v>
      </c>
      <c r="BG112" s="55">
        <f>SUMIFS('Disbursements Summary'!$E:$E,'Disbursements Summary'!$C:$C,$C112,'Disbursements Summary'!$A:$A,"TAX")</f>
        <v>0</v>
      </c>
      <c r="BH112" s="55">
        <f>SUMIFS('Awards Summary'!$H:$H,'Awards Summary'!$B:$B,$C112,'Awards Summary'!$J:$J,"DOT")</f>
        <v>0</v>
      </c>
      <c r="BI112" s="55">
        <f>SUMIFS('Disbursements Summary'!$E:$E,'Disbursements Summary'!$C:$C,$C112,'Disbursements Summary'!$A:$A,"DOT")</f>
        <v>0</v>
      </c>
      <c r="BJ112" s="55">
        <f>SUMIFS('Awards Summary'!$H:$H,'Awards Summary'!$B:$B,$C112,'Awards Summary'!$J:$J,"DANC")</f>
        <v>0</v>
      </c>
      <c r="BK112" s="55">
        <f>SUMIFS('Disbursements Summary'!$E:$E,'Disbursements Summary'!$C:$C,$C112,'Disbursements Summary'!$A:$A,"DANC")</f>
        <v>0</v>
      </c>
      <c r="BL112" s="55">
        <f>SUMIFS('Awards Summary'!$H:$H,'Awards Summary'!$B:$B,$C112,'Awards Summary'!$J:$J,"DOB")</f>
        <v>0</v>
      </c>
      <c r="BM112" s="55">
        <f>SUMIFS('Disbursements Summary'!$E:$E,'Disbursements Summary'!$C:$C,$C112,'Disbursements Summary'!$A:$A,"DOB")</f>
        <v>0</v>
      </c>
      <c r="BN112" s="55">
        <f>SUMIFS('Awards Summary'!$H:$H,'Awards Summary'!$B:$B,$C112,'Awards Summary'!$J:$J,"DCJS")</f>
        <v>0</v>
      </c>
      <c r="BO112" s="55">
        <f>SUMIFS('Disbursements Summary'!$E:$E,'Disbursements Summary'!$C:$C,$C112,'Disbursements Summary'!$A:$A,"DCJS")</f>
        <v>0</v>
      </c>
      <c r="BP112" s="55">
        <f>SUMIFS('Awards Summary'!$H:$H,'Awards Summary'!$B:$B,$C112,'Awards Summary'!$J:$J,"DHSES")</f>
        <v>0</v>
      </c>
      <c r="BQ112" s="55">
        <f>SUMIFS('Disbursements Summary'!$E:$E,'Disbursements Summary'!$C:$C,$C112,'Disbursements Summary'!$A:$A,"DHSES")</f>
        <v>0</v>
      </c>
      <c r="BR112" s="55">
        <f>SUMIFS('Awards Summary'!$H:$H,'Awards Summary'!$B:$B,$C112,'Awards Summary'!$J:$J,"DHR")</f>
        <v>0</v>
      </c>
      <c r="BS112" s="55">
        <f>SUMIFS('Disbursements Summary'!$E:$E,'Disbursements Summary'!$C:$C,$C112,'Disbursements Summary'!$A:$A,"DHR")</f>
        <v>0</v>
      </c>
      <c r="BT112" s="55">
        <f>SUMIFS('Awards Summary'!$H:$H,'Awards Summary'!$B:$B,$C112,'Awards Summary'!$J:$J,"DMNA")</f>
        <v>0</v>
      </c>
      <c r="BU112" s="55">
        <f>SUMIFS('Disbursements Summary'!$E:$E,'Disbursements Summary'!$C:$C,$C112,'Disbursements Summary'!$A:$A,"DMNA")</f>
        <v>0</v>
      </c>
      <c r="BV112" s="55">
        <f>SUMIFS('Awards Summary'!$H:$H,'Awards Summary'!$B:$B,$C112,'Awards Summary'!$J:$J,"TROOPERS")</f>
        <v>0</v>
      </c>
      <c r="BW112" s="55">
        <f>SUMIFS('Disbursements Summary'!$E:$E,'Disbursements Summary'!$C:$C,$C112,'Disbursements Summary'!$A:$A,"TROOPERS")</f>
        <v>0</v>
      </c>
      <c r="BX112" s="55">
        <f>SUMIFS('Awards Summary'!$H:$H,'Awards Summary'!$B:$B,$C112,'Awards Summary'!$J:$J,"DVA")</f>
        <v>0</v>
      </c>
      <c r="BY112" s="55">
        <f>SUMIFS('Disbursements Summary'!$E:$E,'Disbursements Summary'!$C:$C,$C112,'Disbursements Summary'!$A:$A,"DVA")</f>
        <v>0</v>
      </c>
      <c r="BZ112" s="55">
        <f>SUMIFS('Awards Summary'!$H:$H,'Awards Summary'!$B:$B,$C112,'Awards Summary'!$J:$J,"DASNY")</f>
        <v>0</v>
      </c>
      <c r="CA112" s="55">
        <f>SUMIFS('Disbursements Summary'!$E:$E,'Disbursements Summary'!$C:$C,$C112,'Disbursements Summary'!$A:$A,"DASNY")</f>
        <v>0</v>
      </c>
      <c r="CB112" s="55">
        <f>SUMIFS('Awards Summary'!$H:$H,'Awards Summary'!$B:$B,$C112,'Awards Summary'!$J:$J,"EGG")</f>
        <v>0</v>
      </c>
      <c r="CC112" s="55">
        <f>SUMIFS('Disbursements Summary'!$E:$E,'Disbursements Summary'!$C:$C,$C112,'Disbursements Summary'!$A:$A,"EGG")</f>
        <v>0</v>
      </c>
      <c r="CD112" s="55">
        <f>SUMIFS('Awards Summary'!$H:$H,'Awards Summary'!$B:$B,$C112,'Awards Summary'!$J:$J,"ESD")</f>
        <v>0</v>
      </c>
      <c r="CE112" s="55">
        <f>SUMIFS('Disbursements Summary'!$E:$E,'Disbursements Summary'!$C:$C,$C112,'Disbursements Summary'!$A:$A,"ESD")</f>
        <v>0</v>
      </c>
      <c r="CF112" s="55">
        <f>SUMIFS('Awards Summary'!$H:$H,'Awards Summary'!$B:$B,$C112,'Awards Summary'!$J:$J,"EFC")</f>
        <v>0</v>
      </c>
      <c r="CG112" s="55">
        <f>SUMIFS('Disbursements Summary'!$E:$E,'Disbursements Summary'!$C:$C,$C112,'Disbursements Summary'!$A:$A,"EFC")</f>
        <v>0</v>
      </c>
      <c r="CH112" s="55">
        <f>SUMIFS('Awards Summary'!$H:$H,'Awards Summary'!$B:$B,$C112,'Awards Summary'!$J:$J,"ECFSA")</f>
        <v>0</v>
      </c>
      <c r="CI112" s="55">
        <f>SUMIFS('Disbursements Summary'!$E:$E,'Disbursements Summary'!$C:$C,$C112,'Disbursements Summary'!$A:$A,"ECFSA")</f>
        <v>0</v>
      </c>
      <c r="CJ112" s="55">
        <f>SUMIFS('Awards Summary'!$H:$H,'Awards Summary'!$B:$B,$C112,'Awards Summary'!$J:$J,"ECMC")</f>
        <v>0</v>
      </c>
      <c r="CK112" s="55">
        <f>SUMIFS('Disbursements Summary'!$E:$E,'Disbursements Summary'!$C:$C,$C112,'Disbursements Summary'!$A:$A,"ECMC")</f>
        <v>0</v>
      </c>
      <c r="CL112" s="55">
        <f>SUMIFS('Awards Summary'!$H:$H,'Awards Summary'!$B:$B,$C112,'Awards Summary'!$J:$J,"CHAMBER")</f>
        <v>0</v>
      </c>
      <c r="CM112" s="55">
        <f>SUMIFS('Disbursements Summary'!$E:$E,'Disbursements Summary'!$C:$C,$C112,'Disbursements Summary'!$A:$A,"CHAMBER")</f>
        <v>0</v>
      </c>
      <c r="CN112" s="55">
        <f>SUMIFS('Awards Summary'!$H:$H,'Awards Summary'!$B:$B,$C112,'Awards Summary'!$J:$J,"GAMING")</f>
        <v>0</v>
      </c>
      <c r="CO112" s="55">
        <f>SUMIFS('Disbursements Summary'!$E:$E,'Disbursements Summary'!$C:$C,$C112,'Disbursements Summary'!$A:$A,"GAMING")</f>
        <v>0</v>
      </c>
      <c r="CP112" s="55">
        <f>SUMIFS('Awards Summary'!$H:$H,'Awards Summary'!$B:$B,$C112,'Awards Summary'!$J:$J,"GOER")</f>
        <v>0</v>
      </c>
      <c r="CQ112" s="55">
        <f>SUMIFS('Disbursements Summary'!$E:$E,'Disbursements Summary'!$C:$C,$C112,'Disbursements Summary'!$A:$A,"GOER")</f>
        <v>0</v>
      </c>
      <c r="CR112" s="55">
        <f>SUMIFS('Awards Summary'!$H:$H,'Awards Summary'!$B:$B,$C112,'Awards Summary'!$J:$J,"HESC")</f>
        <v>0</v>
      </c>
      <c r="CS112" s="55">
        <f>SUMIFS('Disbursements Summary'!$E:$E,'Disbursements Summary'!$C:$C,$C112,'Disbursements Summary'!$A:$A,"HESC")</f>
        <v>0</v>
      </c>
      <c r="CT112" s="55">
        <f>SUMIFS('Awards Summary'!$H:$H,'Awards Summary'!$B:$B,$C112,'Awards Summary'!$J:$J,"GOSR")</f>
        <v>0</v>
      </c>
      <c r="CU112" s="55">
        <f>SUMIFS('Disbursements Summary'!$E:$E,'Disbursements Summary'!$C:$C,$C112,'Disbursements Summary'!$A:$A,"GOSR")</f>
        <v>0</v>
      </c>
      <c r="CV112" s="55">
        <f>SUMIFS('Awards Summary'!$H:$H,'Awards Summary'!$B:$B,$C112,'Awards Summary'!$J:$J,"HRPT")</f>
        <v>0</v>
      </c>
      <c r="CW112" s="55">
        <f>SUMIFS('Disbursements Summary'!$E:$E,'Disbursements Summary'!$C:$C,$C112,'Disbursements Summary'!$A:$A,"HRPT")</f>
        <v>0</v>
      </c>
      <c r="CX112" s="55">
        <f>SUMIFS('Awards Summary'!$H:$H,'Awards Summary'!$B:$B,$C112,'Awards Summary'!$J:$J,"HRBRRD")</f>
        <v>0</v>
      </c>
      <c r="CY112" s="55">
        <f>SUMIFS('Disbursements Summary'!$E:$E,'Disbursements Summary'!$C:$C,$C112,'Disbursements Summary'!$A:$A,"HRBRRD")</f>
        <v>0</v>
      </c>
      <c r="CZ112" s="55">
        <f>SUMIFS('Awards Summary'!$H:$H,'Awards Summary'!$B:$B,$C112,'Awards Summary'!$J:$J,"ITS")</f>
        <v>0</v>
      </c>
      <c r="DA112" s="55">
        <f>SUMIFS('Disbursements Summary'!$E:$E,'Disbursements Summary'!$C:$C,$C112,'Disbursements Summary'!$A:$A,"ITS")</f>
        <v>0</v>
      </c>
      <c r="DB112" s="55">
        <f>SUMIFS('Awards Summary'!$H:$H,'Awards Summary'!$B:$B,$C112,'Awards Summary'!$J:$J,"JAVITS")</f>
        <v>0</v>
      </c>
      <c r="DC112" s="55">
        <f>SUMIFS('Disbursements Summary'!$E:$E,'Disbursements Summary'!$C:$C,$C112,'Disbursements Summary'!$A:$A,"JAVITS")</f>
        <v>0</v>
      </c>
      <c r="DD112" s="55">
        <f>SUMIFS('Awards Summary'!$H:$H,'Awards Summary'!$B:$B,$C112,'Awards Summary'!$J:$J,"JCOPE")</f>
        <v>0</v>
      </c>
      <c r="DE112" s="55">
        <f>SUMIFS('Disbursements Summary'!$E:$E,'Disbursements Summary'!$C:$C,$C112,'Disbursements Summary'!$A:$A,"JCOPE")</f>
        <v>0</v>
      </c>
      <c r="DF112" s="55">
        <f>SUMIFS('Awards Summary'!$H:$H,'Awards Summary'!$B:$B,$C112,'Awards Summary'!$J:$J,"JUSTICE")</f>
        <v>0</v>
      </c>
      <c r="DG112" s="55">
        <f>SUMIFS('Disbursements Summary'!$E:$E,'Disbursements Summary'!$C:$C,$C112,'Disbursements Summary'!$A:$A,"JUSTICE")</f>
        <v>0</v>
      </c>
      <c r="DH112" s="55">
        <f>SUMIFS('Awards Summary'!$H:$H,'Awards Summary'!$B:$B,$C112,'Awards Summary'!$J:$J,"LCWSA")</f>
        <v>0</v>
      </c>
      <c r="DI112" s="55">
        <f>SUMIFS('Disbursements Summary'!$E:$E,'Disbursements Summary'!$C:$C,$C112,'Disbursements Summary'!$A:$A,"LCWSA")</f>
        <v>0</v>
      </c>
      <c r="DJ112" s="55">
        <f>SUMIFS('Awards Summary'!$H:$H,'Awards Summary'!$B:$B,$C112,'Awards Summary'!$J:$J,"LIPA")</f>
        <v>0</v>
      </c>
      <c r="DK112" s="55">
        <f>SUMIFS('Disbursements Summary'!$E:$E,'Disbursements Summary'!$C:$C,$C112,'Disbursements Summary'!$A:$A,"LIPA")</f>
        <v>0</v>
      </c>
      <c r="DL112" s="55">
        <f>SUMIFS('Awards Summary'!$H:$H,'Awards Summary'!$B:$B,$C112,'Awards Summary'!$J:$J,"MTA")</f>
        <v>0</v>
      </c>
      <c r="DM112" s="55">
        <f>SUMIFS('Disbursements Summary'!$E:$E,'Disbursements Summary'!$C:$C,$C112,'Disbursements Summary'!$A:$A,"MTA")</f>
        <v>0</v>
      </c>
      <c r="DN112" s="55">
        <f>SUMIFS('Awards Summary'!$H:$H,'Awards Summary'!$B:$B,$C112,'Awards Summary'!$J:$J,"NIFA")</f>
        <v>0</v>
      </c>
      <c r="DO112" s="55">
        <f>SUMIFS('Disbursements Summary'!$E:$E,'Disbursements Summary'!$C:$C,$C112,'Disbursements Summary'!$A:$A,"NIFA")</f>
        <v>0</v>
      </c>
      <c r="DP112" s="55">
        <f>SUMIFS('Awards Summary'!$H:$H,'Awards Summary'!$B:$B,$C112,'Awards Summary'!$J:$J,"NHCC")</f>
        <v>0</v>
      </c>
      <c r="DQ112" s="55">
        <f>SUMIFS('Disbursements Summary'!$E:$E,'Disbursements Summary'!$C:$C,$C112,'Disbursements Summary'!$A:$A,"NHCC")</f>
        <v>0</v>
      </c>
      <c r="DR112" s="55">
        <f>SUMIFS('Awards Summary'!$H:$H,'Awards Summary'!$B:$B,$C112,'Awards Summary'!$J:$J,"NHT")</f>
        <v>0</v>
      </c>
      <c r="DS112" s="55">
        <f>SUMIFS('Disbursements Summary'!$E:$E,'Disbursements Summary'!$C:$C,$C112,'Disbursements Summary'!$A:$A,"NHT")</f>
        <v>0</v>
      </c>
      <c r="DT112" s="55">
        <f>SUMIFS('Awards Summary'!$H:$H,'Awards Summary'!$B:$B,$C112,'Awards Summary'!$J:$J,"NYPA")</f>
        <v>0</v>
      </c>
      <c r="DU112" s="55">
        <f>SUMIFS('Disbursements Summary'!$E:$E,'Disbursements Summary'!$C:$C,$C112,'Disbursements Summary'!$A:$A,"NYPA")</f>
        <v>0</v>
      </c>
      <c r="DV112" s="55">
        <f>SUMIFS('Awards Summary'!$H:$H,'Awards Summary'!$B:$B,$C112,'Awards Summary'!$J:$J,"NYSBA")</f>
        <v>0</v>
      </c>
      <c r="DW112" s="55">
        <f>SUMIFS('Disbursements Summary'!$E:$E,'Disbursements Summary'!$C:$C,$C112,'Disbursements Summary'!$A:$A,"NYSBA")</f>
        <v>0</v>
      </c>
      <c r="DX112" s="55">
        <f>SUMIFS('Awards Summary'!$H:$H,'Awards Summary'!$B:$B,$C112,'Awards Summary'!$J:$J,"NYSERDA")</f>
        <v>0</v>
      </c>
      <c r="DY112" s="55">
        <f>SUMIFS('Disbursements Summary'!$E:$E,'Disbursements Summary'!$C:$C,$C112,'Disbursements Summary'!$A:$A,"NYSERDA")</f>
        <v>0</v>
      </c>
      <c r="DZ112" s="55">
        <f>SUMIFS('Awards Summary'!$H:$H,'Awards Summary'!$B:$B,$C112,'Awards Summary'!$J:$J,"DHCR")</f>
        <v>0</v>
      </c>
      <c r="EA112" s="55">
        <f>SUMIFS('Disbursements Summary'!$E:$E,'Disbursements Summary'!$C:$C,$C112,'Disbursements Summary'!$A:$A,"DHCR")</f>
        <v>0</v>
      </c>
      <c r="EB112" s="55">
        <f>SUMIFS('Awards Summary'!$H:$H,'Awards Summary'!$B:$B,$C112,'Awards Summary'!$J:$J,"HFA")</f>
        <v>0</v>
      </c>
      <c r="EC112" s="55">
        <f>SUMIFS('Disbursements Summary'!$E:$E,'Disbursements Summary'!$C:$C,$C112,'Disbursements Summary'!$A:$A,"HFA")</f>
        <v>0</v>
      </c>
      <c r="ED112" s="55">
        <f>SUMIFS('Awards Summary'!$H:$H,'Awards Summary'!$B:$B,$C112,'Awards Summary'!$J:$J,"NYSIF")</f>
        <v>0</v>
      </c>
      <c r="EE112" s="55">
        <f>SUMIFS('Disbursements Summary'!$E:$E,'Disbursements Summary'!$C:$C,$C112,'Disbursements Summary'!$A:$A,"NYSIF")</f>
        <v>0</v>
      </c>
      <c r="EF112" s="55">
        <f>SUMIFS('Awards Summary'!$H:$H,'Awards Summary'!$B:$B,$C112,'Awards Summary'!$J:$J,"NYBREDS")</f>
        <v>0</v>
      </c>
      <c r="EG112" s="55">
        <f>SUMIFS('Disbursements Summary'!$E:$E,'Disbursements Summary'!$C:$C,$C112,'Disbursements Summary'!$A:$A,"NYBREDS")</f>
        <v>0</v>
      </c>
      <c r="EH112" s="55">
        <f>SUMIFS('Awards Summary'!$H:$H,'Awards Summary'!$B:$B,$C112,'Awards Summary'!$J:$J,"NYSTA")</f>
        <v>0</v>
      </c>
      <c r="EI112" s="55">
        <f>SUMIFS('Disbursements Summary'!$E:$E,'Disbursements Summary'!$C:$C,$C112,'Disbursements Summary'!$A:$A,"NYSTA")</f>
        <v>0</v>
      </c>
      <c r="EJ112" s="55">
        <f>SUMIFS('Awards Summary'!$H:$H,'Awards Summary'!$B:$B,$C112,'Awards Summary'!$J:$J,"NFWB")</f>
        <v>0</v>
      </c>
      <c r="EK112" s="55">
        <f>SUMIFS('Disbursements Summary'!$E:$E,'Disbursements Summary'!$C:$C,$C112,'Disbursements Summary'!$A:$A,"NFWB")</f>
        <v>0</v>
      </c>
      <c r="EL112" s="55">
        <f>SUMIFS('Awards Summary'!$H:$H,'Awards Summary'!$B:$B,$C112,'Awards Summary'!$J:$J,"NFTA")</f>
        <v>0</v>
      </c>
      <c r="EM112" s="55">
        <f>SUMIFS('Disbursements Summary'!$E:$E,'Disbursements Summary'!$C:$C,$C112,'Disbursements Summary'!$A:$A,"NFTA")</f>
        <v>0</v>
      </c>
      <c r="EN112" s="55">
        <f>SUMIFS('Awards Summary'!$H:$H,'Awards Summary'!$B:$B,$C112,'Awards Summary'!$J:$J,"OPWDD")</f>
        <v>0</v>
      </c>
      <c r="EO112" s="55">
        <f>SUMIFS('Disbursements Summary'!$E:$E,'Disbursements Summary'!$C:$C,$C112,'Disbursements Summary'!$A:$A,"OPWDD")</f>
        <v>0</v>
      </c>
      <c r="EP112" s="55">
        <f>SUMIFS('Awards Summary'!$H:$H,'Awards Summary'!$B:$B,$C112,'Awards Summary'!$J:$J,"AGING")</f>
        <v>0</v>
      </c>
      <c r="EQ112" s="55">
        <f>SUMIFS('Disbursements Summary'!$E:$E,'Disbursements Summary'!$C:$C,$C112,'Disbursements Summary'!$A:$A,"AGING")</f>
        <v>0</v>
      </c>
      <c r="ER112" s="55">
        <f>SUMIFS('Awards Summary'!$H:$H,'Awards Summary'!$B:$B,$C112,'Awards Summary'!$J:$J,"OPDV")</f>
        <v>0</v>
      </c>
      <c r="ES112" s="55">
        <f>SUMIFS('Disbursements Summary'!$E:$E,'Disbursements Summary'!$C:$C,$C112,'Disbursements Summary'!$A:$A,"OPDV")</f>
        <v>0</v>
      </c>
      <c r="ET112" s="55">
        <f>SUMIFS('Awards Summary'!$H:$H,'Awards Summary'!$B:$B,$C112,'Awards Summary'!$J:$J,"OVS")</f>
        <v>0</v>
      </c>
      <c r="EU112" s="55">
        <f>SUMIFS('Disbursements Summary'!$E:$E,'Disbursements Summary'!$C:$C,$C112,'Disbursements Summary'!$A:$A,"OVS")</f>
        <v>0</v>
      </c>
      <c r="EV112" s="55">
        <f>SUMIFS('Awards Summary'!$H:$H,'Awards Summary'!$B:$B,$C112,'Awards Summary'!$J:$J,"OASAS")</f>
        <v>0</v>
      </c>
      <c r="EW112" s="55">
        <f>SUMIFS('Disbursements Summary'!$E:$E,'Disbursements Summary'!$C:$C,$C112,'Disbursements Summary'!$A:$A,"OASAS")</f>
        <v>0</v>
      </c>
      <c r="EX112" s="55">
        <f>SUMIFS('Awards Summary'!$H:$H,'Awards Summary'!$B:$B,$C112,'Awards Summary'!$J:$J,"OCFS")</f>
        <v>0</v>
      </c>
      <c r="EY112" s="55">
        <f>SUMIFS('Disbursements Summary'!$E:$E,'Disbursements Summary'!$C:$C,$C112,'Disbursements Summary'!$A:$A,"OCFS")</f>
        <v>0</v>
      </c>
      <c r="EZ112" s="55">
        <f>SUMIFS('Awards Summary'!$H:$H,'Awards Summary'!$B:$B,$C112,'Awards Summary'!$J:$J,"OGS")</f>
        <v>0</v>
      </c>
      <c r="FA112" s="55">
        <f>SUMIFS('Disbursements Summary'!$E:$E,'Disbursements Summary'!$C:$C,$C112,'Disbursements Summary'!$A:$A,"OGS")</f>
        <v>0</v>
      </c>
      <c r="FB112" s="55">
        <f>SUMIFS('Awards Summary'!$H:$H,'Awards Summary'!$B:$B,$C112,'Awards Summary'!$J:$J,"OMH")</f>
        <v>0</v>
      </c>
      <c r="FC112" s="55">
        <f>SUMIFS('Disbursements Summary'!$E:$E,'Disbursements Summary'!$C:$C,$C112,'Disbursements Summary'!$A:$A,"OMH")</f>
        <v>0</v>
      </c>
      <c r="FD112" s="55">
        <f>SUMIFS('Awards Summary'!$H:$H,'Awards Summary'!$B:$B,$C112,'Awards Summary'!$J:$J,"PARKS")</f>
        <v>0</v>
      </c>
      <c r="FE112" s="55">
        <f>SUMIFS('Disbursements Summary'!$E:$E,'Disbursements Summary'!$C:$C,$C112,'Disbursements Summary'!$A:$A,"PARKS")</f>
        <v>0</v>
      </c>
      <c r="FF112" s="55">
        <f>SUMIFS('Awards Summary'!$H:$H,'Awards Summary'!$B:$B,$C112,'Awards Summary'!$J:$J,"OTDA")</f>
        <v>0</v>
      </c>
      <c r="FG112" s="55">
        <f>SUMIFS('Disbursements Summary'!$E:$E,'Disbursements Summary'!$C:$C,$C112,'Disbursements Summary'!$A:$A,"OTDA")</f>
        <v>0</v>
      </c>
      <c r="FH112" s="55">
        <f>SUMIFS('Awards Summary'!$H:$H,'Awards Summary'!$B:$B,$C112,'Awards Summary'!$J:$J,"OIG")</f>
        <v>0</v>
      </c>
      <c r="FI112" s="55">
        <f>SUMIFS('Disbursements Summary'!$E:$E,'Disbursements Summary'!$C:$C,$C112,'Disbursements Summary'!$A:$A,"OIG")</f>
        <v>0</v>
      </c>
      <c r="FJ112" s="55">
        <f>SUMIFS('Awards Summary'!$H:$H,'Awards Summary'!$B:$B,$C112,'Awards Summary'!$J:$J,"OMIG")</f>
        <v>0</v>
      </c>
      <c r="FK112" s="55">
        <f>SUMIFS('Disbursements Summary'!$E:$E,'Disbursements Summary'!$C:$C,$C112,'Disbursements Summary'!$A:$A,"OMIG")</f>
        <v>0</v>
      </c>
      <c r="FL112" s="55">
        <f>SUMIFS('Awards Summary'!$H:$H,'Awards Summary'!$B:$B,$C112,'Awards Summary'!$J:$J,"OSC")</f>
        <v>0</v>
      </c>
      <c r="FM112" s="55">
        <f>SUMIFS('Disbursements Summary'!$E:$E,'Disbursements Summary'!$C:$C,$C112,'Disbursements Summary'!$A:$A,"OSC")</f>
        <v>0</v>
      </c>
      <c r="FN112" s="55">
        <f>SUMIFS('Awards Summary'!$H:$H,'Awards Summary'!$B:$B,$C112,'Awards Summary'!$J:$J,"OWIG")</f>
        <v>0</v>
      </c>
      <c r="FO112" s="55">
        <f>SUMIFS('Disbursements Summary'!$E:$E,'Disbursements Summary'!$C:$C,$C112,'Disbursements Summary'!$A:$A,"OWIG")</f>
        <v>0</v>
      </c>
      <c r="FP112" s="55">
        <f>SUMIFS('Awards Summary'!$H:$H,'Awards Summary'!$B:$B,$C112,'Awards Summary'!$J:$J,"OGDEN")</f>
        <v>0</v>
      </c>
      <c r="FQ112" s="55">
        <f>SUMIFS('Disbursements Summary'!$E:$E,'Disbursements Summary'!$C:$C,$C112,'Disbursements Summary'!$A:$A,"OGDEN")</f>
        <v>0</v>
      </c>
      <c r="FR112" s="55">
        <f>SUMIFS('Awards Summary'!$H:$H,'Awards Summary'!$B:$B,$C112,'Awards Summary'!$J:$J,"ORDA")</f>
        <v>0</v>
      </c>
      <c r="FS112" s="55">
        <f>SUMIFS('Disbursements Summary'!$E:$E,'Disbursements Summary'!$C:$C,$C112,'Disbursements Summary'!$A:$A,"ORDA")</f>
        <v>0</v>
      </c>
      <c r="FT112" s="55">
        <f>SUMIFS('Awards Summary'!$H:$H,'Awards Summary'!$B:$B,$C112,'Awards Summary'!$J:$J,"OSWEGO")</f>
        <v>0</v>
      </c>
      <c r="FU112" s="55">
        <f>SUMIFS('Disbursements Summary'!$E:$E,'Disbursements Summary'!$C:$C,$C112,'Disbursements Summary'!$A:$A,"OSWEGO")</f>
        <v>0</v>
      </c>
      <c r="FV112" s="55">
        <f>SUMIFS('Awards Summary'!$H:$H,'Awards Summary'!$B:$B,$C112,'Awards Summary'!$J:$J,"PERB")</f>
        <v>0</v>
      </c>
      <c r="FW112" s="55">
        <f>SUMIFS('Disbursements Summary'!$E:$E,'Disbursements Summary'!$C:$C,$C112,'Disbursements Summary'!$A:$A,"PERB")</f>
        <v>0</v>
      </c>
      <c r="FX112" s="55">
        <f>SUMIFS('Awards Summary'!$H:$H,'Awards Summary'!$B:$B,$C112,'Awards Summary'!$J:$J,"RGRTA")</f>
        <v>0</v>
      </c>
      <c r="FY112" s="55">
        <f>SUMIFS('Disbursements Summary'!$E:$E,'Disbursements Summary'!$C:$C,$C112,'Disbursements Summary'!$A:$A,"RGRTA")</f>
        <v>0</v>
      </c>
      <c r="FZ112" s="55">
        <f>SUMIFS('Awards Summary'!$H:$H,'Awards Summary'!$B:$B,$C112,'Awards Summary'!$J:$J,"RIOC")</f>
        <v>0</v>
      </c>
      <c r="GA112" s="55">
        <f>SUMIFS('Disbursements Summary'!$E:$E,'Disbursements Summary'!$C:$C,$C112,'Disbursements Summary'!$A:$A,"RIOC")</f>
        <v>0</v>
      </c>
      <c r="GB112" s="55">
        <f>SUMIFS('Awards Summary'!$H:$H,'Awards Summary'!$B:$B,$C112,'Awards Summary'!$J:$J,"RPCI")</f>
        <v>0</v>
      </c>
      <c r="GC112" s="55">
        <f>SUMIFS('Disbursements Summary'!$E:$E,'Disbursements Summary'!$C:$C,$C112,'Disbursements Summary'!$A:$A,"RPCI")</f>
        <v>0</v>
      </c>
      <c r="GD112" s="55">
        <f>SUMIFS('Awards Summary'!$H:$H,'Awards Summary'!$B:$B,$C112,'Awards Summary'!$J:$J,"SMDA")</f>
        <v>0</v>
      </c>
      <c r="GE112" s="55">
        <f>SUMIFS('Disbursements Summary'!$E:$E,'Disbursements Summary'!$C:$C,$C112,'Disbursements Summary'!$A:$A,"SMDA")</f>
        <v>0</v>
      </c>
      <c r="GF112" s="55">
        <f>SUMIFS('Awards Summary'!$H:$H,'Awards Summary'!$B:$B,$C112,'Awards Summary'!$J:$J,"SCOC")</f>
        <v>0</v>
      </c>
      <c r="GG112" s="55">
        <f>SUMIFS('Disbursements Summary'!$E:$E,'Disbursements Summary'!$C:$C,$C112,'Disbursements Summary'!$A:$A,"SCOC")</f>
        <v>0</v>
      </c>
      <c r="GH112" s="55">
        <f>SUMIFS('Awards Summary'!$H:$H,'Awards Summary'!$B:$B,$C112,'Awards Summary'!$J:$J,"SUCF")</f>
        <v>0</v>
      </c>
      <c r="GI112" s="55">
        <f>SUMIFS('Disbursements Summary'!$E:$E,'Disbursements Summary'!$C:$C,$C112,'Disbursements Summary'!$A:$A,"SUCF")</f>
        <v>0</v>
      </c>
      <c r="GJ112" s="55">
        <f>SUMIFS('Awards Summary'!$H:$H,'Awards Summary'!$B:$B,$C112,'Awards Summary'!$J:$J,"SUNY")</f>
        <v>0</v>
      </c>
      <c r="GK112" s="55">
        <f>SUMIFS('Disbursements Summary'!$E:$E,'Disbursements Summary'!$C:$C,$C112,'Disbursements Summary'!$A:$A,"SUNY")</f>
        <v>0</v>
      </c>
      <c r="GL112" s="55">
        <f>SUMIFS('Awards Summary'!$H:$H,'Awards Summary'!$B:$B,$C112,'Awards Summary'!$J:$J,"SRAA")</f>
        <v>0</v>
      </c>
      <c r="GM112" s="55">
        <f>SUMIFS('Disbursements Summary'!$E:$E,'Disbursements Summary'!$C:$C,$C112,'Disbursements Summary'!$A:$A,"SRAA")</f>
        <v>0</v>
      </c>
      <c r="GN112" s="55">
        <f>SUMIFS('Awards Summary'!$H:$H,'Awards Summary'!$B:$B,$C112,'Awards Summary'!$J:$J,"UNDC")</f>
        <v>0</v>
      </c>
      <c r="GO112" s="55">
        <f>SUMIFS('Disbursements Summary'!$E:$E,'Disbursements Summary'!$C:$C,$C112,'Disbursements Summary'!$A:$A,"UNDC")</f>
        <v>0</v>
      </c>
      <c r="GP112" s="55">
        <f>SUMIFS('Awards Summary'!$H:$H,'Awards Summary'!$B:$B,$C112,'Awards Summary'!$J:$J,"MVWA")</f>
        <v>0</v>
      </c>
      <c r="GQ112" s="55">
        <f>SUMIFS('Disbursements Summary'!$E:$E,'Disbursements Summary'!$C:$C,$C112,'Disbursements Summary'!$A:$A,"MVWA")</f>
        <v>0</v>
      </c>
      <c r="GR112" s="55">
        <f>SUMIFS('Awards Summary'!$H:$H,'Awards Summary'!$B:$B,$C112,'Awards Summary'!$J:$J,"WMC")</f>
        <v>0</v>
      </c>
      <c r="GS112" s="55">
        <f>SUMIFS('Disbursements Summary'!$E:$E,'Disbursements Summary'!$C:$C,$C112,'Disbursements Summary'!$A:$A,"WMC")</f>
        <v>0</v>
      </c>
      <c r="GT112" s="55">
        <f>SUMIFS('Awards Summary'!$H:$H,'Awards Summary'!$B:$B,$C112,'Awards Summary'!$J:$J,"WCB")</f>
        <v>0</v>
      </c>
      <c r="GU112" s="55">
        <f>SUMIFS('Disbursements Summary'!$E:$E,'Disbursements Summary'!$C:$C,$C112,'Disbursements Summary'!$A:$A,"WCB")</f>
        <v>0</v>
      </c>
      <c r="GV112" s="32">
        <f t="shared" si="10"/>
        <v>0</v>
      </c>
      <c r="GW112" s="32">
        <f t="shared" si="11"/>
        <v>0</v>
      </c>
      <c r="GX112" s="30" t="b">
        <f t="shared" si="12"/>
        <v>1</v>
      </c>
      <c r="GY112" s="30" t="b">
        <f t="shared" si="13"/>
        <v>1</v>
      </c>
    </row>
    <row r="113" spans="1:207" s="30" customFormat="1">
      <c r="A113" s="22" t="str">
        <f t="shared" si="9"/>
        <v/>
      </c>
      <c r="B113" s="42" t="s">
        <v>220</v>
      </c>
      <c r="C113" s="16">
        <v>161271</v>
      </c>
      <c r="D113" s="26">
        <f>COUNTIF('Awards Summary'!B:B,"161271")</f>
        <v>0</v>
      </c>
      <c r="E113" s="45">
        <f>SUMIFS('Awards Summary'!H:H,'Awards Summary'!B:B,"161271")</f>
        <v>0</v>
      </c>
      <c r="F113" s="46">
        <f>SUMIFS('Disbursements Summary'!E:E,'Disbursements Summary'!C:C, "161271")</f>
        <v>0</v>
      </c>
      <c r="H113" s="55">
        <f>SUMIFS('Awards Summary'!$H:$H,'Awards Summary'!$B:$B,$C113,'Awards Summary'!$J:$J,"APA")</f>
        <v>0</v>
      </c>
      <c r="I113" s="55">
        <f>SUMIFS('Disbursements Summary'!$E:$E,'Disbursements Summary'!$C:$C,$C113,'Disbursements Summary'!$A:$A,"APA")</f>
        <v>0</v>
      </c>
      <c r="J113" s="55">
        <f>SUMIFS('Awards Summary'!$H:$H,'Awards Summary'!$B:$B,$C113,'Awards Summary'!$J:$J,"Ag&amp;Horse")</f>
        <v>0</v>
      </c>
      <c r="K113" s="55">
        <f>SUMIFS('Disbursements Summary'!$E:$E,'Disbursements Summary'!$C:$C,$C113,'Disbursements Summary'!$A:$A,"Ag&amp;Horse")</f>
        <v>0</v>
      </c>
      <c r="L113" s="55">
        <f>SUMIFS('Awards Summary'!$H:$H,'Awards Summary'!$B:$B,$C113,'Awards Summary'!$J:$J,"ACAA")</f>
        <v>0</v>
      </c>
      <c r="M113" s="55">
        <f>SUMIFS('Disbursements Summary'!$E:$E,'Disbursements Summary'!$C:$C,$C113,'Disbursements Summary'!$A:$A,"ACAA")</f>
        <v>0</v>
      </c>
      <c r="N113" s="55">
        <f>SUMIFS('Awards Summary'!$H:$H,'Awards Summary'!$B:$B,$C113,'Awards Summary'!$J:$J,"PortAlbany")</f>
        <v>0</v>
      </c>
      <c r="O113" s="55">
        <f>SUMIFS('Disbursements Summary'!$E:$E,'Disbursements Summary'!$C:$C,$C113,'Disbursements Summary'!$A:$A,"PortAlbany")</f>
        <v>0</v>
      </c>
      <c r="P113" s="55">
        <f>SUMIFS('Awards Summary'!$H:$H,'Awards Summary'!$B:$B,$C113,'Awards Summary'!$J:$J,"SLA")</f>
        <v>0</v>
      </c>
      <c r="Q113" s="55">
        <f>SUMIFS('Disbursements Summary'!$E:$E,'Disbursements Summary'!$C:$C,$C113,'Disbursements Summary'!$A:$A,"SLA")</f>
        <v>0</v>
      </c>
      <c r="R113" s="55">
        <f>SUMIFS('Awards Summary'!$H:$H,'Awards Summary'!$B:$B,$C113,'Awards Summary'!$J:$J,"BPCA")</f>
        <v>0</v>
      </c>
      <c r="S113" s="55">
        <f>SUMIFS('Disbursements Summary'!$E:$E,'Disbursements Summary'!$C:$C,$C113,'Disbursements Summary'!$A:$A,"BPCA")</f>
        <v>0</v>
      </c>
      <c r="T113" s="55">
        <f>SUMIFS('Awards Summary'!$H:$H,'Awards Summary'!$B:$B,$C113,'Awards Summary'!$J:$J,"ELECTIONS")</f>
        <v>0</v>
      </c>
      <c r="U113" s="55">
        <f>SUMIFS('Disbursements Summary'!$E:$E,'Disbursements Summary'!$C:$C,$C113,'Disbursements Summary'!$A:$A,"ELECTIONS")</f>
        <v>0</v>
      </c>
      <c r="V113" s="55">
        <f>SUMIFS('Awards Summary'!$H:$H,'Awards Summary'!$B:$B,$C113,'Awards Summary'!$J:$J,"BFSA")</f>
        <v>0</v>
      </c>
      <c r="W113" s="55">
        <f>SUMIFS('Disbursements Summary'!$E:$E,'Disbursements Summary'!$C:$C,$C113,'Disbursements Summary'!$A:$A,"BFSA")</f>
        <v>0</v>
      </c>
      <c r="X113" s="55">
        <f>SUMIFS('Awards Summary'!$H:$H,'Awards Summary'!$B:$B,$C113,'Awards Summary'!$J:$J,"CDTA")</f>
        <v>0</v>
      </c>
      <c r="Y113" s="55">
        <f>SUMIFS('Disbursements Summary'!$E:$E,'Disbursements Summary'!$C:$C,$C113,'Disbursements Summary'!$A:$A,"CDTA")</f>
        <v>0</v>
      </c>
      <c r="Z113" s="55">
        <f>SUMIFS('Awards Summary'!$H:$H,'Awards Summary'!$B:$B,$C113,'Awards Summary'!$J:$J,"CCWSA")</f>
        <v>0</v>
      </c>
      <c r="AA113" s="55">
        <f>SUMIFS('Disbursements Summary'!$E:$E,'Disbursements Summary'!$C:$C,$C113,'Disbursements Summary'!$A:$A,"CCWSA")</f>
        <v>0</v>
      </c>
      <c r="AB113" s="55">
        <f>SUMIFS('Awards Summary'!$H:$H,'Awards Summary'!$B:$B,$C113,'Awards Summary'!$J:$J,"CNYRTA")</f>
        <v>0</v>
      </c>
      <c r="AC113" s="55">
        <f>SUMIFS('Disbursements Summary'!$E:$E,'Disbursements Summary'!$C:$C,$C113,'Disbursements Summary'!$A:$A,"CNYRTA")</f>
        <v>0</v>
      </c>
      <c r="AD113" s="55">
        <f>SUMIFS('Awards Summary'!$H:$H,'Awards Summary'!$B:$B,$C113,'Awards Summary'!$J:$J,"CUCF")</f>
        <v>0</v>
      </c>
      <c r="AE113" s="55">
        <f>SUMIFS('Disbursements Summary'!$E:$E,'Disbursements Summary'!$C:$C,$C113,'Disbursements Summary'!$A:$A,"CUCF")</f>
        <v>0</v>
      </c>
      <c r="AF113" s="55">
        <f>SUMIFS('Awards Summary'!$H:$H,'Awards Summary'!$B:$B,$C113,'Awards Summary'!$J:$J,"CUNY")</f>
        <v>0</v>
      </c>
      <c r="AG113" s="55">
        <f>SUMIFS('Disbursements Summary'!$E:$E,'Disbursements Summary'!$C:$C,$C113,'Disbursements Summary'!$A:$A,"CUNY")</f>
        <v>0</v>
      </c>
      <c r="AH113" s="55">
        <f>SUMIFS('Awards Summary'!$H:$H,'Awards Summary'!$B:$B,$C113,'Awards Summary'!$J:$J,"ARTS")</f>
        <v>0</v>
      </c>
      <c r="AI113" s="55">
        <f>SUMIFS('Disbursements Summary'!$E:$E,'Disbursements Summary'!$C:$C,$C113,'Disbursements Summary'!$A:$A,"ARTS")</f>
        <v>0</v>
      </c>
      <c r="AJ113" s="55">
        <f>SUMIFS('Awards Summary'!$H:$H,'Awards Summary'!$B:$B,$C113,'Awards Summary'!$J:$J,"AG&amp;MKTS")</f>
        <v>0</v>
      </c>
      <c r="AK113" s="55">
        <f>SUMIFS('Disbursements Summary'!$E:$E,'Disbursements Summary'!$C:$C,$C113,'Disbursements Summary'!$A:$A,"AG&amp;MKTS")</f>
        <v>0</v>
      </c>
      <c r="AL113" s="55">
        <f>SUMIFS('Awards Summary'!$H:$H,'Awards Summary'!$B:$B,$C113,'Awards Summary'!$J:$J,"CS")</f>
        <v>0</v>
      </c>
      <c r="AM113" s="55">
        <f>SUMIFS('Disbursements Summary'!$E:$E,'Disbursements Summary'!$C:$C,$C113,'Disbursements Summary'!$A:$A,"CS")</f>
        <v>0</v>
      </c>
      <c r="AN113" s="55">
        <f>SUMIFS('Awards Summary'!$H:$H,'Awards Summary'!$B:$B,$C113,'Awards Summary'!$J:$J,"DOCCS")</f>
        <v>0</v>
      </c>
      <c r="AO113" s="55">
        <f>SUMIFS('Disbursements Summary'!$E:$E,'Disbursements Summary'!$C:$C,$C113,'Disbursements Summary'!$A:$A,"DOCCS")</f>
        <v>0</v>
      </c>
      <c r="AP113" s="55">
        <f>SUMIFS('Awards Summary'!$H:$H,'Awards Summary'!$B:$B,$C113,'Awards Summary'!$J:$J,"DED")</f>
        <v>0</v>
      </c>
      <c r="AQ113" s="55">
        <f>SUMIFS('Disbursements Summary'!$E:$E,'Disbursements Summary'!$C:$C,$C113,'Disbursements Summary'!$A:$A,"DED")</f>
        <v>0</v>
      </c>
      <c r="AR113" s="55">
        <f>SUMIFS('Awards Summary'!$H:$H,'Awards Summary'!$B:$B,$C113,'Awards Summary'!$J:$J,"DEC")</f>
        <v>0</v>
      </c>
      <c r="AS113" s="55">
        <f>SUMIFS('Disbursements Summary'!$E:$E,'Disbursements Summary'!$C:$C,$C113,'Disbursements Summary'!$A:$A,"DEC")</f>
        <v>0</v>
      </c>
      <c r="AT113" s="55">
        <f>SUMIFS('Awards Summary'!$H:$H,'Awards Summary'!$B:$B,$C113,'Awards Summary'!$J:$J,"DFS")</f>
        <v>0</v>
      </c>
      <c r="AU113" s="55">
        <f>SUMIFS('Disbursements Summary'!$E:$E,'Disbursements Summary'!$C:$C,$C113,'Disbursements Summary'!$A:$A,"DFS")</f>
        <v>0</v>
      </c>
      <c r="AV113" s="55">
        <f>SUMIFS('Awards Summary'!$H:$H,'Awards Summary'!$B:$B,$C113,'Awards Summary'!$J:$J,"DOH")</f>
        <v>0</v>
      </c>
      <c r="AW113" s="55">
        <f>SUMIFS('Disbursements Summary'!$E:$E,'Disbursements Summary'!$C:$C,$C113,'Disbursements Summary'!$A:$A,"DOH")</f>
        <v>0</v>
      </c>
      <c r="AX113" s="55">
        <f>SUMIFS('Awards Summary'!$H:$H,'Awards Summary'!$B:$B,$C113,'Awards Summary'!$J:$J,"DOL")</f>
        <v>0</v>
      </c>
      <c r="AY113" s="55">
        <f>SUMIFS('Disbursements Summary'!$E:$E,'Disbursements Summary'!$C:$C,$C113,'Disbursements Summary'!$A:$A,"DOL")</f>
        <v>0</v>
      </c>
      <c r="AZ113" s="55">
        <f>SUMIFS('Awards Summary'!$H:$H,'Awards Summary'!$B:$B,$C113,'Awards Summary'!$J:$J,"DMV")</f>
        <v>0</v>
      </c>
      <c r="BA113" s="55">
        <f>SUMIFS('Disbursements Summary'!$E:$E,'Disbursements Summary'!$C:$C,$C113,'Disbursements Summary'!$A:$A,"DMV")</f>
        <v>0</v>
      </c>
      <c r="BB113" s="55">
        <f>SUMIFS('Awards Summary'!$H:$H,'Awards Summary'!$B:$B,$C113,'Awards Summary'!$J:$J,"DPS")</f>
        <v>0</v>
      </c>
      <c r="BC113" s="55">
        <f>SUMIFS('Disbursements Summary'!$E:$E,'Disbursements Summary'!$C:$C,$C113,'Disbursements Summary'!$A:$A,"DPS")</f>
        <v>0</v>
      </c>
      <c r="BD113" s="55">
        <f>SUMIFS('Awards Summary'!$H:$H,'Awards Summary'!$B:$B,$C113,'Awards Summary'!$J:$J,"DOS")</f>
        <v>0</v>
      </c>
      <c r="BE113" s="55">
        <f>SUMIFS('Disbursements Summary'!$E:$E,'Disbursements Summary'!$C:$C,$C113,'Disbursements Summary'!$A:$A,"DOS")</f>
        <v>0</v>
      </c>
      <c r="BF113" s="55">
        <f>SUMIFS('Awards Summary'!$H:$H,'Awards Summary'!$B:$B,$C113,'Awards Summary'!$J:$J,"TAX")</f>
        <v>0</v>
      </c>
      <c r="BG113" s="55">
        <f>SUMIFS('Disbursements Summary'!$E:$E,'Disbursements Summary'!$C:$C,$C113,'Disbursements Summary'!$A:$A,"TAX")</f>
        <v>0</v>
      </c>
      <c r="BH113" s="55">
        <f>SUMIFS('Awards Summary'!$H:$H,'Awards Summary'!$B:$B,$C113,'Awards Summary'!$J:$J,"DOT")</f>
        <v>0</v>
      </c>
      <c r="BI113" s="55">
        <f>SUMIFS('Disbursements Summary'!$E:$E,'Disbursements Summary'!$C:$C,$C113,'Disbursements Summary'!$A:$A,"DOT")</f>
        <v>0</v>
      </c>
      <c r="BJ113" s="55">
        <f>SUMIFS('Awards Summary'!$H:$H,'Awards Summary'!$B:$B,$C113,'Awards Summary'!$J:$J,"DANC")</f>
        <v>0</v>
      </c>
      <c r="BK113" s="55">
        <f>SUMIFS('Disbursements Summary'!$E:$E,'Disbursements Summary'!$C:$C,$C113,'Disbursements Summary'!$A:$A,"DANC")</f>
        <v>0</v>
      </c>
      <c r="BL113" s="55">
        <f>SUMIFS('Awards Summary'!$H:$H,'Awards Summary'!$B:$B,$C113,'Awards Summary'!$J:$J,"DOB")</f>
        <v>0</v>
      </c>
      <c r="BM113" s="55">
        <f>SUMIFS('Disbursements Summary'!$E:$E,'Disbursements Summary'!$C:$C,$C113,'Disbursements Summary'!$A:$A,"DOB")</f>
        <v>0</v>
      </c>
      <c r="BN113" s="55">
        <f>SUMIFS('Awards Summary'!$H:$H,'Awards Summary'!$B:$B,$C113,'Awards Summary'!$J:$J,"DCJS")</f>
        <v>0</v>
      </c>
      <c r="BO113" s="55">
        <f>SUMIFS('Disbursements Summary'!$E:$E,'Disbursements Summary'!$C:$C,$C113,'Disbursements Summary'!$A:$A,"DCJS")</f>
        <v>0</v>
      </c>
      <c r="BP113" s="55">
        <f>SUMIFS('Awards Summary'!$H:$H,'Awards Summary'!$B:$B,$C113,'Awards Summary'!$J:$J,"DHSES")</f>
        <v>0</v>
      </c>
      <c r="BQ113" s="55">
        <f>SUMIFS('Disbursements Summary'!$E:$E,'Disbursements Summary'!$C:$C,$C113,'Disbursements Summary'!$A:$A,"DHSES")</f>
        <v>0</v>
      </c>
      <c r="BR113" s="55">
        <f>SUMIFS('Awards Summary'!$H:$H,'Awards Summary'!$B:$B,$C113,'Awards Summary'!$J:$J,"DHR")</f>
        <v>0</v>
      </c>
      <c r="BS113" s="55">
        <f>SUMIFS('Disbursements Summary'!$E:$E,'Disbursements Summary'!$C:$C,$C113,'Disbursements Summary'!$A:$A,"DHR")</f>
        <v>0</v>
      </c>
      <c r="BT113" s="55">
        <f>SUMIFS('Awards Summary'!$H:$H,'Awards Summary'!$B:$B,$C113,'Awards Summary'!$J:$J,"DMNA")</f>
        <v>0</v>
      </c>
      <c r="BU113" s="55">
        <f>SUMIFS('Disbursements Summary'!$E:$E,'Disbursements Summary'!$C:$C,$C113,'Disbursements Summary'!$A:$A,"DMNA")</f>
        <v>0</v>
      </c>
      <c r="BV113" s="55">
        <f>SUMIFS('Awards Summary'!$H:$H,'Awards Summary'!$B:$B,$C113,'Awards Summary'!$J:$J,"TROOPERS")</f>
        <v>0</v>
      </c>
      <c r="BW113" s="55">
        <f>SUMIFS('Disbursements Summary'!$E:$E,'Disbursements Summary'!$C:$C,$C113,'Disbursements Summary'!$A:$A,"TROOPERS")</f>
        <v>0</v>
      </c>
      <c r="BX113" s="55">
        <f>SUMIFS('Awards Summary'!$H:$H,'Awards Summary'!$B:$B,$C113,'Awards Summary'!$J:$J,"DVA")</f>
        <v>0</v>
      </c>
      <c r="BY113" s="55">
        <f>SUMIFS('Disbursements Summary'!$E:$E,'Disbursements Summary'!$C:$C,$C113,'Disbursements Summary'!$A:$A,"DVA")</f>
        <v>0</v>
      </c>
      <c r="BZ113" s="55">
        <f>SUMIFS('Awards Summary'!$H:$H,'Awards Summary'!$B:$B,$C113,'Awards Summary'!$J:$J,"DASNY")</f>
        <v>0</v>
      </c>
      <c r="CA113" s="55">
        <f>SUMIFS('Disbursements Summary'!$E:$E,'Disbursements Summary'!$C:$C,$C113,'Disbursements Summary'!$A:$A,"DASNY")</f>
        <v>0</v>
      </c>
      <c r="CB113" s="55">
        <f>SUMIFS('Awards Summary'!$H:$H,'Awards Summary'!$B:$B,$C113,'Awards Summary'!$J:$J,"EGG")</f>
        <v>0</v>
      </c>
      <c r="CC113" s="55">
        <f>SUMIFS('Disbursements Summary'!$E:$E,'Disbursements Summary'!$C:$C,$C113,'Disbursements Summary'!$A:$A,"EGG")</f>
        <v>0</v>
      </c>
      <c r="CD113" s="55">
        <f>SUMIFS('Awards Summary'!$H:$H,'Awards Summary'!$B:$B,$C113,'Awards Summary'!$J:$J,"ESD")</f>
        <v>0</v>
      </c>
      <c r="CE113" s="55">
        <f>SUMIFS('Disbursements Summary'!$E:$E,'Disbursements Summary'!$C:$C,$C113,'Disbursements Summary'!$A:$A,"ESD")</f>
        <v>0</v>
      </c>
      <c r="CF113" s="55">
        <f>SUMIFS('Awards Summary'!$H:$H,'Awards Summary'!$B:$B,$C113,'Awards Summary'!$J:$J,"EFC")</f>
        <v>0</v>
      </c>
      <c r="CG113" s="55">
        <f>SUMIFS('Disbursements Summary'!$E:$E,'Disbursements Summary'!$C:$C,$C113,'Disbursements Summary'!$A:$A,"EFC")</f>
        <v>0</v>
      </c>
      <c r="CH113" s="55">
        <f>SUMIFS('Awards Summary'!$H:$H,'Awards Summary'!$B:$B,$C113,'Awards Summary'!$J:$J,"ECFSA")</f>
        <v>0</v>
      </c>
      <c r="CI113" s="55">
        <f>SUMIFS('Disbursements Summary'!$E:$E,'Disbursements Summary'!$C:$C,$C113,'Disbursements Summary'!$A:$A,"ECFSA")</f>
        <v>0</v>
      </c>
      <c r="CJ113" s="55">
        <f>SUMIFS('Awards Summary'!$H:$H,'Awards Summary'!$B:$B,$C113,'Awards Summary'!$J:$J,"ECMC")</f>
        <v>0</v>
      </c>
      <c r="CK113" s="55">
        <f>SUMIFS('Disbursements Summary'!$E:$E,'Disbursements Summary'!$C:$C,$C113,'Disbursements Summary'!$A:$A,"ECMC")</f>
        <v>0</v>
      </c>
      <c r="CL113" s="55">
        <f>SUMIFS('Awards Summary'!$H:$H,'Awards Summary'!$B:$B,$C113,'Awards Summary'!$J:$J,"CHAMBER")</f>
        <v>0</v>
      </c>
      <c r="CM113" s="55">
        <f>SUMIFS('Disbursements Summary'!$E:$E,'Disbursements Summary'!$C:$C,$C113,'Disbursements Summary'!$A:$A,"CHAMBER")</f>
        <v>0</v>
      </c>
      <c r="CN113" s="55">
        <f>SUMIFS('Awards Summary'!$H:$H,'Awards Summary'!$B:$B,$C113,'Awards Summary'!$J:$J,"GAMING")</f>
        <v>0</v>
      </c>
      <c r="CO113" s="55">
        <f>SUMIFS('Disbursements Summary'!$E:$E,'Disbursements Summary'!$C:$C,$C113,'Disbursements Summary'!$A:$A,"GAMING")</f>
        <v>0</v>
      </c>
      <c r="CP113" s="55">
        <f>SUMIFS('Awards Summary'!$H:$H,'Awards Summary'!$B:$B,$C113,'Awards Summary'!$J:$J,"GOER")</f>
        <v>0</v>
      </c>
      <c r="CQ113" s="55">
        <f>SUMIFS('Disbursements Summary'!$E:$E,'Disbursements Summary'!$C:$C,$C113,'Disbursements Summary'!$A:$A,"GOER")</f>
        <v>0</v>
      </c>
      <c r="CR113" s="55">
        <f>SUMIFS('Awards Summary'!$H:$H,'Awards Summary'!$B:$B,$C113,'Awards Summary'!$J:$J,"HESC")</f>
        <v>0</v>
      </c>
      <c r="CS113" s="55">
        <f>SUMIFS('Disbursements Summary'!$E:$E,'Disbursements Summary'!$C:$C,$C113,'Disbursements Summary'!$A:$A,"HESC")</f>
        <v>0</v>
      </c>
      <c r="CT113" s="55">
        <f>SUMIFS('Awards Summary'!$H:$H,'Awards Summary'!$B:$B,$C113,'Awards Summary'!$J:$J,"GOSR")</f>
        <v>0</v>
      </c>
      <c r="CU113" s="55">
        <f>SUMIFS('Disbursements Summary'!$E:$E,'Disbursements Summary'!$C:$C,$C113,'Disbursements Summary'!$A:$A,"GOSR")</f>
        <v>0</v>
      </c>
      <c r="CV113" s="55">
        <f>SUMIFS('Awards Summary'!$H:$H,'Awards Summary'!$B:$B,$C113,'Awards Summary'!$J:$J,"HRPT")</f>
        <v>0</v>
      </c>
      <c r="CW113" s="55">
        <f>SUMIFS('Disbursements Summary'!$E:$E,'Disbursements Summary'!$C:$C,$C113,'Disbursements Summary'!$A:$A,"HRPT")</f>
        <v>0</v>
      </c>
      <c r="CX113" s="55">
        <f>SUMIFS('Awards Summary'!$H:$H,'Awards Summary'!$B:$B,$C113,'Awards Summary'!$J:$J,"HRBRRD")</f>
        <v>0</v>
      </c>
      <c r="CY113" s="55">
        <f>SUMIFS('Disbursements Summary'!$E:$E,'Disbursements Summary'!$C:$C,$C113,'Disbursements Summary'!$A:$A,"HRBRRD")</f>
        <v>0</v>
      </c>
      <c r="CZ113" s="55">
        <f>SUMIFS('Awards Summary'!$H:$H,'Awards Summary'!$B:$B,$C113,'Awards Summary'!$J:$J,"ITS")</f>
        <v>0</v>
      </c>
      <c r="DA113" s="55">
        <f>SUMIFS('Disbursements Summary'!$E:$E,'Disbursements Summary'!$C:$C,$C113,'Disbursements Summary'!$A:$A,"ITS")</f>
        <v>0</v>
      </c>
      <c r="DB113" s="55">
        <f>SUMIFS('Awards Summary'!$H:$H,'Awards Summary'!$B:$B,$C113,'Awards Summary'!$J:$J,"JAVITS")</f>
        <v>0</v>
      </c>
      <c r="DC113" s="55">
        <f>SUMIFS('Disbursements Summary'!$E:$E,'Disbursements Summary'!$C:$C,$C113,'Disbursements Summary'!$A:$A,"JAVITS")</f>
        <v>0</v>
      </c>
      <c r="DD113" s="55">
        <f>SUMIFS('Awards Summary'!$H:$H,'Awards Summary'!$B:$B,$C113,'Awards Summary'!$J:$J,"JCOPE")</f>
        <v>0</v>
      </c>
      <c r="DE113" s="55">
        <f>SUMIFS('Disbursements Summary'!$E:$E,'Disbursements Summary'!$C:$C,$C113,'Disbursements Summary'!$A:$A,"JCOPE")</f>
        <v>0</v>
      </c>
      <c r="DF113" s="55">
        <f>SUMIFS('Awards Summary'!$H:$H,'Awards Summary'!$B:$B,$C113,'Awards Summary'!$J:$J,"JUSTICE")</f>
        <v>0</v>
      </c>
      <c r="DG113" s="55">
        <f>SUMIFS('Disbursements Summary'!$E:$E,'Disbursements Summary'!$C:$C,$C113,'Disbursements Summary'!$A:$A,"JUSTICE")</f>
        <v>0</v>
      </c>
      <c r="DH113" s="55">
        <f>SUMIFS('Awards Summary'!$H:$H,'Awards Summary'!$B:$B,$C113,'Awards Summary'!$J:$J,"LCWSA")</f>
        <v>0</v>
      </c>
      <c r="DI113" s="55">
        <f>SUMIFS('Disbursements Summary'!$E:$E,'Disbursements Summary'!$C:$C,$C113,'Disbursements Summary'!$A:$A,"LCWSA")</f>
        <v>0</v>
      </c>
      <c r="DJ113" s="55">
        <f>SUMIFS('Awards Summary'!$H:$H,'Awards Summary'!$B:$B,$C113,'Awards Summary'!$J:$J,"LIPA")</f>
        <v>0</v>
      </c>
      <c r="DK113" s="55">
        <f>SUMIFS('Disbursements Summary'!$E:$E,'Disbursements Summary'!$C:$C,$C113,'Disbursements Summary'!$A:$A,"LIPA")</f>
        <v>0</v>
      </c>
      <c r="DL113" s="55">
        <f>SUMIFS('Awards Summary'!$H:$H,'Awards Summary'!$B:$B,$C113,'Awards Summary'!$J:$J,"MTA")</f>
        <v>0</v>
      </c>
      <c r="DM113" s="55">
        <f>SUMIFS('Disbursements Summary'!$E:$E,'Disbursements Summary'!$C:$C,$C113,'Disbursements Summary'!$A:$A,"MTA")</f>
        <v>0</v>
      </c>
      <c r="DN113" s="55">
        <f>SUMIFS('Awards Summary'!$H:$H,'Awards Summary'!$B:$B,$C113,'Awards Summary'!$J:$J,"NIFA")</f>
        <v>0</v>
      </c>
      <c r="DO113" s="55">
        <f>SUMIFS('Disbursements Summary'!$E:$E,'Disbursements Summary'!$C:$C,$C113,'Disbursements Summary'!$A:$A,"NIFA")</f>
        <v>0</v>
      </c>
      <c r="DP113" s="55">
        <f>SUMIFS('Awards Summary'!$H:$H,'Awards Summary'!$B:$B,$C113,'Awards Summary'!$J:$J,"NHCC")</f>
        <v>0</v>
      </c>
      <c r="DQ113" s="55">
        <f>SUMIFS('Disbursements Summary'!$E:$E,'Disbursements Summary'!$C:$C,$C113,'Disbursements Summary'!$A:$A,"NHCC")</f>
        <v>0</v>
      </c>
      <c r="DR113" s="55">
        <f>SUMIFS('Awards Summary'!$H:$H,'Awards Summary'!$B:$B,$C113,'Awards Summary'!$J:$J,"NHT")</f>
        <v>0</v>
      </c>
      <c r="DS113" s="55">
        <f>SUMIFS('Disbursements Summary'!$E:$E,'Disbursements Summary'!$C:$C,$C113,'Disbursements Summary'!$A:$A,"NHT")</f>
        <v>0</v>
      </c>
      <c r="DT113" s="55">
        <f>SUMIFS('Awards Summary'!$H:$H,'Awards Summary'!$B:$B,$C113,'Awards Summary'!$J:$J,"NYPA")</f>
        <v>0</v>
      </c>
      <c r="DU113" s="55">
        <f>SUMIFS('Disbursements Summary'!$E:$E,'Disbursements Summary'!$C:$C,$C113,'Disbursements Summary'!$A:$A,"NYPA")</f>
        <v>0</v>
      </c>
      <c r="DV113" s="55">
        <f>SUMIFS('Awards Summary'!$H:$H,'Awards Summary'!$B:$B,$C113,'Awards Summary'!$J:$J,"NYSBA")</f>
        <v>0</v>
      </c>
      <c r="DW113" s="55">
        <f>SUMIFS('Disbursements Summary'!$E:$E,'Disbursements Summary'!$C:$C,$C113,'Disbursements Summary'!$A:$A,"NYSBA")</f>
        <v>0</v>
      </c>
      <c r="DX113" s="55">
        <f>SUMIFS('Awards Summary'!$H:$H,'Awards Summary'!$B:$B,$C113,'Awards Summary'!$J:$J,"NYSERDA")</f>
        <v>0</v>
      </c>
      <c r="DY113" s="55">
        <f>SUMIFS('Disbursements Summary'!$E:$E,'Disbursements Summary'!$C:$C,$C113,'Disbursements Summary'!$A:$A,"NYSERDA")</f>
        <v>0</v>
      </c>
      <c r="DZ113" s="55">
        <f>SUMIFS('Awards Summary'!$H:$H,'Awards Summary'!$B:$B,$C113,'Awards Summary'!$J:$J,"DHCR")</f>
        <v>0</v>
      </c>
      <c r="EA113" s="55">
        <f>SUMIFS('Disbursements Summary'!$E:$E,'Disbursements Summary'!$C:$C,$C113,'Disbursements Summary'!$A:$A,"DHCR")</f>
        <v>0</v>
      </c>
      <c r="EB113" s="55">
        <f>SUMIFS('Awards Summary'!$H:$H,'Awards Summary'!$B:$B,$C113,'Awards Summary'!$J:$J,"HFA")</f>
        <v>0</v>
      </c>
      <c r="EC113" s="55">
        <f>SUMIFS('Disbursements Summary'!$E:$E,'Disbursements Summary'!$C:$C,$C113,'Disbursements Summary'!$A:$A,"HFA")</f>
        <v>0</v>
      </c>
      <c r="ED113" s="55">
        <f>SUMIFS('Awards Summary'!$H:$H,'Awards Summary'!$B:$B,$C113,'Awards Summary'!$J:$J,"NYSIF")</f>
        <v>0</v>
      </c>
      <c r="EE113" s="55">
        <f>SUMIFS('Disbursements Summary'!$E:$E,'Disbursements Summary'!$C:$C,$C113,'Disbursements Summary'!$A:$A,"NYSIF")</f>
        <v>0</v>
      </c>
      <c r="EF113" s="55">
        <f>SUMIFS('Awards Summary'!$H:$H,'Awards Summary'!$B:$B,$C113,'Awards Summary'!$J:$J,"NYBREDS")</f>
        <v>0</v>
      </c>
      <c r="EG113" s="55">
        <f>SUMIFS('Disbursements Summary'!$E:$E,'Disbursements Summary'!$C:$C,$C113,'Disbursements Summary'!$A:$A,"NYBREDS")</f>
        <v>0</v>
      </c>
      <c r="EH113" s="55">
        <f>SUMIFS('Awards Summary'!$H:$H,'Awards Summary'!$B:$B,$C113,'Awards Summary'!$J:$J,"NYSTA")</f>
        <v>0</v>
      </c>
      <c r="EI113" s="55">
        <f>SUMIFS('Disbursements Summary'!$E:$E,'Disbursements Summary'!$C:$C,$C113,'Disbursements Summary'!$A:$A,"NYSTA")</f>
        <v>0</v>
      </c>
      <c r="EJ113" s="55">
        <f>SUMIFS('Awards Summary'!$H:$H,'Awards Summary'!$B:$B,$C113,'Awards Summary'!$J:$J,"NFWB")</f>
        <v>0</v>
      </c>
      <c r="EK113" s="55">
        <f>SUMIFS('Disbursements Summary'!$E:$E,'Disbursements Summary'!$C:$C,$C113,'Disbursements Summary'!$A:$A,"NFWB")</f>
        <v>0</v>
      </c>
      <c r="EL113" s="55">
        <f>SUMIFS('Awards Summary'!$H:$H,'Awards Summary'!$B:$B,$C113,'Awards Summary'!$J:$J,"NFTA")</f>
        <v>0</v>
      </c>
      <c r="EM113" s="55">
        <f>SUMIFS('Disbursements Summary'!$E:$E,'Disbursements Summary'!$C:$C,$C113,'Disbursements Summary'!$A:$A,"NFTA")</f>
        <v>0</v>
      </c>
      <c r="EN113" s="55">
        <f>SUMIFS('Awards Summary'!$H:$H,'Awards Summary'!$B:$B,$C113,'Awards Summary'!$J:$J,"OPWDD")</f>
        <v>0</v>
      </c>
      <c r="EO113" s="55">
        <f>SUMIFS('Disbursements Summary'!$E:$E,'Disbursements Summary'!$C:$C,$C113,'Disbursements Summary'!$A:$A,"OPWDD")</f>
        <v>0</v>
      </c>
      <c r="EP113" s="55">
        <f>SUMIFS('Awards Summary'!$H:$H,'Awards Summary'!$B:$B,$C113,'Awards Summary'!$J:$J,"AGING")</f>
        <v>0</v>
      </c>
      <c r="EQ113" s="55">
        <f>SUMIFS('Disbursements Summary'!$E:$E,'Disbursements Summary'!$C:$C,$C113,'Disbursements Summary'!$A:$A,"AGING")</f>
        <v>0</v>
      </c>
      <c r="ER113" s="55">
        <f>SUMIFS('Awards Summary'!$H:$H,'Awards Summary'!$B:$B,$C113,'Awards Summary'!$J:$J,"OPDV")</f>
        <v>0</v>
      </c>
      <c r="ES113" s="55">
        <f>SUMIFS('Disbursements Summary'!$E:$E,'Disbursements Summary'!$C:$C,$C113,'Disbursements Summary'!$A:$A,"OPDV")</f>
        <v>0</v>
      </c>
      <c r="ET113" s="55">
        <f>SUMIFS('Awards Summary'!$H:$H,'Awards Summary'!$B:$B,$C113,'Awards Summary'!$J:$J,"OVS")</f>
        <v>0</v>
      </c>
      <c r="EU113" s="55">
        <f>SUMIFS('Disbursements Summary'!$E:$E,'Disbursements Summary'!$C:$C,$C113,'Disbursements Summary'!$A:$A,"OVS")</f>
        <v>0</v>
      </c>
      <c r="EV113" s="55">
        <f>SUMIFS('Awards Summary'!$H:$H,'Awards Summary'!$B:$B,$C113,'Awards Summary'!$J:$J,"OASAS")</f>
        <v>0</v>
      </c>
      <c r="EW113" s="55">
        <f>SUMIFS('Disbursements Summary'!$E:$E,'Disbursements Summary'!$C:$C,$C113,'Disbursements Summary'!$A:$A,"OASAS")</f>
        <v>0</v>
      </c>
      <c r="EX113" s="55">
        <f>SUMIFS('Awards Summary'!$H:$H,'Awards Summary'!$B:$B,$C113,'Awards Summary'!$J:$J,"OCFS")</f>
        <v>0</v>
      </c>
      <c r="EY113" s="55">
        <f>SUMIFS('Disbursements Summary'!$E:$E,'Disbursements Summary'!$C:$C,$C113,'Disbursements Summary'!$A:$A,"OCFS")</f>
        <v>0</v>
      </c>
      <c r="EZ113" s="55">
        <f>SUMIFS('Awards Summary'!$H:$H,'Awards Summary'!$B:$B,$C113,'Awards Summary'!$J:$J,"OGS")</f>
        <v>0</v>
      </c>
      <c r="FA113" s="55">
        <f>SUMIFS('Disbursements Summary'!$E:$E,'Disbursements Summary'!$C:$C,$C113,'Disbursements Summary'!$A:$A,"OGS")</f>
        <v>0</v>
      </c>
      <c r="FB113" s="55">
        <f>SUMIFS('Awards Summary'!$H:$H,'Awards Summary'!$B:$B,$C113,'Awards Summary'!$J:$J,"OMH")</f>
        <v>0</v>
      </c>
      <c r="FC113" s="55">
        <f>SUMIFS('Disbursements Summary'!$E:$E,'Disbursements Summary'!$C:$C,$C113,'Disbursements Summary'!$A:$A,"OMH")</f>
        <v>0</v>
      </c>
      <c r="FD113" s="55">
        <f>SUMIFS('Awards Summary'!$H:$H,'Awards Summary'!$B:$B,$C113,'Awards Summary'!$J:$J,"PARKS")</f>
        <v>0</v>
      </c>
      <c r="FE113" s="55">
        <f>SUMIFS('Disbursements Summary'!$E:$E,'Disbursements Summary'!$C:$C,$C113,'Disbursements Summary'!$A:$A,"PARKS")</f>
        <v>0</v>
      </c>
      <c r="FF113" s="55">
        <f>SUMIFS('Awards Summary'!$H:$H,'Awards Summary'!$B:$B,$C113,'Awards Summary'!$J:$J,"OTDA")</f>
        <v>0</v>
      </c>
      <c r="FG113" s="55">
        <f>SUMIFS('Disbursements Summary'!$E:$E,'Disbursements Summary'!$C:$C,$C113,'Disbursements Summary'!$A:$A,"OTDA")</f>
        <v>0</v>
      </c>
      <c r="FH113" s="55">
        <f>SUMIFS('Awards Summary'!$H:$H,'Awards Summary'!$B:$B,$C113,'Awards Summary'!$J:$J,"OIG")</f>
        <v>0</v>
      </c>
      <c r="FI113" s="55">
        <f>SUMIFS('Disbursements Summary'!$E:$E,'Disbursements Summary'!$C:$C,$C113,'Disbursements Summary'!$A:$A,"OIG")</f>
        <v>0</v>
      </c>
      <c r="FJ113" s="55">
        <f>SUMIFS('Awards Summary'!$H:$H,'Awards Summary'!$B:$B,$C113,'Awards Summary'!$J:$J,"OMIG")</f>
        <v>0</v>
      </c>
      <c r="FK113" s="55">
        <f>SUMIFS('Disbursements Summary'!$E:$E,'Disbursements Summary'!$C:$C,$C113,'Disbursements Summary'!$A:$A,"OMIG")</f>
        <v>0</v>
      </c>
      <c r="FL113" s="55">
        <f>SUMIFS('Awards Summary'!$H:$H,'Awards Summary'!$B:$B,$C113,'Awards Summary'!$J:$J,"OSC")</f>
        <v>0</v>
      </c>
      <c r="FM113" s="55">
        <f>SUMIFS('Disbursements Summary'!$E:$E,'Disbursements Summary'!$C:$C,$C113,'Disbursements Summary'!$A:$A,"OSC")</f>
        <v>0</v>
      </c>
      <c r="FN113" s="55">
        <f>SUMIFS('Awards Summary'!$H:$H,'Awards Summary'!$B:$B,$C113,'Awards Summary'!$J:$J,"OWIG")</f>
        <v>0</v>
      </c>
      <c r="FO113" s="55">
        <f>SUMIFS('Disbursements Summary'!$E:$E,'Disbursements Summary'!$C:$C,$C113,'Disbursements Summary'!$A:$A,"OWIG")</f>
        <v>0</v>
      </c>
      <c r="FP113" s="55">
        <f>SUMIFS('Awards Summary'!$H:$H,'Awards Summary'!$B:$B,$C113,'Awards Summary'!$J:$J,"OGDEN")</f>
        <v>0</v>
      </c>
      <c r="FQ113" s="55">
        <f>SUMIFS('Disbursements Summary'!$E:$E,'Disbursements Summary'!$C:$C,$C113,'Disbursements Summary'!$A:$A,"OGDEN")</f>
        <v>0</v>
      </c>
      <c r="FR113" s="55">
        <f>SUMIFS('Awards Summary'!$H:$H,'Awards Summary'!$B:$B,$C113,'Awards Summary'!$J:$J,"ORDA")</f>
        <v>0</v>
      </c>
      <c r="FS113" s="55">
        <f>SUMIFS('Disbursements Summary'!$E:$E,'Disbursements Summary'!$C:$C,$C113,'Disbursements Summary'!$A:$A,"ORDA")</f>
        <v>0</v>
      </c>
      <c r="FT113" s="55">
        <f>SUMIFS('Awards Summary'!$H:$H,'Awards Summary'!$B:$B,$C113,'Awards Summary'!$J:$J,"OSWEGO")</f>
        <v>0</v>
      </c>
      <c r="FU113" s="55">
        <f>SUMIFS('Disbursements Summary'!$E:$E,'Disbursements Summary'!$C:$C,$C113,'Disbursements Summary'!$A:$A,"OSWEGO")</f>
        <v>0</v>
      </c>
      <c r="FV113" s="55">
        <f>SUMIFS('Awards Summary'!$H:$H,'Awards Summary'!$B:$B,$C113,'Awards Summary'!$J:$J,"PERB")</f>
        <v>0</v>
      </c>
      <c r="FW113" s="55">
        <f>SUMIFS('Disbursements Summary'!$E:$E,'Disbursements Summary'!$C:$C,$C113,'Disbursements Summary'!$A:$A,"PERB")</f>
        <v>0</v>
      </c>
      <c r="FX113" s="55">
        <f>SUMIFS('Awards Summary'!$H:$H,'Awards Summary'!$B:$B,$C113,'Awards Summary'!$J:$J,"RGRTA")</f>
        <v>0</v>
      </c>
      <c r="FY113" s="55">
        <f>SUMIFS('Disbursements Summary'!$E:$E,'Disbursements Summary'!$C:$C,$C113,'Disbursements Summary'!$A:$A,"RGRTA")</f>
        <v>0</v>
      </c>
      <c r="FZ113" s="55">
        <f>SUMIFS('Awards Summary'!$H:$H,'Awards Summary'!$B:$B,$C113,'Awards Summary'!$J:$J,"RIOC")</f>
        <v>0</v>
      </c>
      <c r="GA113" s="55">
        <f>SUMIFS('Disbursements Summary'!$E:$E,'Disbursements Summary'!$C:$C,$C113,'Disbursements Summary'!$A:$A,"RIOC")</f>
        <v>0</v>
      </c>
      <c r="GB113" s="55">
        <f>SUMIFS('Awards Summary'!$H:$H,'Awards Summary'!$B:$B,$C113,'Awards Summary'!$J:$J,"RPCI")</f>
        <v>0</v>
      </c>
      <c r="GC113" s="55">
        <f>SUMIFS('Disbursements Summary'!$E:$E,'Disbursements Summary'!$C:$C,$C113,'Disbursements Summary'!$A:$A,"RPCI")</f>
        <v>0</v>
      </c>
      <c r="GD113" s="55">
        <f>SUMIFS('Awards Summary'!$H:$H,'Awards Summary'!$B:$B,$C113,'Awards Summary'!$J:$J,"SMDA")</f>
        <v>0</v>
      </c>
      <c r="GE113" s="55">
        <f>SUMIFS('Disbursements Summary'!$E:$E,'Disbursements Summary'!$C:$C,$C113,'Disbursements Summary'!$A:$A,"SMDA")</f>
        <v>0</v>
      </c>
      <c r="GF113" s="55">
        <f>SUMIFS('Awards Summary'!$H:$H,'Awards Summary'!$B:$B,$C113,'Awards Summary'!$J:$J,"SCOC")</f>
        <v>0</v>
      </c>
      <c r="GG113" s="55">
        <f>SUMIFS('Disbursements Summary'!$E:$E,'Disbursements Summary'!$C:$C,$C113,'Disbursements Summary'!$A:$A,"SCOC")</f>
        <v>0</v>
      </c>
      <c r="GH113" s="55">
        <f>SUMIFS('Awards Summary'!$H:$H,'Awards Summary'!$B:$B,$C113,'Awards Summary'!$J:$J,"SUCF")</f>
        <v>0</v>
      </c>
      <c r="GI113" s="55">
        <f>SUMIFS('Disbursements Summary'!$E:$E,'Disbursements Summary'!$C:$C,$C113,'Disbursements Summary'!$A:$A,"SUCF")</f>
        <v>0</v>
      </c>
      <c r="GJ113" s="55">
        <f>SUMIFS('Awards Summary'!$H:$H,'Awards Summary'!$B:$B,$C113,'Awards Summary'!$J:$J,"SUNY")</f>
        <v>0</v>
      </c>
      <c r="GK113" s="55">
        <f>SUMIFS('Disbursements Summary'!$E:$E,'Disbursements Summary'!$C:$C,$C113,'Disbursements Summary'!$A:$A,"SUNY")</f>
        <v>0</v>
      </c>
      <c r="GL113" s="55">
        <f>SUMIFS('Awards Summary'!$H:$H,'Awards Summary'!$B:$B,$C113,'Awards Summary'!$J:$J,"SRAA")</f>
        <v>0</v>
      </c>
      <c r="GM113" s="55">
        <f>SUMIFS('Disbursements Summary'!$E:$E,'Disbursements Summary'!$C:$C,$C113,'Disbursements Summary'!$A:$A,"SRAA")</f>
        <v>0</v>
      </c>
      <c r="GN113" s="55">
        <f>SUMIFS('Awards Summary'!$H:$H,'Awards Summary'!$B:$B,$C113,'Awards Summary'!$J:$J,"UNDC")</f>
        <v>0</v>
      </c>
      <c r="GO113" s="55">
        <f>SUMIFS('Disbursements Summary'!$E:$E,'Disbursements Summary'!$C:$C,$C113,'Disbursements Summary'!$A:$A,"UNDC")</f>
        <v>0</v>
      </c>
      <c r="GP113" s="55">
        <f>SUMIFS('Awards Summary'!$H:$H,'Awards Summary'!$B:$B,$C113,'Awards Summary'!$J:$J,"MVWA")</f>
        <v>0</v>
      </c>
      <c r="GQ113" s="55">
        <f>SUMIFS('Disbursements Summary'!$E:$E,'Disbursements Summary'!$C:$C,$C113,'Disbursements Summary'!$A:$A,"MVWA")</f>
        <v>0</v>
      </c>
      <c r="GR113" s="55">
        <f>SUMIFS('Awards Summary'!$H:$H,'Awards Summary'!$B:$B,$C113,'Awards Summary'!$J:$J,"WMC")</f>
        <v>0</v>
      </c>
      <c r="GS113" s="55">
        <f>SUMIFS('Disbursements Summary'!$E:$E,'Disbursements Summary'!$C:$C,$C113,'Disbursements Summary'!$A:$A,"WMC")</f>
        <v>0</v>
      </c>
      <c r="GT113" s="55">
        <f>SUMIFS('Awards Summary'!$H:$H,'Awards Summary'!$B:$B,$C113,'Awards Summary'!$J:$J,"WCB")</f>
        <v>0</v>
      </c>
      <c r="GU113" s="55">
        <f>SUMIFS('Disbursements Summary'!$E:$E,'Disbursements Summary'!$C:$C,$C113,'Disbursements Summary'!$A:$A,"WCB")</f>
        <v>0</v>
      </c>
      <c r="GV113" s="32">
        <f t="shared" si="10"/>
        <v>0</v>
      </c>
      <c r="GW113" s="32">
        <f t="shared" si="11"/>
        <v>0</v>
      </c>
      <c r="GX113" s="30" t="b">
        <f t="shared" si="12"/>
        <v>1</v>
      </c>
      <c r="GY113" s="30" t="b">
        <f t="shared" si="13"/>
        <v>1</v>
      </c>
    </row>
    <row r="114" spans="1:207" s="30" customFormat="1">
      <c r="A114" s="22" t="str">
        <f t="shared" si="9"/>
        <v/>
      </c>
      <c r="B114" s="42" t="s">
        <v>222</v>
      </c>
      <c r="C114" s="16">
        <v>161272</v>
      </c>
      <c r="D114" s="26">
        <f>COUNTIF('Awards Summary'!B:B,"161272")</f>
        <v>0</v>
      </c>
      <c r="E114" s="45">
        <f>SUMIFS('Awards Summary'!H:H,'Awards Summary'!B:B,"161272")</f>
        <v>0</v>
      </c>
      <c r="F114" s="46">
        <f>SUMIFS('Disbursements Summary'!E:E,'Disbursements Summary'!C:C, "161272")</f>
        <v>0</v>
      </c>
      <c r="H114" s="55">
        <f>SUMIFS('Awards Summary'!$H:$H,'Awards Summary'!$B:$B,$C114,'Awards Summary'!$J:$J,"APA")</f>
        <v>0</v>
      </c>
      <c r="I114" s="55">
        <f>SUMIFS('Disbursements Summary'!$E:$E,'Disbursements Summary'!$C:$C,$C114,'Disbursements Summary'!$A:$A,"APA")</f>
        <v>0</v>
      </c>
      <c r="J114" s="55">
        <f>SUMIFS('Awards Summary'!$H:$H,'Awards Summary'!$B:$B,$C114,'Awards Summary'!$J:$J,"Ag&amp;Horse")</f>
        <v>0</v>
      </c>
      <c r="K114" s="55">
        <f>SUMIFS('Disbursements Summary'!$E:$E,'Disbursements Summary'!$C:$C,$C114,'Disbursements Summary'!$A:$A,"Ag&amp;Horse")</f>
        <v>0</v>
      </c>
      <c r="L114" s="55">
        <f>SUMIFS('Awards Summary'!$H:$H,'Awards Summary'!$B:$B,$C114,'Awards Summary'!$J:$J,"ACAA")</f>
        <v>0</v>
      </c>
      <c r="M114" s="55">
        <f>SUMIFS('Disbursements Summary'!$E:$E,'Disbursements Summary'!$C:$C,$C114,'Disbursements Summary'!$A:$A,"ACAA")</f>
        <v>0</v>
      </c>
      <c r="N114" s="55">
        <f>SUMIFS('Awards Summary'!$H:$H,'Awards Summary'!$B:$B,$C114,'Awards Summary'!$J:$J,"PortAlbany")</f>
        <v>0</v>
      </c>
      <c r="O114" s="55">
        <f>SUMIFS('Disbursements Summary'!$E:$E,'Disbursements Summary'!$C:$C,$C114,'Disbursements Summary'!$A:$A,"PortAlbany")</f>
        <v>0</v>
      </c>
      <c r="P114" s="55">
        <f>SUMIFS('Awards Summary'!$H:$H,'Awards Summary'!$B:$B,$C114,'Awards Summary'!$J:$J,"SLA")</f>
        <v>0</v>
      </c>
      <c r="Q114" s="55">
        <f>SUMIFS('Disbursements Summary'!$E:$E,'Disbursements Summary'!$C:$C,$C114,'Disbursements Summary'!$A:$A,"SLA")</f>
        <v>0</v>
      </c>
      <c r="R114" s="55">
        <f>SUMIFS('Awards Summary'!$H:$H,'Awards Summary'!$B:$B,$C114,'Awards Summary'!$J:$J,"BPCA")</f>
        <v>0</v>
      </c>
      <c r="S114" s="55">
        <f>SUMIFS('Disbursements Summary'!$E:$E,'Disbursements Summary'!$C:$C,$C114,'Disbursements Summary'!$A:$A,"BPCA")</f>
        <v>0</v>
      </c>
      <c r="T114" s="55">
        <f>SUMIFS('Awards Summary'!$H:$H,'Awards Summary'!$B:$B,$C114,'Awards Summary'!$J:$J,"ELECTIONS")</f>
        <v>0</v>
      </c>
      <c r="U114" s="55">
        <f>SUMIFS('Disbursements Summary'!$E:$E,'Disbursements Summary'!$C:$C,$C114,'Disbursements Summary'!$A:$A,"ELECTIONS")</f>
        <v>0</v>
      </c>
      <c r="V114" s="55">
        <f>SUMIFS('Awards Summary'!$H:$H,'Awards Summary'!$B:$B,$C114,'Awards Summary'!$J:$J,"BFSA")</f>
        <v>0</v>
      </c>
      <c r="W114" s="55">
        <f>SUMIFS('Disbursements Summary'!$E:$E,'Disbursements Summary'!$C:$C,$C114,'Disbursements Summary'!$A:$A,"BFSA")</f>
        <v>0</v>
      </c>
      <c r="X114" s="55">
        <f>SUMIFS('Awards Summary'!$H:$H,'Awards Summary'!$B:$B,$C114,'Awards Summary'!$J:$J,"CDTA")</f>
        <v>0</v>
      </c>
      <c r="Y114" s="55">
        <f>SUMIFS('Disbursements Summary'!$E:$E,'Disbursements Summary'!$C:$C,$C114,'Disbursements Summary'!$A:$A,"CDTA")</f>
        <v>0</v>
      </c>
      <c r="Z114" s="55">
        <f>SUMIFS('Awards Summary'!$H:$H,'Awards Summary'!$B:$B,$C114,'Awards Summary'!$J:$J,"CCWSA")</f>
        <v>0</v>
      </c>
      <c r="AA114" s="55">
        <f>SUMIFS('Disbursements Summary'!$E:$E,'Disbursements Summary'!$C:$C,$C114,'Disbursements Summary'!$A:$A,"CCWSA")</f>
        <v>0</v>
      </c>
      <c r="AB114" s="55">
        <f>SUMIFS('Awards Summary'!$H:$H,'Awards Summary'!$B:$B,$C114,'Awards Summary'!$J:$J,"CNYRTA")</f>
        <v>0</v>
      </c>
      <c r="AC114" s="55">
        <f>SUMIFS('Disbursements Summary'!$E:$E,'Disbursements Summary'!$C:$C,$C114,'Disbursements Summary'!$A:$A,"CNYRTA")</f>
        <v>0</v>
      </c>
      <c r="AD114" s="55">
        <f>SUMIFS('Awards Summary'!$H:$H,'Awards Summary'!$B:$B,$C114,'Awards Summary'!$J:$J,"CUCF")</f>
        <v>0</v>
      </c>
      <c r="AE114" s="55">
        <f>SUMIFS('Disbursements Summary'!$E:$E,'Disbursements Summary'!$C:$C,$C114,'Disbursements Summary'!$A:$A,"CUCF")</f>
        <v>0</v>
      </c>
      <c r="AF114" s="55">
        <f>SUMIFS('Awards Summary'!$H:$H,'Awards Summary'!$B:$B,$C114,'Awards Summary'!$J:$J,"CUNY")</f>
        <v>0</v>
      </c>
      <c r="AG114" s="55">
        <f>SUMIFS('Disbursements Summary'!$E:$E,'Disbursements Summary'!$C:$C,$C114,'Disbursements Summary'!$A:$A,"CUNY")</f>
        <v>0</v>
      </c>
      <c r="AH114" s="55">
        <f>SUMIFS('Awards Summary'!$H:$H,'Awards Summary'!$B:$B,$C114,'Awards Summary'!$J:$J,"ARTS")</f>
        <v>0</v>
      </c>
      <c r="AI114" s="55">
        <f>SUMIFS('Disbursements Summary'!$E:$E,'Disbursements Summary'!$C:$C,$C114,'Disbursements Summary'!$A:$A,"ARTS")</f>
        <v>0</v>
      </c>
      <c r="AJ114" s="55">
        <f>SUMIFS('Awards Summary'!$H:$H,'Awards Summary'!$B:$B,$C114,'Awards Summary'!$J:$J,"AG&amp;MKTS")</f>
        <v>0</v>
      </c>
      <c r="AK114" s="55">
        <f>SUMIFS('Disbursements Summary'!$E:$E,'Disbursements Summary'!$C:$C,$C114,'Disbursements Summary'!$A:$A,"AG&amp;MKTS")</f>
        <v>0</v>
      </c>
      <c r="AL114" s="55">
        <f>SUMIFS('Awards Summary'!$H:$H,'Awards Summary'!$B:$B,$C114,'Awards Summary'!$J:$J,"CS")</f>
        <v>0</v>
      </c>
      <c r="AM114" s="55">
        <f>SUMIFS('Disbursements Summary'!$E:$E,'Disbursements Summary'!$C:$C,$C114,'Disbursements Summary'!$A:$A,"CS")</f>
        <v>0</v>
      </c>
      <c r="AN114" s="55">
        <f>SUMIFS('Awards Summary'!$H:$H,'Awards Summary'!$B:$B,$C114,'Awards Summary'!$J:$J,"DOCCS")</f>
        <v>0</v>
      </c>
      <c r="AO114" s="55">
        <f>SUMIFS('Disbursements Summary'!$E:$E,'Disbursements Summary'!$C:$C,$C114,'Disbursements Summary'!$A:$A,"DOCCS")</f>
        <v>0</v>
      </c>
      <c r="AP114" s="55">
        <f>SUMIFS('Awards Summary'!$H:$H,'Awards Summary'!$B:$B,$C114,'Awards Summary'!$J:$J,"DED")</f>
        <v>0</v>
      </c>
      <c r="AQ114" s="55">
        <f>SUMIFS('Disbursements Summary'!$E:$E,'Disbursements Summary'!$C:$C,$C114,'Disbursements Summary'!$A:$A,"DED")</f>
        <v>0</v>
      </c>
      <c r="AR114" s="55">
        <f>SUMIFS('Awards Summary'!$H:$H,'Awards Summary'!$B:$B,$C114,'Awards Summary'!$J:$J,"DEC")</f>
        <v>0</v>
      </c>
      <c r="AS114" s="55">
        <f>SUMIFS('Disbursements Summary'!$E:$E,'Disbursements Summary'!$C:$C,$C114,'Disbursements Summary'!$A:$A,"DEC")</f>
        <v>0</v>
      </c>
      <c r="AT114" s="55">
        <f>SUMIFS('Awards Summary'!$H:$H,'Awards Summary'!$B:$B,$C114,'Awards Summary'!$J:$J,"DFS")</f>
        <v>0</v>
      </c>
      <c r="AU114" s="55">
        <f>SUMIFS('Disbursements Summary'!$E:$E,'Disbursements Summary'!$C:$C,$C114,'Disbursements Summary'!$A:$A,"DFS")</f>
        <v>0</v>
      </c>
      <c r="AV114" s="55">
        <f>SUMIFS('Awards Summary'!$H:$H,'Awards Summary'!$B:$B,$C114,'Awards Summary'!$J:$J,"DOH")</f>
        <v>0</v>
      </c>
      <c r="AW114" s="55">
        <f>SUMIFS('Disbursements Summary'!$E:$E,'Disbursements Summary'!$C:$C,$C114,'Disbursements Summary'!$A:$A,"DOH")</f>
        <v>0</v>
      </c>
      <c r="AX114" s="55">
        <f>SUMIFS('Awards Summary'!$H:$H,'Awards Summary'!$B:$B,$C114,'Awards Summary'!$J:$J,"DOL")</f>
        <v>0</v>
      </c>
      <c r="AY114" s="55">
        <f>SUMIFS('Disbursements Summary'!$E:$E,'Disbursements Summary'!$C:$C,$C114,'Disbursements Summary'!$A:$A,"DOL")</f>
        <v>0</v>
      </c>
      <c r="AZ114" s="55">
        <f>SUMIFS('Awards Summary'!$H:$H,'Awards Summary'!$B:$B,$C114,'Awards Summary'!$J:$J,"DMV")</f>
        <v>0</v>
      </c>
      <c r="BA114" s="55">
        <f>SUMIFS('Disbursements Summary'!$E:$E,'Disbursements Summary'!$C:$C,$C114,'Disbursements Summary'!$A:$A,"DMV")</f>
        <v>0</v>
      </c>
      <c r="BB114" s="55">
        <f>SUMIFS('Awards Summary'!$H:$H,'Awards Summary'!$B:$B,$C114,'Awards Summary'!$J:$J,"DPS")</f>
        <v>0</v>
      </c>
      <c r="BC114" s="55">
        <f>SUMIFS('Disbursements Summary'!$E:$E,'Disbursements Summary'!$C:$C,$C114,'Disbursements Summary'!$A:$A,"DPS")</f>
        <v>0</v>
      </c>
      <c r="BD114" s="55">
        <f>SUMIFS('Awards Summary'!$H:$H,'Awards Summary'!$B:$B,$C114,'Awards Summary'!$J:$J,"DOS")</f>
        <v>0</v>
      </c>
      <c r="BE114" s="55">
        <f>SUMIFS('Disbursements Summary'!$E:$E,'Disbursements Summary'!$C:$C,$C114,'Disbursements Summary'!$A:$A,"DOS")</f>
        <v>0</v>
      </c>
      <c r="BF114" s="55">
        <f>SUMIFS('Awards Summary'!$H:$H,'Awards Summary'!$B:$B,$C114,'Awards Summary'!$J:$J,"TAX")</f>
        <v>0</v>
      </c>
      <c r="BG114" s="55">
        <f>SUMIFS('Disbursements Summary'!$E:$E,'Disbursements Summary'!$C:$C,$C114,'Disbursements Summary'!$A:$A,"TAX")</f>
        <v>0</v>
      </c>
      <c r="BH114" s="55">
        <f>SUMIFS('Awards Summary'!$H:$H,'Awards Summary'!$B:$B,$C114,'Awards Summary'!$J:$J,"DOT")</f>
        <v>0</v>
      </c>
      <c r="BI114" s="55">
        <f>SUMIFS('Disbursements Summary'!$E:$E,'Disbursements Summary'!$C:$C,$C114,'Disbursements Summary'!$A:$A,"DOT")</f>
        <v>0</v>
      </c>
      <c r="BJ114" s="55">
        <f>SUMIFS('Awards Summary'!$H:$H,'Awards Summary'!$B:$B,$C114,'Awards Summary'!$J:$J,"DANC")</f>
        <v>0</v>
      </c>
      <c r="BK114" s="55">
        <f>SUMIFS('Disbursements Summary'!$E:$E,'Disbursements Summary'!$C:$C,$C114,'Disbursements Summary'!$A:$A,"DANC")</f>
        <v>0</v>
      </c>
      <c r="BL114" s="55">
        <f>SUMIFS('Awards Summary'!$H:$H,'Awards Summary'!$B:$B,$C114,'Awards Summary'!$J:$J,"DOB")</f>
        <v>0</v>
      </c>
      <c r="BM114" s="55">
        <f>SUMIFS('Disbursements Summary'!$E:$E,'Disbursements Summary'!$C:$C,$C114,'Disbursements Summary'!$A:$A,"DOB")</f>
        <v>0</v>
      </c>
      <c r="BN114" s="55">
        <f>SUMIFS('Awards Summary'!$H:$H,'Awards Summary'!$B:$B,$C114,'Awards Summary'!$J:$J,"DCJS")</f>
        <v>0</v>
      </c>
      <c r="BO114" s="55">
        <f>SUMIFS('Disbursements Summary'!$E:$E,'Disbursements Summary'!$C:$C,$C114,'Disbursements Summary'!$A:$A,"DCJS")</f>
        <v>0</v>
      </c>
      <c r="BP114" s="55">
        <f>SUMIFS('Awards Summary'!$H:$H,'Awards Summary'!$B:$B,$C114,'Awards Summary'!$J:$J,"DHSES")</f>
        <v>0</v>
      </c>
      <c r="BQ114" s="55">
        <f>SUMIFS('Disbursements Summary'!$E:$E,'Disbursements Summary'!$C:$C,$C114,'Disbursements Summary'!$A:$A,"DHSES")</f>
        <v>0</v>
      </c>
      <c r="BR114" s="55">
        <f>SUMIFS('Awards Summary'!$H:$H,'Awards Summary'!$B:$B,$C114,'Awards Summary'!$J:$J,"DHR")</f>
        <v>0</v>
      </c>
      <c r="BS114" s="55">
        <f>SUMIFS('Disbursements Summary'!$E:$E,'Disbursements Summary'!$C:$C,$C114,'Disbursements Summary'!$A:$A,"DHR")</f>
        <v>0</v>
      </c>
      <c r="BT114" s="55">
        <f>SUMIFS('Awards Summary'!$H:$H,'Awards Summary'!$B:$B,$C114,'Awards Summary'!$J:$J,"DMNA")</f>
        <v>0</v>
      </c>
      <c r="BU114" s="55">
        <f>SUMIFS('Disbursements Summary'!$E:$E,'Disbursements Summary'!$C:$C,$C114,'Disbursements Summary'!$A:$A,"DMNA")</f>
        <v>0</v>
      </c>
      <c r="BV114" s="55">
        <f>SUMIFS('Awards Summary'!$H:$H,'Awards Summary'!$B:$B,$C114,'Awards Summary'!$J:$J,"TROOPERS")</f>
        <v>0</v>
      </c>
      <c r="BW114" s="55">
        <f>SUMIFS('Disbursements Summary'!$E:$E,'Disbursements Summary'!$C:$C,$C114,'Disbursements Summary'!$A:$A,"TROOPERS")</f>
        <v>0</v>
      </c>
      <c r="BX114" s="55">
        <f>SUMIFS('Awards Summary'!$H:$H,'Awards Summary'!$B:$B,$C114,'Awards Summary'!$J:$J,"DVA")</f>
        <v>0</v>
      </c>
      <c r="BY114" s="55">
        <f>SUMIFS('Disbursements Summary'!$E:$E,'Disbursements Summary'!$C:$C,$C114,'Disbursements Summary'!$A:$A,"DVA")</f>
        <v>0</v>
      </c>
      <c r="BZ114" s="55">
        <f>SUMIFS('Awards Summary'!$H:$H,'Awards Summary'!$B:$B,$C114,'Awards Summary'!$J:$J,"DASNY")</f>
        <v>0</v>
      </c>
      <c r="CA114" s="55">
        <f>SUMIFS('Disbursements Summary'!$E:$E,'Disbursements Summary'!$C:$C,$C114,'Disbursements Summary'!$A:$A,"DASNY")</f>
        <v>0</v>
      </c>
      <c r="CB114" s="55">
        <f>SUMIFS('Awards Summary'!$H:$H,'Awards Summary'!$B:$B,$C114,'Awards Summary'!$J:$J,"EGG")</f>
        <v>0</v>
      </c>
      <c r="CC114" s="55">
        <f>SUMIFS('Disbursements Summary'!$E:$E,'Disbursements Summary'!$C:$C,$C114,'Disbursements Summary'!$A:$A,"EGG")</f>
        <v>0</v>
      </c>
      <c r="CD114" s="55">
        <f>SUMIFS('Awards Summary'!$H:$H,'Awards Summary'!$B:$B,$C114,'Awards Summary'!$J:$J,"ESD")</f>
        <v>0</v>
      </c>
      <c r="CE114" s="55">
        <f>SUMIFS('Disbursements Summary'!$E:$E,'Disbursements Summary'!$C:$C,$C114,'Disbursements Summary'!$A:$A,"ESD")</f>
        <v>0</v>
      </c>
      <c r="CF114" s="55">
        <f>SUMIFS('Awards Summary'!$H:$H,'Awards Summary'!$B:$B,$C114,'Awards Summary'!$J:$J,"EFC")</f>
        <v>0</v>
      </c>
      <c r="CG114" s="55">
        <f>SUMIFS('Disbursements Summary'!$E:$E,'Disbursements Summary'!$C:$C,$C114,'Disbursements Summary'!$A:$A,"EFC")</f>
        <v>0</v>
      </c>
      <c r="CH114" s="55">
        <f>SUMIFS('Awards Summary'!$H:$H,'Awards Summary'!$B:$B,$C114,'Awards Summary'!$J:$J,"ECFSA")</f>
        <v>0</v>
      </c>
      <c r="CI114" s="55">
        <f>SUMIFS('Disbursements Summary'!$E:$E,'Disbursements Summary'!$C:$C,$C114,'Disbursements Summary'!$A:$A,"ECFSA")</f>
        <v>0</v>
      </c>
      <c r="CJ114" s="55">
        <f>SUMIFS('Awards Summary'!$H:$H,'Awards Summary'!$B:$B,$C114,'Awards Summary'!$J:$J,"ECMC")</f>
        <v>0</v>
      </c>
      <c r="CK114" s="55">
        <f>SUMIFS('Disbursements Summary'!$E:$E,'Disbursements Summary'!$C:$C,$C114,'Disbursements Summary'!$A:$A,"ECMC")</f>
        <v>0</v>
      </c>
      <c r="CL114" s="55">
        <f>SUMIFS('Awards Summary'!$H:$H,'Awards Summary'!$B:$B,$C114,'Awards Summary'!$J:$J,"CHAMBER")</f>
        <v>0</v>
      </c>
      <c r="CM114" s="55">
        <f>SUMIFS('Disbursements Summary'!$E:$E,'Disbursements Summary'!$C:$C,$C114,'Disbursements Summary'!$A:$A,"CHAMBER")</f>
        <v>0</v>
      </c>
      <c r="CN114" s="55">
        <f>SUMIFS('Awards Summary'!$H:$H,'Awards Summary'!$B:$B,$C114,'Awards Summary'!$J:$J,"GAMING")</f>
        <v>0</v>
      </c>
      <c r="CO114" s="55">
        <f>SUMIFS('Disbursements Summary'!$E:$E,'Disbursements Summary'!$C:$C,$C114,'Disbursements Summary'!$A:$A,"GAMING")</f>
        <v>0</v>
      </c>
      <c r="CP114" s="55">
        <f>SUMIFS('Awards Summary'!$H:$H,'Awards Summary'!$B:$B,$C114,'Awards Summary'!$J:$J,"GOER")</f>
        <v>0</v>
      </c>
      <c r="CQ114" s="55">
        <f>SUMIFS('Disbursements Summary'!$E:$E,'Disbursements Summary'!$C:$C,$C114,'Disbursements Summary'!$A:$A,"GOER")</f>
        <v>0</v>
      </c>
      <c r="CR114" s="55">
        <f>SUMIFS('Awards Summary'!$H:$H,'Awards Summary'!$B:$B,$C114,'Awards Summary'!$J:$J,"HESC")</f>
        <v>0</v>
      </c>
      <c r="CS114" s="55">
        <f>SUMIFS('Disbursements Summary'!$E:$E,'Disbursements Summary'!$C:$C,$C114,'Disbursements Summary'!$A:$A,"HESC")</f>
        <v>0</v>
      </c>
      <c r="CT114" s="55">
        <f>SUMIFS('Awards Summary'!$H:$H,'Awards Summary'!$B:$B,$C114,'Awards Summary'!$J:$J,"GOSR")</f>
        <v>0</v>
      </c>
      <c r="CU114" s="55">
        <f>SUMIFS('Disbursements Summary'!$E:$E,'Disbursements Summary'!$C:$C,$C114,'Disbursements Summary'!$A:$A,"GOSR")</f>
        <v>0</v>
      </c>
      <c r="CV114" s="55">
        <f>SUMIFS('Awards Summary'!$H:$H,'Awards Summary'!$B:$B,$C114,'Awards Summary'!$J:$J,"HRPT")</f>
        <v>0</v>
      </c>
      <c r="CW114" s="55">
        <f>SUMIFS('Disbursements Summary'!$E:$E,'Disbursements Summary'!$C:$C,$C114,'Disbursements Summary'!$A:$A,"HRPT")</f>
        <v>0</v>
      </c>
      <c r="CX114" s="55">
        <f>SUMIFS('Awards Summary'!$H:$H,'Awards Summary'!$B:$B,$C114,'Awards Summary'!$J:$J,"HRBRRD")</f>
        <v>0</v>
      </c>
      <c r="CY114" s="55">
        <f>SUMIFS('Disbursements Summary'!$E:$E,'Disbursements Summary'!$C:$C,$C114,'Disbursements Summary'!$A:$A,"HRBRRD")</f>
        <v>0</v>
      </c>
      <c r="CZ114" s="55">
        <f>SUMIFS('Awards Summary'!$H:$H,'Awards Summary'!$B:$B,$C114,'Awards Summary'!$J:$J,"ITS")</f>
        <v>0</v>
      </c>
      <c r="DA114" s="55">
        <f>SUMIFS('Disbursements Summary'!$E:$E,'Disbursements Summary'!$C:$C,$C114,'Disbursements Summary'!$A:$A,"ITS")</f>
        <v>0</v>
      </c>
      <c r="DB114" s="55">
        <f>SUMIFS('Awards Summary'!$H:$H,'Awards Summary'!$B:$B,$C114,'Awards Summary'!$J:$J,"JAVITS")</f>
        <v>0</v>
      </c>
      <c r="DC114" s="55">
        <f>SUMIFS('Disbursements Summary'!$E:$E,'Disbursements Summary'!$C:$C,$C114,'Disbursements Summary'!$A:$A,"JAVITS")</f>
        <v>0</v>
      </c>
      <c r="DD114" s="55">
        <f>SUMIFS('Awards Summary'!$H:$H,'Awards Summary'!$B:$B,$C114,'Awards Summary'!$J:$J,"JCOPE")</f>
        <v>0</v>
      </c>
      <c r="DE114" s="55">
        <f>SUMIFS('Disbursements Summary'!$E:$E,'Disbursements Summary'!$C:$C,$C114,'Disbursements Summary'!$A:$A,"JCOPE")</f>
        <v>0</v>
      </c>
      <c r="DF114" s="55">
        <f>SUMIFS('Awards Summary'!$H:$H,'Awards Summary'!$B:$B,$C114,'Awards Summary'!$J:$J,"JUSTICE")</f>
        <v>0</v>
      </c>
      <c r="DG114" s="55">
        <f>SUMIFS('Disbursements Summary'!$E:$E,'Disbursements Summary'!$C:$C,$C114,'Disbursements Summary'!$A:$A,"JUSTICE")</f>
        <v>0</v>
      </c>
      <c r="DH114" s="55">
        <f>SUMIFS('Awards Summary'!$H:$H,'Awards Summary'!$B:$B,$C114,'Awards Summary'!$J:$J,"LCWSA")</f>
        <v>0</v>
      </c>
      <c r="DI114" s="55">
        <f>SUMIFS('Disbursements Summary'!$E:$E,'Disbursements Summary'!$C:$C,$C114,'Disbursements Summary'!$A:$A,"LCWSA")</f>
        <v>0</v>
      </c>
      <c r="DJ114" s="55">
        <f>SUMIFS('Awards Summary'!$H:$H,'Awards Summary'!$B:$B,$C114,'Awards Summary'!$J:$J,"LIPA")</f>
        <v>0</v>
      </c>
      <c r="DK114" s="55">
        <f>SUMIFS('Disbursements Summary'!$E:$E,'Disbursements Summary'!$C:$C,$C114,'Disbursements Summary'!$A:$A,"LIPA")</f>
        <v>0</v>
      </c>
      <c r="DL114" s="55">
        <f>SUMIFS('Awards Summary'!$H:$H,'Awards Summary'!$B:$B,$C114,'Awards Summary'!$J:$J,"MTA")</f>
        <v>0</v>
      </c>
      <c r="DM114" s="55">
        <f>SUMIFS('Disbursements Summary'!$E:$E,'Disbursements Summary'!$C:$C,$C114,'Disbursements Summary'!$A:$A,"MTA")</f>
        <v>0</v>
      </c>
      <c r="DN114" s="55">
        <f>SUMIFS('Awards Summary'!$H:$H,'Awards Summary'!$B:$B,$C114,'Awards Summary'!$J:$J,"NIFA")</f>
        <v>0</v>
      </c>
      <c r="DO114" s="55">
        <f>SUMIFS('Disbursements Summary'!$E:$E,'Disbursements Summary'!$C:$C,$C114,'Disbursements Summary'!$A:$A,"NIFA")</f>
        <v>0</v>
      </c>
      <c r="DP114" s="55">
        <f>SUMIFS('Awards Summary'!$H:$H,'Awards Summary'!$B:$B,$C114,'Awards Summary'!$J:$J,"NHCC")</f>
        <v>0</v>
      </c>
      <c r="DQ114" s="55">
        <f>SUMIFS('Disbursements Summary'!$E:$E,'Disbursements Summary'!$C:$C,$C114,'Disbursements Summary'!$A:$A,"NHCC")</f>
        <v>0</v>
      </c>
      <c r="DR114" s="55">
        <f>SUMIFS('Awards Summary'!$H:$H,'Awards Summary'!$B:$B,$C114,'Awards Summary'!$J:$J,"NHT")</f>
        <v>0</v>
      </c>
      <c r="DS114" s="55">
        <f>SUMIFS('Disbursements Summary'!$E:$E,'Disbursements Summary'!$C:$C,$C114,'Disbursements Summary'!$A:$A,"NHT")</f>
        <v>0</v>
      </c>
      <c r="DT114" s="55">
        <f>SUMIFS('Awards Summary'!$H:$H,'Awards Summary'!$B:$B,$C114,'Awards Summary'!$J:$J,"NYPA")</f>
        <v>0</v>
      </c>
      <c r="DU114" s="55">
        <f>SUMIFS('Disbursements Summary'!$E:$E,'Disbursements Summary'!$C:$C,$C114,'Disbursements Summary'!$A:$A,"NYPA")</f>
        <v>0</v>
      </c>
      <c r="DV114" s="55">
        <f>SUMIFS('Awards Summary'!$H:$H,'Awards Summary'!$B:$B,$C114,'Awards Summary'!$J:$J,"NYSBA")</f>
        <v>0</v>
      </c>
      <c r="DW114" s="55">
        <f>SUMIFS('Disbursements Summary'!$E:$E,'Disbursements Summary'!$C:$C,$C114,'Disbursements Summary'!$A:$A,"NYSBA")</f>
        <v>0</v>
      </c>
      <c r="DX114" s="55">
        <f>SUMIFS('Awards Summary'!$H:$H,'Awards Summary'!$B:$B,$C114,'Awards Summary'!$J:$J,"NYSERDA")</f>
        <v>0</v>
      </c>
      <c r="DY114" s="55">
        <f>SUMIFS('Disbursements Summary'!$E:$E,'Disbursements Summary'!$C:$C,$C114,'Disbursements Summary'!$A:$A,"NYSERDA")</f>
        <v>0</v>
      </c>
      <c r="DZ114" s="55">
        <f>SUMIFS('Awards Summary'!$H:$H,'Awards Summary'!$B:$B,$C114,'Awards Summary'!$J:$J,"DHCR")</f>
        <v>0</v>
      </c>
      <c r="EA114" s="55">
        <f>SUMIFS('Disbursements Summary'!$E:$E,'Disbursements Summary'!$C:$C,$C114,'Disbursements Summary'!$A:$A,"DHCR")</f>
        <v>0</v>
      </c>
      <c r="EB114" s="55">
        <f>SUMIFS('Awards Summary'!$H:$H,'Awards Summary'!$B:$B,$C114,'Awards Summary'!$J:$J,"HFA")</f>
        <v>0</v>
      </c>
      <c r="EC114" s="55">
        <f>SUMIFS('Disbursements Summary'!$E:$E,'Disbursements Summary'!$C:$C,$C114,'Disbursements Summary'!$A:$A,"HFA")</f>
        <v>0</v>
      </c>
      <c r="ED114" s="55">
        <f>SUMIFS('Awards Summary'!$H:$H,'Awards Summary'!$B:$B,$C114,'Awards Summary'!$J:$J,"NYSIF")</f>
        <v>0</v>
      </c>
      <c r="EE114" s="55">
        <f>SUMIFS('Disbursements Summary'!$E:$E,'Disbursements Summary'!$C:$C,$C114,'Disbursements Summary'!$A:$A,"NYSIF")</f>
        <v>0</v>
      </c>
      <c r="EF114" s="55">
        <f>SUMIFS('Awards Summary'!$H:$H,'Awards Summary'!$B:$B,$C114,'Awards Summary'!$J:$J,"NYBREDS")</f>
        <v>0</v>
      </c>
      <c r="EG114" s="55">
        <f>SUMIFS('Disbursements Summary'!$E:$E,'Disbursements Summary'!$C:$C,$C114,'Disbursements Summary'!$A:$A,"NYBREDS")</f>
        <v>0</v>
      </c>
      <c r="EH114" s="55">
        <f>SUMIFS('Awards Summary'!$H:$H,'Awards Summary'!$B:$B,$C114,'Awards Summary'!$J:$J,"NYSTA")</f>
        <v>0</v>
      </c>
      <c r="EI114" s="55">
        <f>SUMIFS('Disbursements Summary'!$E:$E,'Disbursements Summary'!$C:$C,$C114,'Disbursements Summary'!$A:$A,"NYSTA")</f>
        <v>0</v>
      </c>
      <c r="EJ114" s="55">
        <f>SUMIFS('Awards Summary'!$H:$H,'Awards Summary'!$B:$B,$C114,'Awards Summary'!$J:$J,"NFWB")</f>
        <v>0</v>
      </c>
      <c r="EK114" s="55">
        <f>SUMIFS('Disbursements Summary'!$E:$E,'Disbursements Summary'!$C:$C,$C114,'Disbursements Summary'!$A:$A,"NFWB")</f>
        <v>0</v>
      </c>
      <c r="EL114" s="55">
        <f>SUMIFS('Awards Summary'!$H:$H,'Awards Summary'!$B:$B,$C114,'Awards Summary'!$J:$J,"NFTA")</f>
        <v>0</v>
      </c>
      <c r="EM114" s="55">
        <f>SUMIFS('Disbursements Summary'!$E:$E,'Disbursements Summary'!$C:$C,$C114,'Disbursements Summary'!$A:$A,"NFTA")</f>
        <v>0</v>
      </c>
      <c r="EN114" s="55">
        <f>SUMIFS('Awards Summary'!$H:$H,'Awards Summary'!$B:$B,$C114,'Awards Summary'!$J:$J,"OPWDD")</f>
        <v>0</v>
      </c>
      <c r="EO114" s="55">
        <f>SUMIFS('Disbursements Summary'!$E:$E,'Disbursements Summary'!$C:$C,$C114,'Disbursements Summary'!$A:$A,"OPWDD")</f>
        <v>0</v>
      </c>
      <c r="EP114" s="55">
        <f>SUMIFS('Awards Summary'!$H:$H,'Awards Summary'!$B:$B,$C114,'Awards Summary'!$J:$J,"AGING")</f>
        <v>0</v>
      </c>
      <c r="EQ114" s="55">
        <f>SUMIFS('Disbursements Summary'!$E:$E,'Disbursements Summary'!$C:$C,$C114,'Disbursements Summary'!$A:$A,"AGING")</f>
        <v>0</v>
      </c>
      <c r="ER114" s="55">
        <f>SUMIFS('Awards Summary'!$H:$H,'Awards Summary'!$B:$B,$C114,'Awards Summary'!$J:$J,"OPDV")</f>
        <v>0</v>
      </c>
      <c r="ES114" s="55">
        <f>SUMIFS('Disbursements Summary'!$E:$E,'Disbursements Summary'!$C:$C,$C114,'Disbursements Summary'!$A:$A,"OPDV")</f>
        <v>0</v>
      </c>
      <c r="ET114" s="55">
        <f>SUMIFS('Awards Summary'!$H:$H,'Awards Summary'!$B:$B,$C114,'Awards Summary'!$J:$J,"OVS")</f>
        <v>0</v>
      </c>
      <c r="EU114" s="55">
        <f>SUMIFS('Disbursements Summary'!$E:$E,'Disbursements Summary'!$C:$C,$C114,'Disbursements Summary'!$A:$A,"OVS")</f>
        <v>0</v>
      </c>
      <c r="EV114" s="55">
        <f>SUMIFS('Awards Summary'!$H:$H,'Awards Summary'!$B:$B,$C114,'Awards Summary'!$J:$J,"OASAS")</f>
        <v>0</v>
      </c>
      <c r="EW114" s="55">
        <f>SUMIFS('Disbursements Summary'!$E:$E,'Disbursements Summary'!$C:$C,$C114,'Disbursements Summary'!$A:$A,"OASAS")</f>
        <v>0</v>
      </c>
      <c r="EX114" s="55">
        <f>SUMIFS('Awards Summary'!$H:$H,'Awards Summary'!$B:$B,$C114,'Awards Summary'!$J:$J,"OCFS")</f>
        <v>0</v>
      </c>
      <c r="EY114" s="55">
        <f>SUMIFS('Disbursements Summary'!$E:$E,'Disbursements Summary'!$C:$C,$C114,'Disbursements Summary'!$A:$A,"OCFS")</f>
        <v>0</v>
      </c>
      <c r="EZ114" s="55">
        <f>SUMIFS('Awards Summary'!$H:$H,'Awards Summary'!$B:$B,$C114,'Awards Summary'!$J:$J,"OGS")</f>
        <v>0</v>
      </c>
      <c r="FA114" s="55">
        <f>SUMIFS('Disbursements Summary'!$E:$E,'Disbursements Summary'!$C:$C,$C114,'Disbursements Summary'!$A:$A,"OGS")</f>
        <v>0</v>
      </c>
      <c r="FB114" s="55">
        <f>SUMIFS('Awards Summary'!$H:$H,'Awards Summary'!$B:$B,$C114,'Awards Summary'!$J:$J,"OMH")</f>
        <v>0</v>
      </c>
      <c r="FC114" s="55">
        <f>SUMIFS('Disbursements Summary'!$E:$E,'Disbursements Summary'!$C:$C,$C114,'Disbursements Summary'!$A:$A,"OMH")</f>
        <v>0</v>
      </c>
      <c r="FD114" s="55">
        <f>SUMIFS('Awards Summary'!$H:$H,'Awards Summary'!$B:$B,$C114,'Awards Summary'!$J:$J,"PARKS")</f>
        <v>0</v>
      </c>
      <c r="FE114" s="55">
        <f>SUMIFS('Disbursements Summary'!$E:$E,'Disbursements Summary'!$C:$C,$C114,'Disbursements Summary'!$A:$A,"PARKS")</f>
        <v>0</v>
      </c>
      <c r="FF114" s="55">
        <f>SUMIFS('Awards Summary'!$H:$H,'Awards Summary'!$B:$B,$C114,'Awards Summary'!$J:$J,"OTDA")</f>
        <v>0</v>
      </c>
      <c r="FG114" s="55">
        <f>SUMIFS('Disbursements Summary'!$E:$E,'Disbursements Summary'!$C:$C,$C114,'Disbursements Summary'!$A:$A,"OTDA")</f>
        <v>0</v>
      </c>
      <c r="FH114" s="55">
        <f>SUMIFS('Awards Summary'!$H:$H,'Awards Summary'!$B:$B,$C114,'Awards Summary'!$J:$J,"OIG")</f>
        <v>0</v>
      </c>
      <c r="FI114" s="55">
        <f>SUMIFS('Disbursements Summary'!$E:$E,'Disbursements Summary'!$C:$C,$C114,'Disbursements Summary'!$A:$A,"OIG")</f>
        <v>0</v>
      </c>
      <c r="FJ114" s="55">
        <f>SUMIFS('Awards Summary'!$H:$H,'Awards Summary'!$B:$B,$C114,'Awards Summary'!$J:$J,"OMIG")</f>
        <v>0</v>
      </c>
      <c r="FK114" s="55">
        <f>SUMIFS('Disbursements Summary'!$E:$E,'Disbursements Summary'!$C:$C,$C114,'Disbursements Summary'!$A:$A,"OMIG")</f>
        <v>0</v>
      </c>
      <c r="FL114" s="55">
        <f>SUMIFS('Awards Summary'!$H:$H,'Awards Summary'!$B:$B,$C114,'Awards Summary'!$J:$J,"OSC")</f>
        <v>0</v>
      </c>
      <c r="FM114" s="55">
        <f>SUMIFS('Disbursements Summary'!$E:$E,'Disbursements Summary'!$C:$C,$C114,'Disbursements Summary'!$A:$A,"OSC")</f>
        <v>0</v>
      </c>
      <c r="FN114" s="55">
        <f>SUMIFS('Awards Summary'!$H:$H,'Awards Summary'!$B:$B,$C114,'Awards Summary'!$J:$J,"OWIG")</f>
        <v>0</v>
      </c>
      <c r="FO114" s="55">
        <f>SUMIFS('Disbursements Summary'!$E:$E,'Disbursements Summary'!$C:$C,$C114,'Disbursements Summary'!$A:$A,"OWIG")</f>
        <v>0</v>
      </c>
      <c r="FP114" s="55">
        <f>SUMIFS('Awards Summary'!$H:$H,'Awards Summary'!$B:$B,$C114,'Awards Summary'!$J:$J,"OGDEN")</f>
        <v>0</v>
      </c>
      <c r="FQ114" s="55">
        <f>SUMIFS('Disbursements Summary'!$E:$E,'Disbursements Summary'!$C:$C,$C114,'Disbursements Summary'!$A:$A,"OGDEN")</f>
        <v>0</v>
      </c>
      <c r="FR114" s="55">
        <f>SUMIFS('Awards Summary'!$H:$H,'Awards Summary'!$B:$B,$C114,'Awards Summary'!$J:$J,"ORDA")</f>
        <v>0</v>
      </c>
      <c r="FS114" s="55">
        <f>SUMIFS('Disbursements Summary'!$E:$E,'Disbursements Summary'!$C:$C,$C114,'Disbursements Summary'!$A:$A,"ORDA")</f>
        <v>0</v>
      </c>
      <c r="FT114" s="55">
        <f>SUMIFS('Awards Summary'!$H:$H,'Awards Summary'!$B:$B,$C114,'Awards Summary'!$J:$J,"OSWEGO")</f>
        <v>0</v>
      </c>
      <c r="FU114" s="55">
        <f>SUMIFS('Disbursements Summary'!$E:$E,'Disbursements Summary'!$C:$C,$C114,'Disbursements Summary'!$A:$A,"OSWEGO")</f>
        <v>0</v>
      </c>
      <c r="FV114" s="55">
        <f>SUMIFS('Awards Summary'!$H:$H,'Awards Summary'!$B:$B,$C114,'Awards Summary'!$J:$J,"PERB")</f>
        <v>0</v>
      </c>
      <c r="FW114" s="55">
        <f>SUMIFS('Disbursements Summary'!$E:$E,'Disbursements Summary'!$C:$C,$C114,'Disbursements Summary'!$A:$A,"PERB")</f>
        <v>0</v>
      </c>
      <c r="FX114" s="55">
        <f>SUMIFS('Awards Summary'!$H:$H,'Awards Summary'!$B:$B,$C114,'Awards Summary'!$J:$J,"RGRTA")</f>
        <v>0</v>
      </c>
      <c r="FY114" s="55">
        <f>SUMIFS('Disbursements Summary'!$E:$E,'Disbursements Summary'!$C:$C,$C114,'Disbursements Summary'!$A:$A,"RGRTA")</f>
        <v>0</v>
      </c>
      <c r="FZ114" s="55">
        <f>SUMIFS('Awards Summary'!$H:$H,'Awards Summary'!$B:$B,$C114,'Awards Summary'!$J:$J,"RIOC")</f>
        <v>0</v>
      </c>
      <c r="GA114" s="55">
        <f>SUMIFS('Disbursements Summary'!$E:$E,'Disbursements Summary'!$C:$C,$C114,'Disbursements Summary'!$A:$A,"RIOC")</f>
        <v>0</v>
      </c>
      <c r="GB114" s="55">
        <f>SUMIFS('Awards Summary'!$H:$H,'Awards Summary'!$B:$B,$C114,'Awards Summary'!$J:$J,"RPCI")</f>
        <v>0</v>
      </c>
      <c r="GC114" s="55">
        <f>SUMIFS('Disbursements Summary'!$E:$E,'Disbursements Summary'!$C:$C,$C114,'Disbursements Summary'!$A:$A,"RPCI")</f>
        <v>0</v>
      </c>
      <c r="GD114" s="55">
        <f>SUMIFS('Awards Summary'!$H:$H,'Awards Summary'!$B:$B,$C114,'Awards Summary'!$J:$J,"SMDA")</f>
        <v>0</v>
      </c>
      <c r="GE114" s="55">
        <f>SUMIFS('Disbursements Summary'!$E:$E,'Disbursements Summary'!$C:$C,$C114,'Disbursements Summary'!$A:$A,"SMDA")</f>
        <v>0</v>
      </c>
      <c r="GF114" s="55">
        <f>SUMIFS('Awards Summary'!$H:$H,'Awards Summary'!$B:$B,$C114,'Awards Summary'!$J:$J,"SCOC")</f>
        <v>0</v>
      </c>
      <c r="GG114" s="55">
        <f>SUMIFS('Disbursements Summary'!$E:$E,'Disbursements Summary'!$C:$C,$C114,'Disbursements Summary'!$A:$A,"SCOC")</f>
        <v>0</v>
      </c>
      <c r="GH114" s="55">
        <f>SUMIFS('Awards Summary'!$H:$H,'Awards Summary'!$B:$B,$C114,'Awards Summary'!$J:$J,"SUCF")</f>
        <v>0</v>
      </c>
      <c r="GI114" s="55">
        <f>SUMIFS('Disbursements Summary'!$E:$E,'Disbursements Summary'!$C:$C,$C114,'Disbursements Summary'!$A:$A,"SUCF")</f>
        <v>0</v>
      </c>
      <c r="GJ114" s="55">
        <f>SUMIFS('Awards Summary'!$H:$H,'Awards Summary'!$B:$B,$C114,'Awards Summary'!$J:$J,"SUNY")</f>
        <v>0</v>
      </c>
      <c r="GK114" s="55">
        <f>SUMIFS('Disbursements Summary'!$E:$E,'Disbursements Summary'!$C:$C,$C114,'Disbursements Summary'!$A:$A,"SUNY")</f>
        <v>0</v>
      </c>
      <c r="GL114" s="55">
        <f>SUMIFS('Awards Summary'!$H:$H,'Awards Summary'!$B:$B,$C114,'Awards Summary'!$J:$J,"SRAA")</f>
        <v>0</v>
      </c>
      <c r="GM114" s="55">
        <f>SUMIFS('Disbursements Summary'!$E:$E,'Disbursements Summary'!$C:$C,$C114,'Disbursements Summary'!$A:$A,"SRAA")</f>
        <v>0</v>
      </c>
      <c r="GN114" s="55">
        <f>SUMIFS('Awards Summary'!$H:$H,'Awards Summary'!$B:$B,$C114,'Awards Summary'!$J:$J,"UNDC")</f>
        <v>0</v>
      </c>
      <c r="GO114" s="55">
        <f>SUMIFS('Disbursements Summary'!$E:$E,'Disbursements Summary'!$C:$C,$C114,'Disbursements Summary'!$A:$A,"UNDC")</f>
        <v>0</v>
      </c>
      <c r="GP114" s="55">
        <f>SUMIFS('Awards Summary'!$H:$H,'Awards Summary'!$B:$B,$C114,'Awards Summary'!$J:$J,"MVWA")</f>
        <v>0</v>
      </c>
      <c r="GQ114" s="55">
        <f>SUMIFS('Disbursements Summary'!$E:$E,'Disbursements Summary'!$C:$C,$C114,'Disbursements Summary'!$A:$A,"MVWA")</f>
        <v>0</v>
      </c>
      <c r="GR114" s="55">
        <f>SUMIFS('Awards Summary'!$H:$H,'Awards Summary'!$B:$B,$C114,'Awards Summary'!$J:$J,"WMC")</f>
        <v>0</v>
      </c>
      <c r="GS114" s="55">
        <f>SUMIFS('Disbursements Summary'!$E:$E,'Disbursements Summary'!$C:$C,$C114,'Disbursements Summary'!$A:$A,"WMC")</f>
        <v>0</v>
      </c>
      <c r="GT114" s="55">
        <f>SUMIFS('Awards Summary'!$H:$H,'Awards Summary'!$B:$B,$C114,'Awards Summary'!$J:$J,"WCB")</f>
        <v>0</v>
      </c>
      <c r="GU114" s="55">
        <f>SUMIFS('Disbursements Summary'!$E:$E,'Disbursements Summary'!$C:$C,$C114,'Disbursements Summary'!$A:$A,"WCB")</f>
        <v>0</v>
      </c>
      <c r="GV114" s="32">
        <f t="shared" si="10"/>
        <v>0</v>
      </c>
      <c r="GW114" s="32">
        <f t="shared" si="11"/>
        <v>0</v>
      </c>
      <c r="GX114" s="30" t="b">
        <f t="shared" si="12"/>
        <v>1</v>
      </c>
      <c r="GY114" s="30" t="b">
        <f t="shared" si="13"/>
        <v>1</v>
      </c>
    </row>
    <row r="115" spans="1:207" s="30" customFormat="1">
      <c r="A115" s="22" t="str">
        <f t="shared" si="9"/>
        <v/>
      </c>
      <c r="B115" s="21" t="s">
        <v>229</v>
      </c>
      <c r="C115" s="16">
        <v>161274</v>
      </c>
      <c r="D115" s="26">
        <f>COUNTIF('Awards Summary'!B:B,"161274")</f>
        <v>0</v>
      </c>
      <c r="E115" s="45">
        <f>SUMIFS('Awards Summary'!H:H,'Awards Summary'!B:B,"161274")</f>
        <v>0</v>
      </c>
      <c r="F115" s="46">
        <f>SUMIFS('Disbursements Summary'!E:E,'Disbursements Summary'!C:C, "161274")</f>
        <v>0</v>
      </c>
      <c r="H115" s="55">
        <f>SUMIFS('Awards Summary'!$H:$H,'Awards Summary'!$B:$B,$C115,'Awards Summary'!$J:$J,"APA")</f>
        <v>0</v>
      </c>
      <c r="I115" s="55">
        <f>SUMIFS('Disbursements Summary'!$E:$E,'Disbursements Summary'!$C:$C,$C115,'Disbursements Summary'!$A:$A,"APA")</f>
        <v>0</v>
      </c>
      <c r="J115" s="55">
        <f>SUMIFS('Awards Summary'!$H:$H,'Awards Summary'!$B:$B,$C115,'Awards Summary'!$J:$J,"Ag&amp;Horse")</f>
        <v>0</v>
      </c>
      <c r="K115" s="55">
        <f>SUMIFS('Disbursements Summary'!$E:$E,'Disbursements Summary'!$C:$C,$C115,'Disbursements Summary'!$A:$A,"Ag&amp;Horse")</f>
        <v>0</v>
      </c>
      <c r="L115" s="55">
        <f>SUMIFS('Awards Summary'!$H:$H,'Awards Summary'!$B:$B,$C115,'Awards Summary'!$J:$J,"ACAA")</f>
        <v>0</v>
      </c>
      <c r="M115" s="55">
        <f>SUMIFS('Disbursements Summary'!$E:$E,'Disbursements Summary'!$C:$C,$C115,'Disbursements Summary'!$A:$A,"ACAA")</f>
        <v>0</v>
      </c>
      <c r="N115" s="55">
        <f>SUMIFS('Awards Summary'!$H:$H,'Awards Summary'!$B:$B,$C115,'Awards Summary'!$J:$J,"PortAlbany")</f>
        <v>0</v>
      </c>
      <c r="O115" s="55">
        <f>SUMIFS('Disbursements Summary'!$E:$E,'Disbursements Summary'!$C:$C,$C115,'Disbursements Summary'!$A:$A,"PortAlbany")</f>
        <v>0</v>
      </c>
      <c r="P115" s="55">
        <f>SUMIFS('Awards Summary'!$H:$H,'Awards Summary'!$B:$B,$C115,'Awards Summary'!$J:$J,"SLA")</f>
        <v>0</v>
      </c>
      <c r="Q115" s="55">
        <f>SUMIFS('Disbursements Summary'!$E:$E,'Disbursements Summary'!$C:$C,$C115,'Disbursements Summary'!$A:$A,"SLA")</f>
        <v>0</v>
      </c>
      <c r="R115" s="55">
        <f>SUMIFS('Awards Summary'!$H:$H,'Awards Summary'!$B:$B,$C115,'Awards Summary'!$J:$J,"BPCA")</f>
        <v>0</v>
      </c>
      <c r="S115" s="55">
        <f>SUMIFS('Disbursements Summary'!$E:$E,'Disbursements Summary'!$C:$C,$C115,'Disbursements Summary'!$A:$A,"BPCA")</f>
        <v>0</v>
      </c>
      <c r="T115" s="55">
        <f>SUMIFS('Awards Summary'!$H:$H,'Awards Summary'!$B:$B,$C115,'Awards Summary'!$J:$J,"ELECTIONS")</f>
        <v>0</v>
      </c>
      <c r="U115" s="55">
        <f>SUMIFS('Disbursements Summary'!$E:$E,'Disbursements Summary'!$C:$C,$C115,'Disbursements Summary'!$A:$A,"ELECTIONS")</f>
        <v>0</v>
      </c>
      <c r="V115" s="55">
        <f>SUMIFS('Awards Summary'!$H:$H,'Awards Summary'!$B:$B,$C115,'Awards Summary'!$J:$J,"BFSA")</f>
        <v>0</v>
      </c>
      <c r="W115" s="55">
        <f>SUMIFS('Disbursements Summary'!$E:$E,'Disbursements Summary'!$C:$C,$C115,'Disbursements Summary'!$A:$A,"BFSA")</f>
        <v>0</v>
      </c>
      <c r="X115" s="55">
        <f>SUMIFS('Awards Summary'!$H:$H,'Awards Summary'!$B:$B,$C115,'Awards Summary'!$J:$J,"CDTA")</f>
        <v>0</v>
      </c>
      <c r="Y115" s="55">
        <f>SUMIFS('Disbursements Summary'!$E:$E,'Disbursements Summary'!$C:$C,$C115,'Disbursements Summary'!$A:$A,"CDTA")</f>
        <v>0</v>
      </c>
      <c r="Z115" s="55">
        <f>SUMIFS('Awards Summary'!$H:$H,'Awards Summary'!$B:$B,$C115,'Awards Summary'!$J:$J,"CCWSA")</f>
        <v>0</v>
      </c>
      <c r="AA115" s="55">
        <f>SUMIFS('Disbursements Summary'!$E:$E,'Disbursements Summary'!$C:$C,$C115,'Disbursements Summary'!$A:$A,"CCWSA")</f>
        <v>0</v>
      </c>
      <c r="AB115" s="55">
        <f>SUMIFS('Awards Summary'!$H:$H,'Awards Summary'!$B:$B,$C115,'Awards Summary'!$J:$J,"CNYRTA")</f>
        <v>0</v>
      </c>
      <c r="AC115" s="55">
        <f>SUMIFS('Disbursements Summary'!$E:$E,'Disbursements Summary'!$C:$C,$C115,'Disbursements Summary'!$A:$A,"CNYRTA")</f>
        <v>0</v>
      </c>
      <c r="AD115" s="55">
        <f>SUMIFS('Awards Summary'!$H:$H,'Awards Summary'!$B:$B,$C115,'Awards Summary'!$J:$J,"CUCF")</f>
        <v>0</v>
      </c>
      <c r="AE115" s="55">
        <f>SUMIFS('Disbursements Summary'!$E:$E,'Disbursements Summary'!$C:$C,$C115,'Disbursements Summary'!$A:$A,"CUCF")</f>
        <v>0</v>
      </c>
      <c r="AF115" s="55">
        <f>SUMIFS('Awards Summary'!$H:$H,'Awards Summary'!$B:$B,$C115,'Awards Summary'!$J:$J,"CUNY")</f>
        <v>0</v>
      </c>
      <c r="AG115" s="55">
        <f>SUMIFS('Disbursements Summary'!$E:$E,'Disbursements Summary'!$C:$C,$C115,'Disbursements Summary'!$A:$A,"CUNY")</f>
        <v>0</v>
      </c>
      <c r="AH115" s="55">
        <f>SUMIFS('Awards Summary'!$H:$H,'Awards Summary'!$B:$B,$C115,'Awards Summary'!$J:$J,"ARTS")</f>
        <v>0</v>
      </c>
      <c r="AI115" s="55">
        <f>SUMIFS('Disbursements Summary'!$E:$E,'Disbursements Summary'!$C:$C,$C115,'Disbursements Summary'!$A:$A,"ARTS")</f>
        <v>0</v>
      </c>
      <c r="AJ115" s="55">
        <f>SUMIFS('Awards Summary'!$H:$H,'Awards Summary'!$B:$B,$C115,'Awards Summary'!$J:$J,"AG&amp;MKTS")</f>
        <v>0</v>
      </c>
      <c r="AK115" s="55">
        <f>SUMIFS('Disbursements Summary'!$E:$E,'Disbursements Summary'!$C:$C,$C115,'Disbursements Summary'!$A:$A,"AG&amp;MKTS")</f>
        <v>0</v>
      </c>
      <c r="AL115" s="55">
        <f>SUMIFS('Awards Summary'!$H:$H,'Awards Summary'!$B:$B,$C115,'Awards Summary'!$J:$J,"CS")</f>
        <v>0</v>
      </c>
      <c r="AM115" s="55">
        <f>SUMIFS('Disbursements Summary'!$E:$E,'Disbursements Summary'!$C:$C,$C115,'Disbursements Summary'!$A:$A,"CS")</f>
        <v>0</v>
      </c>
      <c r="AN115" s="55">
        <f>SUMIFS('Awards Summary'!$H:$H,'Awards Summary'!$B:$B,$C115,'Awards Summary'!$J:$J,"DOCCS")</f>
        <v>0</v>
      </c>
      <c r="AO115" s="55">
        <f>SUMIFS('Disbursements Summary'!$E:$E,'Disbursements Summary'!$C:$C,$C115,'Disbursements Summary'!$A:$A,"DOCCS")</f>
        <v>0</v>
      </c>
      <c r="AP115" s="55">
        <f>SUMIFS('Awards Summary'!$H:$H,'Awards Summary'!$B:$B,$C115,'Awards Summary'!$J:$J,"DED")</f>
        <v>0</v>
      </c>
      <c r="AQ115" s="55">
        <f>SUMIFS('Disbursements Summary'!$E:$E,'Disbursements Summary'!$C:$C,$C115,'Disbursements Summary'!$A:$A,"DED")</f>
        <v>0</v>
      </c>
      <c r="AR115" s="55">
        <f>SUMIFS('Awards Summary'!$H:$H,'Awards Summary'!$B:$B,$C115,'Awards Summary'!$J:$J,"DEC")</f>
        <v>0</v>
      </c>
      <c r="AS115" s="55">
        <f>SUMIFS('Disbursements Summary'!$E:$E,'Disbursements Summary'!$C:$C,$C115,'Disbursements Summary'!$A:$A,"DEC")</f>
        <v>0</v>
      </c>
      <c r="AT115" s="55">
        <f>SUMIFS('Awards Summary'!$H:$H,'Awards Summary'!$B:$B,$C115,'Awards Summary'!$J:$J,"DFS")</f>
        <v>0</v>
      </c>
      <c r="AU115" s="55">
        <f>SUMIFS('Disbursements Summary'!$E:$E,'Disbursements Summary'!$C:$C,$C115,'Disbursements Summary'!$A:$A,"DFS")</f>
        <v>0</v>
      </c>
      <c r="AV115" s="55">
        <f>SUMIFS('Awards Summary'!$H:$H,'Awards Summary'!$B:$B,$C115,'Awards Summary'!$J:$J,"DOH")</f>
        <v>0</v>
      </c>
      <c r="AW115" s="55">
        <f>SUMIFS('Disbursements Summary'!$E:$E,'Disbursements Summary'!$C:$C,$C115,'Disbursements Summary'!$A:$A,"DOH")</f>
        <v>0</v>
      </c>
      <c r="AX115" s="55">
        <f>SUMIFS('Awards Summary'!$H:$H,'Awards Summary'!$B:$B,$C115,'Awards Summary'!$J:$J,"DOL")</f>
        <v>0</v>
      </c>
      <c r="AY115" s="55">
        <f>SUMIFS('Disbursements Summary'!$E:$E,'Disbursements Summary'!$C:$C,$C115,'Disbursements Summary'!$A:$A,"DOL")</f>
        <v>0</v>
      </c>
      <c r="AZ115" s="55">
        <f>SUMIFS('Awards Summary'!$H:$H,'Awards Summary'!$B:$B,$C115,'Awards Summary'!$J:$J,"DMV")</f>
        <v>0</v>
      </c>
      <c r="BA115" s="55">
        <f>SUMIFS('Disbursements Summary'!$E:$E,'Disbursements Summary'!$C:$C,$C115,'Disbursements Summary'!$A:$A,"DMV")</f>
        <v>0</v>
      </c>
      <c r="BB115" s="55">
        <f>SUMIFS('Awards Summary'!$H:$H,'Awards Summary'!$B:$B,$C115,'Awards Summary'!$J:$J,"DPS")</f>
        <v>0</v>
      </c>
      <c r="BC115" s="55">
        <f>SUMIFS('Disbursements Summary'!$E:$E,'Disbursements Summary'!$C:$C,$C115,'Disbursements Summary'!$A:$A,"DPS")</f>
        <v>0</v>
      </c>
      <c r="BD115" s="55">
        <f>SUMIFS('Awards Summary'!$H:$H,'Awards Summary'!$B:$B,$C115,'Awards Summary'!$J:$J,"DOS")</f>
        <v>0</v>
      </c>
      <c r="BE115" s="55">
        <f>SUMIFS('Disbursements Summary'!$E:$E,'Disbursements Summary'!$C:$C,$C115,'Disbursements Summary'!$A:$A,"DOS")</f>
        <v>0</v>
      </c>
      <c r="BF115" s="55">
        <f>SUMIFS('Awards Summary'!$H:$H,'Awards Summary'!$B:$B,$C115,'Awards Summary'!$J:$J,"TAX")</f>
        <v>0</v>
      </c>
      <c r="BG115" s="55">
        <f>SUMIFS('Disbursements Summary'!$E:$E,'Disbursements Summary'!$C:$C,$C115,'Disbursements Summary'!$A:$A,"TAX")</f>
        <v>0</v>
      </c>
      <c r="BH115" s="55">
        <f>SUMIFS('Awards Summary'!$H:$H,'Awards Summary'!$B:$B,$C115,'Awards Summary'!$J:$J,"DOT")</f>
        <v>0</v>
      </c>
      <c r="BI115" s="55">
        <f>SUMIFS('Disbursements Summary'!$E:$E,'Disbursements Summary'!$C:$C,$C115,'Disbursements Summary'!$A:$A,"DOT")</f>
        <v>0</v>
      </c>
      <c r="BJ115" s="55">
        <f>SUMIFS('Awards Summary'!$H:$H,'Awards Summary'!$B:$B,$C115,'Awards Summary'!$J:$J,"DANC")</f>
        <v>0</v>
      </c>
      <c r="BK115" s="55">
        <f>SUMIFS('Disbursements Summary'!$E:$E,'Disbursements Summary'!$C:$C,$C115,'Disbursements Summary'!$A:$A,"DANC")</f>
        <v>0</v>
      </c>
      <c r="BL115" s="55">
        <f>SUMIFS('Awards Summary'!$H:$H,'Awards Summary'!$B:$B,$C115,'Awards Summary'!$J:$J,"DOB")</f>
        <v>0</v>
      </c>
      <c r="BM115" s="55">
        <f>SUMIFS('Disbursements Summary'!$E:$E,'Disbursements Summary'!$C:$C,$C115,'Disbursements Summary'!$A:$A,"DOB")</f>
        <v>0</v>
      </c>
      <c r="BN115" s="55">
        <f>SUMIFS('Awards Summary'!$H:$H,'Awards Summary'!$B:$B,$C115,'Awards Summary'!$J:$J,"DCJS")</f>
        <v>0</v>
      </c>
      <c r="BO115" s="55">
        <f>SUMIFS('Disbursements Summary'!$E:$E,'Disbursements Summary'!$C:$C,$C115,'Disbursements Summary'!$A:$A,"DCJS")</f>
        <v>0</v>
      </c>
      <c r="BP115" s="55">
        <f>SUMIFS('Awards Summary'!$H:$H,'Awards Summary'!$B:$B,$C115,'Awards Summary'!$J:$J,"DHSES")</f>
        <v>0</v>
      </c>
      <c r="BQ115" s="55">
        <f>SUMIFS('Disbursements Summary'!$E:$E,'Disbursements Summary'!$C:$C,$C115,'Disbursements Summary'!$A:$A,"DHSES")</f>
        <v>0</v>
      </c>
      <c r="BR115" s="55">
        <f>SUMIFS('Awards Summary'!$H:$H,'Awards Summary'!$B:$B,$C115,'Awards Summary'!$J:$J,"DHR")</f>
        <v>0</v>
      </c>
      <c r="BS115" s="55">
        <f>SUMIFS('Disbursements Summary'!$E:$E,'Disbursements Summary'!$C:$C,$C115,'Disbursements Summary'!$A:$A,"DHR")</f>
        <v>0</v>
      </c>
      <c r="BT115" s="55">
        <f>SUMIFS('Awards Summary'!$H:$H,'Awards Summary'!$B:$B,$C115,'Awards Summary'!$J:$J,"DMNA")</f>
        <v>0</v>
      </c>
      <c r="BU115" s="55">
        <f>SUMIFS('Disbursements Summary'!$E:$E,'Disbursements Summary'!$C:$C,$C115,'Disbursements Summary'!$A:$A,"DMNA")</f>
        <v>0</v>
      </c>
      <c r="BV115" s="55">
        <f>SUMIFS('Awards Summary'!$H:$H,'Awards Summary'!$B:$B,$C115,'Awards Summary'!$J:$J,"TROOPERS")</f>
        <v>0</v>
      </c>
      <c r="BW115" s="55">
        <f>SUMIFS('Disbursements Summary'!$E:$E,'Disbursements Summary'!$C:$C,$C115,'Disbursements Summary'!$A:$A,"TROOPERS")</f>
        <v>0</v>
      </c>
      <c r="BX115" s="55">
        <f>SUMIFS('Awards Summary'!$H:$H,'Awards Summary'!$B:$B,$C115,'Awards Summary'!$J:$J,"DVA")</f>
        <v>0</v>
      </c>
      <c r="BY115" s="55">
        <f>SUMIFS('Disbursements Summary'!$E:$E,'Disbursements Summary'!$C:$C,$C115,'Disbursements Summary'!$A:$A,"DVA")</f>
        <v>0</v>
      </c>
      <c r="BZ115" s="55">
        <f>SUMIFS('Awards Summary'!$H:$H,'Awards Summary'!$B:$B,$C115,'Awards Summary'!$J:$J,"DASNY")</f>
        <v>0</v>
      </c>
      <c r="CA115" s="55">
        <f>SUMIFS('Disbursements Summary'!$E:$E,'Disbursements Summary'!$C:$C,$C115,'Disbursements Summary'!$A:$A,"DASNY")</f>
        <v>0</v>
      </c>
      <c r="CB115" s="55">
        <f>SUMIFS('Awards Summary'!$H:$H,'Awards Summary'!$B:$B,$C115,'Awards Summary'!$J:$J,"EGG")</f>
        <v>0</v>
      </c>
      <c r="CC115" s="55">
        <f>SUMIFS('Disbursements Summary'!$E:$E,'Disbursements Summary'!$C:$C,$C115,'Disbursements Summary'!$A:$A,"EGG")</f>
        <v>0</v>
      </c>
      <c r="CD115" s="55">
        <f>SUMIFS('Awards Summary'!$H:$H,'Awards Summary'!$B:$B,$C115,'Awards Summary'!$J:$J,"ESD")</f>
        <v>0</v>
      </c>
      <c r="CE115" s="55">
        <f>SUMIFS('Disbursements Summary'!$E:$E,'Disbursements Summary'!$C:$C,$C115,'Disbursements Summary'!$A:$A,"ESD")</f>
        <v>0</v>
      </c>
      <c r="CF115" s="55">
        <f>SUMIFS('Awards Summary'!$H:$H,'Awards Summary'!$B:$B,$C115,'Awards Summary'!$J:$J,"EFC")</f>
        <v>0</v>
      </c>
      <c r="CG115" s="55">
        <f>SUMIFS('Disbursements Summary'!$E:$E,'Disbursements Summary'!$C:$C,$C115,'Disbursements Summary'!$A:$A,"EFC")</f>
        <v>0</v>
      </c>
      <c r="CH115" s="55">
        <f>SUMIFS('Awards Summary'!$H:$H,'Awards Summary'!$B:$B,$C115,'Awards Summary'!$J:$J,"ECFSA")</f>
        <v>0</v>
      </c>
      <c r="CI115" s="55">
        <f>SUMIFS('Disbursements Summary'!$E:$E,'Disbursements Summary'!$C:$C,$C115,'Disbursements Summary'!$A:$A,"ECFSA")</f>
        <v>0</v>
      </c>
      <c r="CJ115" s="55">
        <f>SUMIFS('Awards Summary'!$H:$H,'Awards Summary'!$B:$B,$C115,'Awards Summary'!$J:$J,"ECMC")</f>
        <v>0</v>
      </c>
      <c r="CK115" s="55">
        <f>SUMIFS('Disbursements Summary'!$E:$E,'Disbursements Summary'!$C:$C,$C115,'Disbursements Summary'!$A:$A,"ECMC")</f>
        <v>0</v>
      </c>
      <c r="CL115" s="55">
        <f>SUMIFS('Awards Summary'!$H:$H,'Awards Summary'!$B:$B,$C115,'Awards Summary'!$J:$J,"CHAMBER")</f>
        <v>0</v>
      </c>
      <c r="CM115" s="55">
        <f>SUMIFS('Disbursements Summary'!$E:$E,'Disbursements Summary'!$C:$C,$C115,'Disbursements Summary'!$A:$A,"CHAMBER")</f>
        <v>0</v>
      </c>
      <c r="CN115" s="55">
        <f>SUMIFS('Awards Summary'!$H:$H,'Awards Summary'!$B:$B,$C115,'Awards Summary'!$J:$J,"GAMING")</f>
        <v>0</v>
      </c>
      <c r="CO115" s="55">
        <f>SUMIFS('Disbursements Summary'!$E:$E,'Disbursements Summary'!$C:$C,$C115,'Disbursements Summary'!$A:$A,"GAMING")</f>
        <v>0</v>
      </c>
      <c r="CP115" s="55">
        <f>SUMIFS('Awards Summary'!$H:$H,'Awards Summary'!$B:$B,$C115,'Awards Summary'!$J:$J,"GOER")</f>
        <v>0</v>
      </c>
      <c r="CQ115" s="55">
        <f>SUMIFS('Disbursements Summary'!$E:$E,'Disbursements Summary'!$C:$C,$C115,'Disbursements Summary'!$A:$A,"GOER")</f>
        <v>0</v>
      </c>
      <c r="CR115" s="55">
        <f>SUMIFS('Awards Summary'!$H:$H,'Awards Summary'!$B:$B,$C115,'Awards Summary'!$J:$J,"HESC")</f>
        <v>0</v>
      </c>
      <c r="CS115" s="55">
        <f>SUMIFS('Disbursements Summary'!$E:$E,'Disbursements Summary'!$C:$C,$C115,'Disbursements Summary'!$A:$A,"HESC")</f>
        <v>0</v>
      </c>
      <c r="CT115" s="55">
        <f>SUMIFS('Awards Summary'!$H:$H,'Awards Summary'!$B:$B,$C115,'Awards Summary'!$J:$J,"GOSR")</f>
        <v>0</v>
      </c>
      <c r="CU115" s="55">
        <f>SUMIFS('Disbursements Summary'!$E:$E,'Disbursements Summary'!$C:$C,$C115,'Disbursements Summary'!$A:$A,"GOSR")</f>
        <v>0</v>
      </c>
      <c r="CV115" s="55">
        <f>SUMIFS('Awards Summary'!$H:$H,'Awards Summary'!$B:$B,$C115,'Awards Summary'!$J:$J,"HRPT")</f>
        <v>0</v>
      </c>
      <c r="CW115" s="55">
        <f>SUMIFS('Disbursements Summary'!$E:$E,'Disbursements Summary'!$C:$C,$C115,'Disbursements Summary'!$A:$A,"HRPT")</f>
        <v>0</v>
      </c>
      <c r="CX115" s="55">
        <f>SUMIFS('Awards Summary'!$H:$H,'Awards Summary'!$B:$B,$C115,'Awards Summary'!$J:$J,"HRBRRD")</f>
        <v>0</v>
      </c>
      <c r="CY115" s="55">
        <f>SUMIFS('Disbursements Summary'!$E:$E,'Disbursements Summary'!$C:$C,$C115,'Disbursements Summary'!$A:$A,"HRBRRD")</f>
        <v>0</v>
      </c>
      <c r="CZ115" s="55">
        <f>SUMIFS('Awards Summary'!$H:$H,'Awards Summary'!$B:$B,$C115,'Awards Summary'!$J:$J,"ITS")</f>
        <v>0</v>
      </c>
      <c r="DA115" s="55">
        <f>SUMIFS('Disbursements Summary'!$E:$E,'Disbursements Summary'!$C:$C,$C115,'Disbursements Summary'!$A:$A,"ITS")</f>
        <v>0</v>
      </c>
      <c r="DB115" s="55">
        <f>SUMIFS('Awards Summary'!$H:$H,'Awards Summary'!$B:$B,$C115,'Awards Summary'!$J:$J,"JAVITS")</f>
        <v>0</v>
      </c>
      <c r="DC115" s="55">
        <f>SUMIFS('Disbursements Summary'!$E:$E,'Disbursements Summary'!$C:$C,$C115,'Disbursements Summary'!$A:$A,"JAVITS")</f>
        <v>0</v>
      </c>
      <c r="DD115" s="55">
        <f>SUMIFS('Awards Summary'!$H:$H,'Awards Summary'!$B:$B,$C115,'Awards Summary'!$J:$J,"JCOPE")</f>
        <v>0</v>
      </c>
      <c r="DE115" s="55">
        <f>SUMIFS('Disbursements Summary'!$E:$E,'Disbursements Summary'!$C:$C,$C115,'Disbursements Summary'!$A:$A,"JCOPE")</f>
        <v>0</v>
      </c>
      <c r="DF115" s="55">
        <f>SUMIFS('Awards Summary'!$H:$H,'Awards Summary'!$B:$B,$C115,'Awards Summary'!$J:$J,"JUSTICE")</f>
        <v>0</v>
      </c>
      <c r="DG115" s="55">
        <f>SUMIFS('Disbursements Summary'!$E:$E,'Disbursements Summary'!$C:$C,$C115,'Disbursements Summary'!$A:$A,"JUSTICE")</f>
        <v>0</v>
      </c>
      <c r="DH115" s="55">
        <f>SUMIFS('Awards Summary'!$H:$H,'Awards Summary'!$B:$B,$C115,'Awards Summary'!$J:$J,"LCWSA")</f>
        <v>0</v>
      </c>
      <c r="DI115" s="55">
        <f>SUMIFS('Disbursements Summary'!$E:$E,'Disbursements Summary'!$C:$C,$C115,'Disbursements Summary'!$A:$A,"LCWSA")</f>
        <v>0</v>
      </c>
      <c r="DJ115" s="55">
        <f>SUMIFS('Awards Summary'!$H:$H,'Awards Summary'!$B:$B,$C115,'Awards Summary'!$J:$J,"LIPA")</f>
        <v>0</v>
      </c>
      <c r="DK115" s="55">
        <f>SUMIFS('Disbursements Summary'!$E:$E,'Disbursements Summary'!$C:$C,$C115,'Disbursements Summary'!$A:$A,"LIPA")</f>
        <v>0</v>
      </c>
      <c r="DL115" s="55">
        <f>SUMIFS('Awards Summary'!$H:$H,'Awards Summary'!$B:$B,$C115,'Awards Summary'!$J:$J,"MTA")</f>
        <v>0</v>
      </c>
      <c r="DM115" s="55">
        <f>SUMIFS('Disbursements Summary'!$E:$E,'Disbursements Summary'!$C:$C,$C115,'Disbursements Summary'!$A:$A,"MTA")</f>
        <v>0</v>
      </c>
      <c r="DN115" s="55">
        <f>SUMIFS('Awards Summary'!$H:$H,'Awards Summary'!$B:$B,$C115,'Awards Summary'!$J:$J,"NIFA")</f>
        <v>0</v>
      </c>
      <c r="DO115" s="55">
        <f>SUMIFS('Disbursements Summary'!$E:$E,'Disbursements Summary'!$C:$C,$C115,'Disbursements Summary'!$A:$A,"NIFA")</f>
        <v>0</v>
      </c>
      <c r="DP115" s="55">
        <f>SUMIFS('Awards Summary'!$H:$H,'Awards Summary'!$B:$B,$C115,'Awards Summary'!$J:$J,"NHCC")</f>
        <v>0</v>
      </c>
      <c r="DQ115" s="55">
        <f>SUMIFS('Disbursements Summary'!$E:$E,'Disbursements Summary'!$C:$C,$C115,'Disbursements Summary'!$A:$A,"NHCC")</f>
        <v>0</v>
      </c>
      <c r="DR115" s="55">
        <f>SUMIFS('Awards Summary'!$H:$H,'Awards Summary'!$B:$B,$C115,'Awards Summary'!$J:$J,"NHT")</f>
        <v>0</v>
      </c>
      <c r="DS115" s="55">
        <f>SUMIFS('Disbursements Summary'!$E:$E,'Disbursements Summary'!$C:$C,$C115,'Disbursements Summary'!$A:$A,"NHT")</f>
        <v>0</v>
      </c>
      <c r="DT115" s="55">
        <f>SUMIFS('Awards Summary'!$H:$H,'Awards Summary'!$B:$B,$C115,'Awards Summary'!$J:$J,"NYPA")</f>
        <v>0</v>
      </c>
      <c r="DU115" s="55">
        <f>SUMIFS('Disbursements Summary'!$E:$E,'Disbursements Summary'!$C:$C,$C115,'Disbursements Summary'!$A:$A,"NYPA")</f>
        <v>0</v>
      </c>
      <c r="DV115" s="55">
        <f>SUMIFS('Awards Summary'!$H:$H,'Awards Summary'!$B:$B,$C115,'Awards Summary'!$J:$J,"NYSBA")</f>
        <v>0</v>
      </c>
      <c r="DW115" s="55">
        <f>SUMIFS('Disbursements Summary'!$E:$E,'Disbursements Summary'!$C:$C,$C115,'Disbursements Summary'!$A:$A,"NYSBA")</f>
        <v>0</v>
      </c>
      <c r="DX115" s="55">
        <f>SUMIFS('Awards Summary'!$H:$H,'Awards Summary'!$B:$B,$C115,'Awards Summary'!$J:$J,"NYSERDA")</f>
        <v>0</v>
      </c>
      <c r="DY115" s="55">
        <f>SUMIFS('Disbursements Summary'!$E:$E,'Disbursements Summary'!$C:$C,$C115,'Disbursements Summary'!$A:$A,"NYSERDA")</f>
        <v>0</v>
      </c>
      <c r="DZ115" s="55">
        <f>SUMIFS('Awards Summary'!$H:$H,'Awards Summary'!$B:$B,$C115,'Awards Summary'!$J:$J,"DHCR")</f>
        <v>0</v>
      </c>
      <c r="EA115" s="55">
        <f>SUMIFS('Disbursements Summary'!$E:$E,'Disbursements Summary'!$C:$C,$C115,'Disbursements Summary'!$A:$A,"DHCR")</f>
        <v>0</v>
      </c>
      <c r="EB115" s="55">
        <f>SUMIFS('Awards Summary'!$H:$H,'Awards Summary'!$B:$B,$C115,'Awards Summary'!$J:$J,"HFA")</f>
        <v>0</v>
      </c>
      <c r="EC115" s="55">
        <f>SUMIFS('Disbursements Summary'!$E:$E,'Disbursements Summary'!$C:$C,$C115,'Disbursements Summary'!$A:$A,"HFA")</f>
        <v>0</v>
      </c>
      <c r="ED115" s="55">
        <f>SUMIFS('Awards Summary'!$H:$H,'Awards Summary'!$B:$B,$C115,'Awards Summary'!$J:$J,"NYSIF")</f>
        <v>0</v>
      </c>
      <c r="EE115" s="55">
        <f>SUMIFS('Disbursements Summary'!$E:$E,'Disbursements Summary'!$C:$C,$C115,'Disbursements Summary'!$A:$A,"NYSIF")</f>
        <v>0</v>
      </c>
      <c r="EF115" s="55">
        <f>SUMIFS('Awards Summary'!$H:$H,'Awards Summary'!$B:$B,$C115,'Awards Summary'!$J:$J,"NYBREDS")</f>
        <v>0</v>
      </c>
      <c r="EG115" s="55">
        <f>SUMIFS('Disbursements Summary'!$E:$E,'Disbursements Summary'!$C:$C,$C115,'Disbursements Summary'!$A:$A,"NYBREDS")</f>
        <v>0</v>
      </c>
      <c r="EH115" s="55">
        <f>SUMIFS('Awards Summary'!$H:$H,'Awards Summary'!$B:$B,$C115,'Awards Summary'!$J:$J,"NYSTA")</f>
        <v>0</v>
      </c>
      <c r="EI115" s="55">
        <f>SUMIFS('Disbursements Summary'!$E:$E,'Disbursements Summary'!$C:$C,$C115,'Disbursements Summary'!$A:$A,"NYSTA")</f>
        <v>0</v>
      </c>
      <c r="EJ115" s="55">
        <f>SUMIFS('Awards Summary'!$H:$H,'Awards Summary'!$B:$B,$C115,'Awards Summary'!$J:$J,"NFWB")</f>
        <v>0</v>
      </c>
      <c r="EK115" s="55">
        <f>SUMIFS('Disbursements Summary'!$E:$E,'Disbursements Summary'!$C:$C,$C115,'Disbursements Summary'!$A:$A,"NFWB")</f>
        <v>0</v>
      </c>
      <c r="EL115" s="55">
        <f>SUMIFS('Awards Summary'!$H:$H,'Awards Summary'!$B:$B,$C115,'Awards Summary'!$J:$J,"NFTA")</f>
        <v>0</v>
      </c>
      <c r="EM115" s="55">
        <f>SUMIFS('Disbursements Summary'!$E:$E,'Disbursements Summary'!$C:$C,$C115,'Disbursements Summary'!$A:$A,"NFTA")</f>
        <v>0</v>
      </c>
      <c r="EN115" s="55">
        <f>SUMIFS('Awards Summary'!$H:$H,'Awards Summary'!$B:$B,$C115,'Awards Summary'!$J:$J,"OPWDD")</f>
        <v>0</v>
      </c>
      <c r="EO115" s="55">
        <f>SUMIFS('Disbursements Summary'!$E:$E,'Disbursements Summary'!$C:$C,$C115,'Disbursements Summary'!$A:$A,"OPWDD")</f>
        <v>0</v>
      </c>
      <c r="EP115" s="55">
        <f>SUMIFS('Awards Summary'!$H:$H,'Awards Summary'!$B:$B,$C115,'Awards Summary'!$J:$J,"AGING")</f>
        <v>0</v>
      </c>
      <c r="EQ115" s="55">
        <f>SUMIFS('Disbursements Summary'!$E:$E,'Disbursements Summary'!$C:$C,$C115,'Disbursements Summary'!$A:$A,"AGING")</f>
        <v>0</v>
      </c>
      <c r="ER115" s="55">
        <f>SUMIFS('Awards Summary'!$H:$H,'Awards Summary'!$B:$B,$C115,'Awards Summary'!$J:$J,"OPDV")</f>
        <v>0</v>
      </c>
      <c r="ES115" s="55">
        <f>SUMIFS('Disbursements Summary'!$E:$E,'Disbursements Summary'!$C:$C,$C115,'Disbursements Summary'!$A:$A,"OPDV")</f>
        <v>0</v>
      </c>
      <c r="ET115" s="55">
        <f>SUMIFS('Awards Summary'!$H:$H,'Awards Summary'!$B:$B,$C115,'Awards Summary'!$J:$J,"OVS")</f>
        <v>0</v>
      </c>
      <c r="EU115" s="55">
        <f>SUMIFS('Disbursements Summary'!$E:$E,'Disbursements Summary'!$C:$C,$C115,'Disbursements Summary'!$A:$A,"OVS")</f>
        <v>0</v>
      </c>
      <c r="EV115" s="55">
        <f>SUMIFS('Awards Summary'!$H:$H,'Awards Summary'!$B:$B,$C115,'Awards Summary'!$J:$J,"OASAS")</f>
        <v>0</v>
      </c>
      <c r="EW115" s="55">
        <f>SUMIFS('Disbursements Summary'!$E:$E,'Disbursements Summary'!$C:$C,$C115,'Disbursements Summary'!$A:$A,"OASAS")</f>
        <v>0</v>
      </c>
      <c r="EX115" s="55">
        <f>SUMIFS('Awards Summary'!$H:$H,'Awards Summary'!$B:$B,$C115,'Awards Summary'!$J:$J,"OCFS")</f>
        <v>0</v>
      </c>
      <c r="EY115" s="55">
        <f>SUMIFS('Disbursements Summary'!$E:$E,'Disbursements Summary'!$C:$C,$C115,'Disbursements Summary'!$A:$A,"OCFS")</f>
        <v>0</v>
      </c>
      <c r="EZ115" s="55">
        <f>SUMIFS('Awards Summary'!$H:$H,'Awards Summary'!$B:$B,$C115,'Awards Summary'!$J:$J,"OGS")</f>
        <v>0</v>
      </c>
      <c r="FA115" s="55">
        <f>SUMIFS('Disbursements Summary'!$E:$E,'Disbursements Summary'!$C:$C,$C115,'Disbursements Summary'!$A:$A,"OGS")</f>
        <v>0</v>
      </c>
      <c r="FB115" s="55">
        <f>SUMIFS('Awards Summary'!$H:$H,'Awards Summary'!$B:$B,$C115,'Awards Summary'!$J:$J,"OMH")</f>
        <v>0</v>
      </c>
      <c r="FC115" s="55">
        <f>SUMIFS('Disbursements Summary'!$E:$E,'Disbursements Summary'!$C:$C,$C115,'Disbursements Summary'!$A:$A,"OMH")</f>
        <v>0</v>
      </c>
      <c r="FD115" s="55">
        <f>SUMIFS('Awards Summary'!$H:$H,'Awards Summary'!$B:$B,$C115,'Awards Summary'!$J:$J,"PARKS")</f>
        <v>0</v>
      </c>
      <c r="FE115" s="55">
        <f>SUMIFS('Disbursements Summary'!$E:$E,'Disbursements Summary'!$C:$C,$C115,'Disbursements Summary'!$A:$A,"PARKS")</f>
        <v>0</v>
      </c>
      <c r="FF115" s="55">
        <f>SUMIFS('Awards Summary'!$H:$H,'Awards Summary'!$B:$B,$C115,'Awards Summary'!$J:$J,"OTDA")</f>
        <v>0</v>
      </c>
      <c r="FG115" s="55">
        <f>SUMIFS('Disbursements Summary'!$E:$E,'Disbursements Summary'!$C:$C,$C115,'Disbursements Summary'!$A:$A,"OTDA")</f>
        <v>0</v>
      </c>
      <c r="FH115" s="55">
        <f>SUMIFS('Awards Summary'!$H:$H,'Awards Summary'!$B:$B,$C115,'Awards Summary'!$J:$J,"OIG")</f>
        <v>0</v>
      </c>
      <c r="FI115" s="55">
        <f>SUMIFS('Disbursements Summary'!$E:$E,'Disbursements Summary'!$C:$C,$C115,'Disbursements Summary'!$A:$A,"OIG")</f>
        <v>0</v>
      </c>
      <c r="FJ115" s="55">
        <f>SUMIFS('Awards Summary'!$H:$H,'Awards Summary'!$B:$B,$C115,'Awards Summary'!$J:$J,"OMIG")</f>
        <v>0</v>
      </c>
      <c r="FK115" s="55">
        <f>SUMIFS('Disbursements Summary'!$E:$E,'Disbursements Summary'!$C:$C,$C115,'Disbursements Summary'!$A:$A,"OMIG")</f>
        <v>0</v>
      </c>
      <c r="FL115" s="55">
        <f>SUMIFS('Awards Summary'!$H:$H,'Awards Summary'!$B:$B,$C115,'Awards Summary'!$J:$J,"OSC")</f>
        <v>0</v>
      </c>
      <c r="FM115" s="55">
        <f>SUMIFS('Disbursements Summary'!$E:$E,'Disbursements Summary'!$C:$C,$C115,'Disbursements Summary'!$A:$A,"OSC")</f>
        <v>0</v>
      </c>
      <c r="FN115" s="55">
        <f>SUMIFS('Awards Summary'!$H:$H,'Awards Summary'!$B:$B,$C115,'Awards Summary'!$J:$J,"OWIG")</f>
        <v>0</v>
      </c>
      <c r="FO115" s="55">
        <f>SUMIFS('Disbursements Summary'!$E:$E,'Disbursements Summary'!$C:$C,$C115,'Disbursements Summary'!$A:$A,"OWIG")</f>
        <v>0</v>
      </c>
      <c r="FP115" s="55">
        <f>SUMIFS('Awards Summary'!$H:$H,'Awards Summary'!$B:$B,$C115,'Awards Summary'!$J:$J,"OGDEN")</f>
        <v>0</v>
      </c>
      <c r="FQ115" s="55">
        <f>SUMIFS('Disbursements Summary'!$E:$E,'Disbursements Summary'!$C:$C,$C115,'Disbursements Summary'!$A:$A,"OGDEN")</f>
        <v>0</v>
      </c>
      <c r="FR115" s="55">
        <f>SUMIFS('Awards Summary'!$H:$H,'Awards Summary'!$B:$B,$C115,'Awards Summary'!$J:$J,"ORDA")</f>
        <v>0</v>
      </c>
      <c r="FS115" s="55">
        <f>SUMIFS('Disbursements Summary'!$E:$E,'Disbursements Summary'!$C:$C,$C115,'Disbursements Summary'!$A:$A,"ORDA")</f>
        <v>0</v>
      </c>
      <c r="FT115" s="55">
        <f>SUMIFS('Awards Summary'!$H:$H,'Awards Summary'!$B:$B,$C115,'Awards Summary'!$J:$J,"OSWEGO")</f>
        <v>0</v>
      </c>
      <c r="FU115" s="55">
        <f>SUMIFS('Disbursements Summary'!$E:$E,'Disbursements Summary'!$C:$C,$C115,'Disbursements Summary'!$A:$A,"OSWEGO")</f>
        <v>0</v>
      </c>
      <c r="FV115" s="55">
        <f>SUMIFS('Awards Summary'!$H:$H,'Awards Summary'!$B:$B,$C115,'Awards Summary'!$J:$J,"PERB")</f>
        <v>0</v>
      </c>
      <c r="FW115" s="55">
        <f>SUMIFS('Disbursements Summary'!$E:$E,'Disbursements Summary'!$C:$C,$C115,'Disbursements Summary'!$A:$A,"PERB")</f>
        <v>0</v>
      </c>
      <c r="FX115" s="55">
        <f>SUMIFS('Awards Summary'!$H:$H,'Awards Summary'!$B:$B,$C115,'Awards Summary'!$J:$J,"RGRTA")</f>
        <v>0</v>
      </c>
      <c r="FY115" s="55">
        <f>SUMIFS('Disbursements Summary'!$E:$E,'Disbursements Summary'!$C:$C,$C115,'Disbursements Summary'!$A:$A,"RGRTA")</f>
        <v>0</v>
      </c>
      <c r="FZ115" s="55">
        <f>SUMIFS('Awards Summary'!$H:$H,'Awards Summary'!$B:$B,$C115,'Awards Summary'!$J:$J,"RIOC")</f>
        <v>0</v>
      </c>
      <c r="GA115" s="55">
        <f>SUMIFS('Disbursements Summary'!$E:$E,'Disbursements Summary'!$C:$C,$C115,'Disbursements Summary'!$A:$A,"RIOC")</f>
        <v>0</v>
      </c>
      <c r="GB115" s="55">
        <f>SUMIFS('Awards Summary'!$H:$H,'Awards Summary'!$B:$B,$C115,'Awards Summary'!$J:$J,"RPCI")</f>
        <v>0</v>
      </c>
      <c r="GC115" s="55">
        <f>SUMIFS('Disbursements Summary'!$E:$E,'Disbursements Summary'!$C:$C,$C115,'Disbursements Summary'!$A:$A,"RPCI")</f>
        <v>0</v>
      </c>
      <c r="GD115" s="55">
        <f>SUMIFS('Awards Summary'!$H:$H,'Awards Summary'!$B:$B,$C115,'Awards Summary'!$J:$J,"SMDA")</f>
        <v>0</v>
      </c>
      <c r="GE115" s="55">
        <f>SUMIFS('Disbursements Summary'!$E:$E,'Disbursements Summary'!$C:$C,$C115,'Disbursements Summary'!$A:$A,"SMDA")</f>
        <v>0</v>
      </c>
      <c r="GF115" s="55">
        <f>SUMIFS('Awards Summary'!$H:$H,'Awards Summary'!$B:$B,$C115,'Awards Summary'!$J:$J,"SCOC")</f>
        <v>0</v>
      </c>
      <c r="GG115" s="55">
        <f>SUMIFS('Disbursements Summary'!$E:$E,'Disbursements Summary'!$C:$C,$C115,'Disbursements Summary'!$A:$A,"SCOC")</f>
        <v>0</v>
      </c>
      <c r="GH115" s="55">
        <f>SUMIFS('Awards Summary'!$H:$H,'Awards Summary'!$B:$B,$C115,'Awards Summary'!$J:$J,"SUCF")</f>
        <v>0</v>
      </c>
      <c r="GI115" s="55">
        <f>SUMIFS('Disbursements Summary'!$E:$E,'Disbursements Summary'!$C:$C,$C115,'Disbursements Summary'!$A:$A,"SUCF")</f>
        <v>0</v>
      </c>
      <c r="GJ115" s="55">
        <f>SUMIFS('Awards Summary'!$H:$H,'Awards Summary'!$B:$B,$C115,'Awards Summary'!$J:$J,"SUNY")</f>
        <v>0</v>
      </c>
      <c r="GK115" s="55">
        <f>SUMIFS('Disbursements Summary'!$E:$E,'Disbursements Summary'!$C:$C,$C115,'Disbursements Summary'!$A:$A,"SUNY")</f>
        <v>0</v>
      </c>
      <c r="GL115" s="55">
        <f>SUMIFS('Awards Summary'!$H:$H,'Awards Summary'!$B:$B,$C115,'Awards Summary'!$J:$J,"SRAA")</f>
        <v>0</v>
      </c>
      <c r="GM115" s="55">
        <f>SUMIFS('Disbursements Summary'!$E:$E,'Disbursements Summary'!$C:$C,$C115,'Disbursements Summary'!$A:$A,"SRAA")</f>
        <v>0</v>
      </c>
      <c r="GN115" s="55">
        <f>SUMIFS('Awards Summary'!$H:$H,'Awards Summary'!$B:$B,$C115,'Awards Summary'!$J:$J,"UNDC")</f>
        <v>0</v>
      </c>
      <c r="GO115" s="55">
        <f>SUMIFS('Disbursements Summary'!$E:$E,'Disbursements Summary'!$C:$C,$C115,'Disbursements Summary'!$A:$A,"UNDC")</f>
        <v>0</v>
      </c>
      <c r="GP115" s="55">
        <f>SUMIFS('Awards Summary'!$H:$H,'Awards Summary'!$B:$B,$C115,'Awards Summary'!$J:$J,"MVWA")</f>
        <v>0</v>
      </c>
      <c r="GQ115" s="55">
        <f>SUMIFS('Disbursements Summary'!$E:$E,'Disbursements Summary'!$C:$C,$C115,'Disbursements Summary'!$A:$A,"MVWA")</f>
        <v>0</v>
      </c>
      <c r="GR115" s="55">
        <f>SUMIFS('Awards Summary'!$H:$H,'Awards Summary'!$B:$B,$C115,'Awards Summary'!$J:$J,"WMC")</f>
        <v>0</v>
      </c>
      <c r="GS115" s="55">
        <f>SUMIFS('Disbursements Summary'!$E:$E,'Disbursements Summary'!$C:$C,$C115,'Disbursements Summary'!$A:$A,"WMC")</f>
        <v>0</v>
      </c>
      <c r="GT115" s="55">
        <f>SUMIFS('Awards Summary'!$H:$H,'Awards Summary'!$B:$B,$C115,'Awards Summary'!$J:$J,"WCB")</f>
        <v>0</v>
      </c>
      <c r="GU115" s="55">
        <f>SUMIFS('Disbursements Summary'!$E:$E,'Disbursements Summary'!$C:$C,$C115,'Disbursements Summary'!$A:$A,"WCB")</f>
        <v>0</v>
      </c>
      <c r="GV115" s="32">
        <f t="shared" si="10"/>
        <v>0</v>
      </c>
      <c r="GW115" s="32">
        <f t="shared" si="11"/>
        <v>0</v>
      </c>
      <c r="GX115" s="30" t="b">
        <f t="shared" si="12"/>
        <v>1</v>
      </c>
      <c r="GY115" s="30" t="b">
        <f t="shared" si="13"/>
        <v>1</v>
      </c>
    </row>
    <row r="116" spans="1:207" s="30" customFormat="1">
      <c r="A116" s="22" t="str">
        <f t="shared" si="9"/>
        <v/>
      </c>
      <c r="B116" s="20" t="s">
        <v>246</v>
      </c>
      <c r="C116" s="16">
        <v>161278</v>
      </c>
      <c r="D116" s="26">
        <f>COUNTIF('Awards Summary'!B:B,"161278")</f>
        <v>0</v>
      </c>
      <c r="E116" s="45">
        <f>SUMIFS('Awards Summary'!H:H,'Awards Summary'!B:B,"161278")</f>
        <v>0</v>
      </c>
      <c r="F116" s="46">
        <f>SUMIFS('Disbursements Summary'!E:E,'Disbursements Summary'!C:C, "161278")</f>
        <v>0</v>
      </c>
      <c r="H116" s="55">
        <f>SUMIFS('Awards Summary'!$H:$H,'Awards Summary'!$B:$B,$C116,'Awards Summary'!$J:$J,"APA")</f>
        <v>0</v>
      </c>
      <c r="I116" s="55">
        <f>SUMIFS('Disbursements Summary'!$E:$E,'Disbursements Summary'!$C:$C,$C116,'Disbursements Summary'!$A:$A,"APA")</f>
        <v>0</v>
      </c>
      <c r="J116" s="55">
        <f>SUMIFS('Awards Summary'!$H:$H,'Awards Summary'!$B:$B,$C116,'Awards Summary'!$J:$J,"Ag&amp;Horse")</f>
        <v>0</v>
      </c>
      <c r="K116" s="55">
        <f>SUMIFS('Disbursements Summary'!$E:$E,'Disbursements Summary'!$C:$C,$C116,'Disbursements Summary'!$A:$A,"Ag&amp;Horse")</f>
        <v>0</v>
      </c>
      <c r="L116" s="55">
        <f>SUMIFS('Awards Summary'!$H:$H,'Awards Summary'!$B:$B,$C116,'Awards Summary'!$J:$J,"ACAA")</f>
        <v>0</v>
      </c>
      <c r="M116" s="55">
        <f>SUMIFS('Disbursements Summary'!$E:$E,'Disbursements Summary'!$C:$C,$C116,'Disbursements Summary'!$A:$A,"ACAA")</f>
        <v>0</v>
      </c>
      <c r="N116" s="55">
        <f>SUMIFS('Awards Summary'!$H:$H,'Awards Summary'!$B:$B,$C116,'Awards Summary'!$J:$J,"PortAlbany")</f>
        <v>0</v>
      </c>
      <c r="O116" s="55">
        <f>SUMIFS('Disbursements Summary'!$E:$E,'Disbursements Summary'!$C:$C,$C116,'Disbursements Summary'!$A:$A,"PortAlbany")</f>
        <v>0</v>
      </c>
      <c r="P116" s="55">
        <f>SUMIFS('Awards Summary'!$H:$H,'Awards Summary'!$B:$B,$C116,'Awards Summary'!$J:$J,"SLA")</f>
        <v>0</v>
      </c>
      <c r="Q116" s="55">
        <f>SUMIFS('Disbursements Summary'!$E:$E,'Disbursements Summary'!$C:$C,$C116,'Disbursements Summary'!$A:$A,"SLA")</f>
        <v>0</v>
      </c>
      <c r="R116" s="55">
        <f>SUMIFS('Awards Summary'!$H:$H,'Awards Summary'!$B:$B,$C116,'Awards Summary'!$J:$J,"BPCA")</f>
        <v>0</v>
      </c>
      <c r="S116" s="55">
        <f>SUMIFS('Disbursements Summary'!$E:$E,'Disbursements Summary'!$C:$C,$C116,'Disbursements Summary'!$A:$A,"BPCA")</f>
        <v>0</v>
      </c>
      <c r="T116" s="55">
        <f>SUMIFS('Awards Summary'!$H:$H,'Awards Summary'!$B:$B,$C116,'Awards Summary'!$J:$J,"ELECTIONS")</f>
        <v>0</v>
      </c>
      <c r="U116" s="55">
        <f>SUMIFS('Disbursements Summary'!$E:$E,'Disbursements Summary'!$C:$C,$C116,'Disbursements Summary'!$A:$A,"ELECTIONS")</f>
        <v>0</v>
      </c>
      <c r="V116" s="55">
        <f>SUMIFS('Awards Summary'!$H:$H,'Awards Summary'!$B:$B,$C116,'Awards Summary'!$J:$J,"BFSA")</f>
        <v>0</v>
      </c>
      <c r="W116" s="55">
        <f>SUMIFS('Disbursements Summary'!$E:$E,'Disbursements Summary'!$C:$C,$C116,'Disbursements Summary'!$A:$A,"BFSA")</f>
        <v>0</v>
      </c>
      <c r="X116" s="55">
        <f>SUMIFS('Awards Summary'!$H:$H,'Awards Summary'!$B:$B,$C116,'Awards Summary'!$J:$J,"CDTA")</f>
        <v>0</v>
      </c>
      <c r="Y116" s="55">
        <f>SUMIFS('Disbursements Summary'!$E:$E,'Disbursements Summary'!$C:$C,$C116,'Disbursements Summary'!$A:$A,"CDTA")</f>
        <v>0</v>
      </c>
      <c r="Z116" s="55">
        <f>SUMIFS('Awards Summary'!$H:$H,'Awards Summary'!$B:$B,$C116,'Awards Summary'!$J:$J,"CCWSA")</f>
        <v>0</v>
      </c>
      <c r="AA116" s="55">
        <f>SUMIFS('Disbursements Summary'!$E:$E,'Disbursements Summary'!$C:$C,$C116,'Disbursements Summary'!$A:$A,"CCWSA")</f>
        <v>0</v>
      </c>
      <c r="AB116" s="55">
        <f>SUMIFS('Awards Summary'!$H:$H,'Awards Summary'!$B:$B,$C116,'Awards Summary'!$J:$J,"CNYRTA")</f>
        <v>0</v>
      </c>
      <c r="AC116" s="55">
        <f>SUMIFS('Disbursements Summary'!$E:$E,'Disbursements Summary'!$C:$C,$C116,'Disbursements Summary'!$A:$A,"CNYRTA")</f>
        <v>0</v>
      </c>
      <c r="AD116" s="55">
        <f>SUMIFS('Awards Summary'!$H:$H,'Awards Summary'!$B:$B,$C116,'Awards Summary'!$J:$J,"CUCF")</f>
        <v>0</v>
      </c>
      <c r="AE116" s="55">
        <f>SUMIFS('Disbursements Summary'!$E:$E,'Disbursements Summary'!$C:$C,$C116,'Disbursements Summary'!$A:$A,"CUCF")</f>
        <v>0</v>
      </c>
      <c r="AF116" s="55">
        <f>SUMIFS('Awards Summary'!$H:$H,'Awards Summary'!$B:$B,$C116,'Awards Summary'!$J:$J,"CUNY")</f>
        <v>0</v>
      </c>
      <c r="AG116" s="55">
        <f>SUMIFS('Disbursements Summary'!$E:$E,'Disbursements Summary'!$C:$C,$C116,'Disbursements Summary'!$A:$A,"CUNY")</f>
        <v>0</v>
      </c>
      <c r="AH116" s="55">
        <f>SUMIFS('Awards Summary'!$H:$H,'Awards Summary'!$B:$B,$C116,'Awards Summary'!$J:$J,"ARTS")</f>
        <v>0</v>
      </c>
      <c r="AI116" s="55">
        <f>SUMIFS('Disbursements Summary'!$E:$E,'Disbursements Summary'!$C:$C,$C116,'Disbursements Summary'!$A:$A,"ARTS")</f>
        <v>0</v>
      </c>
      <c r="AJ116" s="55">
        <f>SUMIFS('Awards Summary'!$H:$H,'Awards Summary'!$B:$B,$C116,'Awards Summary'!$J:$J,"AG&amp;MKTS")</f>
        <v>0</v>
      </c>
      <c r="AK116" s="55">
        <f>SUMIFS('Disbursements Summary'!$E:$E,'Disbursements Summary'!$C:$C,$C116,'Disbursements Summary'!$A:$A,"AG&amp;MKTS")</f>
        <v>0</v>
      </c>
      <c r="AL116" s="55">
        <f>SUMIFS('Awards Summary'!$H:$H,'Awards Summary'!$B:$B,$C116,'Awards Summary'!$J:$J,"CS")</f>
        <v>0</v>
      </c>
      <c r="AM116" s="55">
        <f>SUMIFS('Disbursements Summary'!$E:$E,'Disbursements Summary'!$C:$C,$C116,'Disbursements Summary'!$A:$A,"CS")</f>
        <v>0</v>
      </c>
      <c r="AN116" s="55">
        <f>SUMIFS('Awards Summary'!$H:$H,'Awards Summary'!$B:$B,$C116,'Awards Summary'!$J:$J,"DOCCS")</f>
        <v>0</v>
      </c>
      <c r="AO116" s="55">
        <f>SUMIFS('Disbursements Summary'!$E:$E,'Disbursements Summary'!$C:$C,$C116,'Disbursements Summary'!$A:$A,"DOCCS")</f>
        <v>0</v>
      </c>
      <c r="AP116" s="55">
        <f>SUMIFS('Awards Summary'!$H:$H,'Awards Summary'!$B:$B,$C116,'Awards Summary'!$J:$J,"DED")</f>
        <v>0</v>
      </c>
      <c r="AQ116" s="55">
        <f>SUMIFS('Disbursements Summary'!$E:$E,'Disbursements Summary'!$C:$C,$C116,'Disbursements Summary'!$A:$A,"DED")</f>
        <v>0</v>
      </c>
      <c r="AR116" s="55">
        <f>SUMIFS('Awards Summary'!$H:$H,'Awards Summary'!$B:$B,$C116,'Awards Summary'!$J:$J,"DEC")</f>
        <v>0</v>
      </c>
      <c r="AS116" s="55">
        <f>SUMIFS('Disbursements Summary'!$E:$E,'Disbursements Summary'!$C:$C,$C116,'Disbursements Summary'!$A:$A,"DEC")</f>
        <v>0</v>
      </c>
      <c r="AT116" s="55">
        <f>SUMIFS('Awards Summary'!$H:$H,'Awards Summary'!$B:$B,$C116,'Awards Summary'!$J:$J,"DFS")</f>
        <v>0</v>
      </c>
      <c r="AU116" s="55">
        <f>SUMIFS('Disbursements Summary'!$E:$E,'Disbursements Summary'!$C:$C,$C116,'Disbursements Summary'!$A:$A,"DFS")</f>
        <v>0</v>
      </c>
      <c r="AV116" s="55">
        <f>SUMIFS('Awards Summary'!$H:$H,'Awards Summary'!$B:$B,$C116,'Awards Summary'!$J:$J,"DOH")</f>
        <v>0</v>
      </c>
      <c r="AW116" s="55">
        <f>SUMIFS('Disbursements Summary'!$E:$E,'Disbursements Summary'!$C:$C,$C116,'Disbursements Summary'!$A:$A,"DOH")</f>
        <v>0</v>
      </c>
      <c r="AX116" s="55">
        <f>SUMIFS('Awards Summary'!$H:$H,'Awards Summary'!$B:$B,$C116,'Awards Summary'!$J:$J,"DOL")</f>
        <v>0</v>
      </c>
      <c r="AY116" s="55">
        <f>SUMIFS('Disbursements Summary'!$E:$E,'Disbursements Summary'!$C:$C,$C116,'Disbursements Summary'!$A:$A,"DOL")</f>
        <v>0</v>
      </c>
      <c r="AZ116" s="55">
        <f>SUMIFS('Awards Summary'!$H:$H,'Awards Summary'!$B:$B,$C116,'Awards Summary'!$J:$J,"DMV")</f>
        <v>0</v>
      </c>
      <c r="BA116" s="55">
        <f>SUMIFS('Disbursements Summary'!$E:$E,'Disbursements Summary'!$C:$C,$C116,'Disbursements Summary'!$A:$A,"DMV")</f>
        <v>0</v>
      </c>
      <c r="BB116" s="55">
        <f>SUMIFS('Awards Summary'!$H:$H,'Awards Summary'!$B:$B,$C116,'Awards Summary'!$J:$J,"DPS")</f>
        <v>0</v>
      </c>
      <c r="BC116" s="55">
        <f>SUMIFS('Disbursements Summary'!$E:$E,'Disbursements Summary'!$C:$C,$C116,'Disbursements Summary'!$A:$A,"DPS")</f>
        <v>0</v>
      </c>
      <c r="BD116" s="55">
        <f>SUMIFS('Awards Summary'!$H:$H,'Awards Summary'!$B:$B,$C116,'Awards Summary'!$J:$J,"DOS")</f>
        <v>0</v>
      </c>
      <c r="BE116" s="55">
        <f>SUMIFS('Disbursements Summary'!$E:$E,'Disbursements Summary'!$C:$C,$C116,'Disbursements Summary'!$A:$A,"DOS")</f>
        <v>0</v>
      </c>
      <c r="BF116" s="55">
        <f>SUMIFS('Awards Summary'!$H:$H,'Awards Summary'!$B:$B,$C116,'Awards Summary'!$J:$J,"TAX")</f>
        <v>0</v>
      </c>
      <c r="BG116" s="55">
        <f>SUMIFS('Disbursements Summary'!$E:$E,'Disbursements Summary'!$C:$C,$C116,'Disbursements Summary'!$A:$A,"TAX")</f>
        <v>0</v>
      </c>
      <c r="BH116" s="55">
        <f>SUMIFS('Awards Summary'!$H:$H,'Awards Summary'!$B:$B,$C116,'Awards Summary'!$J:$J,"DOT")</f>
        <v>0</v>
      </c>
      <c r="BI116" s="55">
        <f>SUMIFS('Disbursements Summary'!$E:$E,'Disbursements Summary'!$C:$C,$C116,'Disbursements Summary'!$A:$A,"DOT")</f>
        <v>0</v>
      </c>
      <c r="BJ116" s="55">
        <f>SUMIFS('Awards Summary'!$H:$H,'Awards Summary'!$B:$B,$C116,'Awards Summary'!$J:$J,"DANC")</f>
        <v>0</v>
      </c>
      <c r="BK116" s="55">
        <f>SUMIFS('Disbursements Summary'!$E:$E,'Disbursements Summary'!$C:$C,$C116,'Disbursements Summary'!$A:$A,"DANC")</f>
        <v>0</v>
      </c>
      <c r="BL116" s="55">
        <f>SUMIFS('Awards Summary'!$H:$H,'Awards Summary'!$B:$B,$C116,'Awards Summary'!$J:$J,"DOB")</f>
        <v>0</v>
      </c>
      <c r="BM116" s="55">
        <f>SUMIFS('Disbursements Summary'!$E:$E,'Disbursements Summary'!$C:$C,$C116,'Disbursements Summary'!$A:$A,"DOB")</f>
        <v>0</v>
      </c>
      <c r="BN116" s="55">
        <f>SUMIFS('Awards Summary'!$H:$H,'Awards Summary'!$B:$B,$C116,'Awards Summary'!$J:$J,"DCJS")</f>
        <v>0</v>
      </c>
      <c r="BO116" s="55">
        <f>SUMIFS('Disbursements Summary'!$E:$E,'Disbursements Summary'!$C:$C,$C116,'Disbursements Summary'!$A:$A,"DCJS")</f>
        <v>0</v>
      </c>
      <c r="BP116" s="55">
        <f>SUMIFS('Awards Summary'!$H:$H,'Awards Summary'!$B:$B,$C116,'Awards Summary'!$J:$J,"DHSES")</f>
        <v>0</v>
      </c>
      <c r="BQ116" s="55">
        <f>SUMIFS('Disbursements Summary'!$E:$E,'Disbursements Summary'!$C:$C,$C116,'Disbursements Summary'!$A:$A,"DHSES")</f>
        <v>0</v>
      </c>
      <c r="BR116" s="55">
        <f>SUMIFS('Awards Summary'!$H:$H,'Awards Summary'!$B:$B,$C116,'Awards Summary'!$J:$J,"DHR")</f>
        <v>0</v>
      </c>
      <c r="BS116" s="55">
        <f>SUMIFS('Disbursements Summary'!$E:$E,'Disbursements Summary'!$C:$C,$C116,'Disbursements Summary'!$A:$A,"DHR")</f>
        <v>0</v>
      </c>
      <c r="BT116" s="55">
        <f>SUMIFS('Awards Summary'!$H:$H,'Awards Summary'!$B:$B,$C116,'Awards Summary'!$J:$J,"DMNA")</f>
        <v>0</v>
      </c>
      <c r="BU116" s="55">
        <f>SUMIFS('Disbursements Summary'!$E:$E,'Disbursements Summary'!$C:$C,$C116,'Disbursements Summary'!$A:$A,"DMNA")</f>
        <v>0</v>
      </c>
      <c r="BV116" s="55">
        <f>SUMIFS('Awards Summary'!$H:$H,'Awards Summary'!$B:$B,$C116,'Awards Summary'!$J:$J,"TROOPERS")</f>
        <v>0</v>
      </c>
      <c r="BW116" s="55">
        <f>SUMIFS('Disbursements Summary'!$E:$E,'Disbursements Summary'!$C:$C,$C116,'Disbursements Summary'!$A:$A,"TROOPERS")</f>
        <v>0</v>
      </c>
      <c r="BX116" s="55">
        <f>SUMIFS('Awards Summary'!$H:$H,'Awards Summary'!$B:$B,$C116,'Awards Summary'!$J:$J,"DVA")</f>
        <v>0</v>
      </c>
      <c r="BY116" s="55">
        <f>SUMIFS('Disbursements Summary'!$E:$E,'Disbursements Summary'!$C:$C,$C116,'Disbursements Summary'!$A:$A,"DVA")</f>
        <v>0</v>
      </c>
      <c r="BZ116" s="55">
        <f>SUMIFS('Awards Summary'!$H:$H,'Awards Summary'!$B:$B,$C116,'Awards Summary'!$J:$J,"DASNY")</f>
        <v>0</v>
      </c>
      <c r="CA116" s="55">
        <f>SUMIFS('Disbursements Summary'!$E:$E,'Disbursements Summary'!$C:$C,$C116,'Disbursements Summary'!$A:$A,"DASNY")</f>
        <v>0</v>
      </c>
      <c r="CB116" s="55">
        <f>SUMIFS('Awards Summary'!$H:$H,'Awards Summary'!$B:$B,$C116,'Awards Summary'!$J:$J,"EGG")</f>
        <v>0</v>
      </c>
      <c r="CC116" s="55">
        <f>SUMIFS('Disbursements Summary'!$E:$E,'Disbursements Summary'!$C:$C,$C116,'Disbursements Summary'!$A:$A,"EGG")</f>
        <v>0</v>
      </c>
      <c r="CD116" s="55">
        <f>SUMIFS('Awards Summary'!$H:$H,'Awards Summary'!$B:$B,$C116,'Awards Summary'!$J:$J,"ESD")</f>
        <v>0</v>
      </c>
      <c r="CE116" s="55">
        <f>SUMIFS('Disbursements Summary'!$E:$E,'Disbursements Summary'!$C:$C,$C116,'Disbursements Summary'!$A:$A,"ESD")</f>
        <v>0</v>
      </c>
      <c r="CF116" s="55">
        <f>SUMIFS('Awards Summary'!$H:$H,'Awards Summary'!$B:$B,$C116,'Awards Summary'!$J:$J,"EFC")</f>
        <v>0</v>
      </c>
      <c r="CG116" s="55">
        <f>SUMIFS('Disbursements Summary'!$E:$E,'Disbursements Summary'!$C:$C,$C116,'Disbursements Summary'!$A:$A,"EFC")</f>
        <v>0</v>
      </c>
      <c r="CH116" s="55">
        <f>SUMIFS('Awards Summary'!$H:$H,'Awards Summary'!$B:$B,$C116,'Awards Summary'!$J:$J,"ECFSA")</f>
        <v>0</v>
      </c>
      <c r="CI116" s="55">
        <f>SUMIFS('Disbursements Summary'!$E:$E,'Disbursements Summary'!$C:$C,$C116,'Disbursements Summary'!$A:$A,"ECFSA")</f>
        <v>0</v>
      </c>
      <c r="CJ116" s="55">
        <f>SUMIFS('Awards Summary'!$H:$H,'Awards Summary'!$B:$B,$C116,'Awards Summary'!$J:$J,"ECMC")</f>
        <v>0</v>
      </c>
      <c r="CK116" s="55">
        <f>SUMIFS('Disbursements Summary'!$E:$E,'Disbursements Summary'!$C:$C,$C116,'Disbursements Summary'!$A:$A,"ECMC")</f>
        <v>0</v>
      </c>
      <c r="CL116" s="55">
        <f>SUMIFS('Awards Summary'!$H:$H,'Awards Summary'!$B:$B,$C116,'Awards Summary'!$J:$J,"CHAMBER")</f>
        <v>0</v>
      </c>
      <c r="CM116" s="55">
        <f>SUMIFS('Disbursements Summary'!$E:$E,'Disbursements Summary'!$C:$C,$C116,'Disbursements Summary'!$A:$A,"CHAMBER")</f>
        <v>0</v>
      </c>
      <c r="CN116" s="55">
        <f>SUMIFS('Awards Summary'!$H:$H,'Awards Summary'!$B:$B,$C116,'Awards Summary'!$J:$J,"GAMING")</f>
        <v>0</v>
      </c>
      <c r="CO116" s="55">
        <f>SUMIFS('Disbursements Summary'!$E:$E,'Disbursements Summary'!$C:$C,$C116,'Disbursements Summary'!$A:$A,"GAMING")</f>
        <v>0</v>
      </c>
      <c r="CP116" s="55">
        <f>SUMIFS('Awards Summary'!$H:$H,'Awards Summary'!$B:$B,$C116,'Awards Summary'!$J:$J,"GOER")</f>
        <v>0</v>
      </c>
      <c r="CQ116" s="55">
        <f>SUMIFS('Disbursements Summary'!$E:$E,'Disbursements Summary'!$C:$C,$C116,'Disbursements Summary'!$A:$A,"GOER")</f>
        <v>0</v>
      </c>
      <c r="CR116" s="55">
        <f>SUMIFS('Awards Summary'!$H:$H,'Awards Summary'!$B:$B,$C116,'Awards Summary'!$J:$J,"HESC")</f>
        <v>0</v>
      </c>
      <c r="CS116" s="55">
        <f>SUMIFS('Disbursements Summary'!$E:$E,'Disbursements Summary'!$C:$C,$C116,'Disbursements Summary'!$A:$A,"HESC")</f>
        <v>0</v>
      </c>
      <c r="CT116" s="55">
        <f>SUMIFS('Awards Summary'!$H:$H,'Awards Summary'!$B:$B,$C116,'Awards Summary'!$J:$J,"GOSR")</f>
        <v>0</v>
      </c>
      <c r="CU116" s="55">
        <f>SUMIFS('Disbursements Summary'!$E:$E,'Disbursements Summary'!$C:$C,$C116,'Disbursements Summary'!$A:$A,"GOSR")</f>
        <v>0</v>
      </c>
      <c r="CV116" s="55">
        <f>SUMIFS('Awards Summary'!$H:$H,'Awards Summary'!$B:$B,$C116,'Awards Summary'!$J:$J,"HRPT")</f>
        <v>0</v>
      </c>
      <c r="CW116" s="55">
        <f>SUMIFS('Disbursements Summary'!$E:$E,'Disbursements Summary'!$C:$C,$C116,'Disbursements Summary'!$A:$A,"HRPT")</f>
        <v>0</v>
      </c>
      <c r="CX116" s="55">
        <f>SUMIFS('Awards Summary'!$H:$H,'Awards Summary'!$B:$B,$C116,'Awards Summary'!$J:$J,"HRBRRD")</f>
        <v>0</v>
      </c>
      <c r="CY116" s="55">
        <f>SUMIFS('Disbursements Summary'!$E:$E,'Disbursements Summary'!$C:$C,$C116,'Disbursements Summary'!$A:$A,"HRBRRD")</f>
        <v>0</v>
      </c>
      <c r="CZ116" s="55">
        <f>SUMIFS('Awards Summary'!$H:$H,'Awards Summary'!$B:$B,$C116,'Awards Summary'!$J:$J,"ITS")</f>
        <v>0</v>
      </c>
      <c r="DA116" s="55">
        <f>SUMIFS('Disbursements Summary'!$E:$E,'Disbursements Summary'!$C:$C,$C116,'Disbursements Summary'!$A:$A,"ITS")</f>
        <v>0</v>
      </c>
      <c r="DB116" s="55">
        <f>SUMIFS('Awards Summary'!$H:$H,'Awards Summary'!$B:$B,$C116,'Awards Summary'!$J:$J,"JAVITS")</f>
        <v>0</v>
      </c>
      <c r="DC116" s="55">
        <f>SUMIFS('Disbursements Summary'!$E:$E,'Disbursements Summary'!$C:$C,$C116,'Disbursements Summary'!$A:$A,"JAVITS")</f>
        <v>0</v>
      </c>
      <c r="DD116" s="55">
        <f>SUMIFS('Awards Summary'!$H:$H,'Awards Summary'!$B:$B,$C116,'Awards Summary'!$J:$J,"JCOPE")</f>
        <v>0</v>
      </c>
      <c r="DE116" s="55">
        <f>SUMIFS('Disbursements Summary'!$E:$E,'Disbursements Summary'!$C:$C,$C116,'Disbursements Summary'!$A:$A,"JCOPE")</f>
        <v>0</v>
      </c>
      <c r="DF116" s="55">
        <f>SUMIFS('Awards Summary'!$H:$H,'Awards Summary'!$B:$B,$C116,'Awards Summary'!$J:$J,"JUSTICE")</f>
        <v>0</v>
      </c>
      <c r="DG116" s="55">
        <f>SUMIFS('Disbursements Summary'!$E:$E,'Disbursements Summary'!$C:$C,$C116,'Disbursements Summary'!$A:$A,"JUSTICE")</f>
        <v>0</v>
      </c>
      <c r="DH116" s="55">
        <f>SUMIFS('Awards Summary'!$H:$H,'Awards Summary'!$B:$B,$C116,'Awards Summary'!$J:$J,"LCWSA")</f>
        <v>0</v>
      </c>
      <c r="DI116" s="55">
        <f>SUMIFS('Disbursements Summary'!$E:$E,'Disbursements Summary'!$C:$C,$C116,'Disbursements Summary'!$A:$A,"LCWSA")</f>
        <v>0</v>
      </c>
      <c r="DJ116" s="55">
        <f>SUMIFS('Awards Summary'!$H:$H,'Awards Summary'!$B:$B,$C116,'Awards Summary'!$J:$J,"LIPA")</f>
        <v>0</v>
      </c>
      <c r="DK116" s="55">
        <f>SUMIFS('Disbursements Summary'!$E:$E,'Disbursements Summary'!$C:$C,$C116,'Disbursements Summary'!$A:$A,"LIPA")</f>
        <v>0</v>
      </c>
      <c r="DL116" s="55">
        <f>SUMIFS('Awards Summary'!$H:$H,'Awards Summary'!$B:$B,$C116,'Awards Summary'!$J:$J,"MTA")</f>
        <v>0</v>
      </c>
      <c r="DM116" s="55">
        <f>SUMIFS('Disbursements Summary'!$E:$E,'Disbursements Summary'!$C:$C,$C116,'Disbursements Summary'!$A:$A,"MTA")</f>
        <v>0</v>
      </c>
      <c r="DN116" s="55">
        <f>SUMIFS('Awards Summary'!$H:$H,'Awards Summary'!$B:$B,$C116,'Awards Summary'!$J:$J,"NIFA")</f>
        <v>0</v>
      </c>
      <c r="DO116" s="55">
        <f>SUMIFS('Disbursements Summary'!$E:$E,'Disbursements Summary'!$C:$C,$C116,'Disbursements Summary'!$A:$A,"NIFA")</f>
        <v>0</v>
      </c>
      <c r="DP116" s="55">
        <f>SUMIFS('Awards Summary'!$H:$H,'Awards Summary'!$B:$B,$C116,'Awards Summary'!$J:$J,"NHCC")</f>
        <v>0</v>
      </c>
      <c r="DQ116" s="55">
        <f>SUMIFS('Disbursements Summary'!$E:$E,'Disbursements Summary'!$C:$C,$C116,'Disbursements Summary'!$A:$A,"NHCC")</f>
        <v>0</v>
      </c>
      <c r="DR116" s="55">
        <f>SUMIFS('Awards Summary'!$H:$H,'Awards Summary'!$B:$B,$C116,'Awards Summary'!$J:$J,"NHT")</f>
        <v>0</v>
      </c>
      <c r="DS116" s="55">
        <f>SUMIFS('Disbursements Summary'!$E:$E,'Disbursements Summary'!$C:$C,$C116,'Disbursements Summary'!$A:$A,"NHT")</f>
        <v>0</v>
      </c>
      <c r="DT116" s="55">
        <f>SUMIFS('Awards Summary'!$H:$H,'Awards Summary'!$B:$B,$C116,'Awards Summary'!$J:$J,"NYPA")</f>
        <v>0</v>
      </c>
      <c r="DU116" s="55">
        <f>SUMIFS('Disbursements Summary'!$E:$E,'Disbursements Summary'!$C:$C,$C116,'Disbursements Summary'!$A:$A,"NYPA")</f>
        <v>0</v>
      </c>
      <c r="DV116" s="55">
        <f>SUMIFS('Awards Summary'!$H:$H,'Awards Summary'!$B:$B,$C116,'Awards Summary'!$J:$J,"NYSBA")</f>
        <v>0</v>
      </c>
      <c r="DW116" s="55">
        <f>SUMIFS('Disbursements Summary'!$E:$E,'Disbursements Summary'!$C:$C,$C116,'Disbursements Summary'!$A:$A,"NYSBA")</f>
        <v>0</v>
      </c>
      <c r="DX116" s="55">
        <f>SUMIFS('Awards Summary'!$H:$H,'Awards Summary'!$B:$B,$C116,'Awards Summary'!$J:$J,"NYSERDA")</f>
        <v>0</v>
      </c>
      <c r="DY116" s="55">
        <f>SUMIFS('Disbursements Summary'!$E:$E,'Disbursements Summary'!$C:$C,$C116,'Disbursements Summary'!$A:$A,"NYSERDA")</f>
        <v>0</v>
      </c>
      <c r="DZ116" s="55">
        <f>SUMIFS('Awards Summary'!$H:$H,'Awards Summary'!$B:$B,$C116,'Awards Summary'!$J:$J,"DHCR")</f>
        <v>0</v>
      </c>
      <c r="EA116" s="55">
        <f>SUMIFS('Disbursements Summary'!$E:$E,'Disbursements Summary'!$C:$C,$C116,'Disbursements Summary'!$A:$A,"DHCR")</f>
        <v>0</v>
      </c>
      <c r="EB116" s="55">
        <f>SUMIFS('Awards Summary'!$H:$H,'Awards Summary'!$B:$B,$C116,'Awards Summary'!$J:$J,"HFA")</f>
        <v>0</v>
      </c>
      <c r="EC116" s="55">
        <f>SUMIFS('Disbursements Summary'!$E:$E,'Disbursements Summary'!$C:$C,$C116,'Disbursements Summary'!$A:$A,"HFA")</f>
        <v>0</v>
      </c>
      <c r="ED116" s="55">
        <f>SUMIFS('Awards Summary'!$H:$H,'Awards Summary'!$B:$B,$C116,'Awards Summary'!$J:$J,"NYSIF")</f>
        <v>0</v>
      </c>
      <c r="EE116" s="55">
        <f>SUMIFS('Disbursements Summary'!$E:$E,'Disbursements Summary'!$C:$C,$C116,'Disbursements Summary'!$A:$A,"NYSIF")</f>
        <v>0</v>
      </c>
      <c r="EF116" s="55">
        <f>SUMIFS('Awards Summary'!$H:$H,'Awards Summary'!$B:$B,$C116,'Awards Summary'!$J:$J,"NYBREDS")</f>
        <v>0</v>
      </c>
      <c r="EG116" s="55">
        <f>SUMIFS('Disbursements Summary'!$E:$E,'Disbursements Summary'!$C:$C,$C116,'Disbursements Summary'!$A:$A,"NYBREDS")</f>
        <v>0</v>
      </c>
      <c r="EH116" s="55">
        <f>SUMIFS('Awards Summary'!$H:$H,'Awards Summary'!$B:$B,$C116,'Awards Summary'!$J:$J,"NYSTA")</f>
        <v>0</v>
      </c>
      <c r="EI116" s="55">
        <f>SUMIFS('Disbursements Summary'!$E:$E,'Disbursements Summary'!$C:$C,$C116,'Disbursements Summary'!$A:$A,"NYSTA")</f>
        <v>0</v>
      </c>
      <c r="EJ116" s="55">
        <f>SUMIFS('Awards Summary'!$H:$H,'Awards Summary'!$B:$B,$C116,'Awards Summary'!$J:$J,"NFWB")</f>
        <v>0</v>
      </c>
      <c r="EK116" s="55">
        <f>SUMIFS('Disbursements Summary'!$E:$E,'Disbursements Summary'!$C:$C,$C116,'Disbursements Summary'!$A:$A,"NFWB")</f>
        <v>0</v>
      </c>
      <c r="EL116" s="55">
        <f>SUMIFS('Awards Summary'!$H:$H,'Awards Summary'!$B:$B,$C116,'Awards Summary'!$J:$J,"NFTA")</f>
        <v>0</v>
      </c>
      <c r="EM116" s="55">
        <f>SUMIFS('Disbursements Summary'!$E:$E,'Disbursements Summary'!$C:$C,$C116,'Disbursements Summary'!$A:$A,"NFTA")</f>
        <v>0</v>
      </c>
      <c r="EN116" s="55">
        <f>SUMIFS('Awards Summary'!$H:$H,'Awards Summary'!$B:$B,$C116,'Awards Summary'!$J:$J,"OPWDD")</f>
        <v>0</v>
      </c>
      <c r="EO116" s="55">
        <f>SUMIFS('Disbursements Summary'!$E:$E,'Disbursements Summary'!$C:$C,$C116,'Disbursements Summary'!$A:$A,"OPWDD")</f>
        <v>0</v>
      </c>
      <c r="EP116" s="55">
        <f>SUMIFS('Awards Summary'!$H:$H,'Awards Summary'!$B:$B,$C116,'Awards Summary'!$J:$J,"AGING")</f>
        <v>0</v>
      </c>
      <c r="EQ116" s="55">
        <f>SUMIFS('Disbursements Summary'!$E:$E,'Disbursements Summary'!$C:$C,$C116,'Disbursements Summary'!$A:$A,"AGING")</f>
        <v>0</v>
      </c>
      <c r="ER116" s="55">
        <f>SUMIFS('Awards Summary'!$H:$H,'Awards Summary'!$B:$B,$C116,'Awards Summary'!$J:$J,"OPDV")</f>
        <v>0</v>
      </c>
      <c r="ES116" s="55">
        <f>SUMIFS('Disbursements Summary'!$E:$E,'Disbursements Summary'!$C:$C,$C116,'Disbursements Summary'!$A:$A,"OPDV")</f>
        <v>0</v>
      </c>
      <c r="ET116" s="55">
        <f>SUMIFS('Awards Summary'!$H:$H,'Awards Summary'!$B:$B,$C116,'Awards Summary'!$J:$J,"OVS")</f>
        <v>0</v>
      </c>
      <c r="EU116" s="55">
        <f>SUMIFS('Disbursements Summary'!$E:$E,'Disbursements Summary'!$C:$C,$C116,'Disbursements Summary'!$A:$A,"OVS")</f>
        <v>0</v>
      </c>
      <c r="EV116" s="55">
        <f>SUMIFS('Awards Summary'!$H:$H,'Awards Summary'!$B:$B,$C116,'Awards Summary'!$J:$J,"OASAS")</f>
        <v>0</v>
      </c>
      <c r="EW116" s="55">
        <f>SUMIFS('Disbursements Summary'!$E:$E,'Disbursements Summary'!$C:$C,$C116,'Disbursements Summary'!$A:$A,"OASAS")</f>
        <v>0</v>
      </c>
      <c r="EX116" s="55">
        <f>SUMIFS('Awards Summary'!$H:$H,'Awards Summary'!$B:$B,$C116,'Awards Summary'!$J:$J,"OCFS")</f>
        <v>0</v>
      </c>
      <c r="EY116" s="55">
        <f>SUMIFS('Disbursements Summary'!$E:$E,'Disbursements Summary'!$C:$C,$C116,'Disbursements Summary'!$A:$A,"OCFS")</f>
        <v>0</v>
      </c>
      <c r="EZ116" s="55">
        <f>SUMIFS('Awards Summary'!$H:$H,'Awards Summary'!$B:$B,$C116,'Awards Summary'!$J:$J,"OGS")</f>
        <v>0</v>
      </c>
      <c r="FA116" s="55">
        <f>SUMIFS('Disbursements Summary'!$E:$E,'Disbursements Summary'!$C:$C,$C116,'Disbursements Summary'!$A:$A,"OGS")</f>
        <v>0</v>
      </c>
      <c r="FB116" s="55">
        <f>SUMIFS('Awards Summary'!$H:$H,'Awards Summary'!$B:$B,$C116,'Awards Summary'!$J:$J,"OMH")</f>
        <v>0</v>
      </c>
      <c r="FC116" s="55">
        <f>SUMIFS('Disbursements Summary'!$E:$E,'Disbursements Summary'!$C:$C,$C116,'Disbursements Summary'!$A:$A,"OMH")</f>
        <v>0</v>
      </c>
      <c r="FD116" s="55">
        <f>SUMIFS('Awards Summary'!$H:$H,'Awards Summary'!$B:$B,$C116,'Awards Summary'!$J:$J,"PARKS")</f>
        <v>0</v>
      </c>
      <c r="FE116" s="55">
        <f>SUMIFS('Disbursements Summary'!$E:$E,'Disbursements Summary'!$C:$C,$C116,'Disbursements Summary'!$A:$A,"PARKS")</f>
        <v>0</v>
      </c>
      <c r="FF116" s="55">
        <f>SUMIFS('Awards Summary'!$H:$H,'Awards Summary'!$B:$B,$C116,'Awards Summary'!$J:$J,"OTDA")</f>
        <v>0</v>
      </c>
      <c r="FG116" s="55">
        <f>SUMIFS('Disbursements Summary'!$E:$E,'Disbursements Summary'!$C:$C,$C116,'Disbursements Summary'!$A:$A,"OTDA")</f>
        <v>0</v>
      </c>
      <c r="FH116" s="55">
        <f>SUMIFS('Awards Summary'!$H:$H,'Awards Summary'!$B:$B,$C116,'Awards Summary'!$J:$J,"OIG")</f>
        <v>0</v>
      </c>
      <c r="FI116" s="55">
        <f>SUMIFS('Disbursements Summary'!$E:$E,'Disbursements Summary'!$C:$C,$C116,'Disbursements Summary'!$A:$A,"OIG")</f>
        <v>0</v>
      </c>
      <c r="FJ116" s="55">
        <f>SUMIFS('Awards Summary'!$H:$H,'Awards Summary'!$B:$B,$C116,'Awards Summary'!$J:$J,"OMIG")</f>
        <v>0</v>
      </c>
      <c r="FK116" s="55">
        <f>SUMIFS('Disbursements Summary'!$E:$E,'Disbursements Summary'!$C:$C,$C116,'Disbursements Summary'!$A:$A,"OMIG")</f>
        <v>0</v>
      </c>
      <c r="FL116" s="55">
        <f>SUMIFS('Awards Summary'!$H:$H,'Awards Summary'!$B:$B,$C116,'Awards Summary'!$J:$J,"OSC")</f>
        <v>0</v>
      </c>
      <c r="FM116" s="55">
        <f>SUMIFS('Disbursements Summary'!$E:$E,'Disbursements Summary'!$C:$C,$C116,'Disbursements Summary'!$A:$A,"OSC")</f>
        <v>0</v>
      </c>
      <c r="FN116" s="55">
        <f>SUMIFS('Awards Summary'!$H:$H,'Awards Summary'!$B:$B,$C116,'Awards Summary'!$J:$J,"OWIG")</f>
        <v>0</v>
      </c>
      <c r="FO116" s="55">
        <f>SUMIFS('Disbursements Summary'!$E:$E,'Disbursements Summary'!$C:$C,$C116,'Disbursements Summary'!$A:$A,"OWIG")</f>
        <v>0</v>
      </c>
      <c r="FP116" s="55">
        <f>SUMIFS('Awards Summary'!$H:$H,'Awards Summary'!$B:$B,$C116,'Awards Summary'!$J:$J,"OGDEN")</f>
        <v>0</v>
      </c>
      <c r="FQ116" s="55">
        <f>SUMIFS('Disbursements Summary'!$E:$E,'Disbursements Summary'!$C:$C,$C116,'Disbursements Summary'!$A:$A,"OGDEN")</f>
        <v>0</v>
      </c>
      <c r="FR116" s="55">
        <f>SUMIFS('Awards Summary'!$H:$H,'Awards Summary'!$B:$B,$C116,'Awards Summary'!$J:$J,"ORDA")</f>
        <v>0</v>
      </c>
      <c r="FS116" s="55">
        <f>SUMIFS('Disbursements Summary'!$E:$E,'Disbursements Summary'!$C:$C,$C116,'Disbursements Summary'!$A:$A,"ORDA")</f>
        <v>0</v>
      </c>
      <c r="FT116" s="55">
        <f>SUMIFS('Awards Summary'!$H:$H,'Awards Summary'!$B:$B,$C116,'Awards Summary'!$J:$J,"OSWEGO")</f>
        <v>0</v>
      </c>
      <c r="FU116" s="55">
        <f>SUMIFS('Disbursements Summary'!$E:$E,'Disbursements Summary'!$C:$C,$C116,'Disbursements Summary'!$A:$A,"OSWEGO")</f>
        <v>0</v>
      </c>
      <c r="FV116" s="55">
        <f>SUMIFS('Awards Summary'!$H:$H,'Awards Summary'!$B:$B,$C116,'Awards Summary'!$J:$J,"PERB")</f>
        <v>0</v>
      </c>
      <c r="FW116" s="55">
        <f>SUMIFS('Disbursements Summary'!$E:$E,'Disbursements Summary'!$C:$C,$C116,'Disbursements Summary'!$A:$A,"PERB")</f>
        <v>0</v>
      </c>
      <c r="FX116" s="55">
        <f>SUMIFS('Awards Summary'!$H:$H,'Awards Summary'!$B:$B,$C116,'Awards Summary'!$J:$J,"RGRTA")</f>
        <v>0</v>
      </c>
      <c r="FY116" s="55">
        <f>SUMIFS('Disbursements Summary'!$E:$E,'Disbursements Summary'!$C:$C,$C116,'Disbursements Summary'!$A:$A,"RGRTA")</f>
        <v>0</v>
      </c>
      <c r="FZ116" s="55">
        <f>SUMIFS('Awards Summary'!$H:$H,'Awards Summary'!$B:$B,$C116,'Awards Summary'!$J:$J,"RIOC")</f>
        <v>0</v>
      </c>
      <c r="GA116" s="55">
        <f>SUMIFS('Disbursements Summary'!$E:$E,'Disbursements Summary'!$C:$C,$C116,'Disbursements Summary'!$A:$A,"RIOC")</f>
        <v>0</v>
      </c>
      <c r="GB116" s="55">
        <f>SUMIFS('Awards Summary'!$H:$H,'Awards Summary'!$B:$B,$C116,'Awards Summary'!$J:$J,"RPCI")</f>
        <v>0</v>
      </c>
      <c r="GC116" s="55">
        <f>SUMIFS('Disbursements Summary'!$E:$E,'Disbursements Summary'!$C:$C,$C116,'Disbursements Summary'!$A:$A,"RPCI")</f>
        <v>0</v>
      </c>
      <c r="GD116" s="55">
        <f>SUMIFS('Awards Summary'!$H:$H,'Awards Summary'!$B:$B,$C116,'Awards Summary'!$J:$J,"SMDA")</f>
        <v>0</v>
      </c>
      <c r="GE116" s="55">
        <f>SUMIFS('Disbursements Summary'!$E:$E,'Disbursements Summary'!$C:$C,$C116,'Disbursements Summary'!$A:$A,"SMDA")</f>
        <v>0</v>
      </c>
      <c r="GF116" s="55">
        <f>SUMIFS('Awards Summary'!$H:$H,'Awards Summary'!$B:$B,$C116,'Awards Summary'!$J:$J,"SCOC")</f>
        <v>0</v>
      </c>
      <c r="GG116" s="55">
        <f>SUMIFS('Disbursements Summary'!$E:$E,'Disbursements Summary'!$C:$C,$C116,'Disbursements Summary'!$A:$A,"SCOC")</f>
        <v>0</v>
      </c>
      <c r="GH116" s="55">
        <f>SUMIFS('Awards Summary'!$H:$H,'Awards Summary'!$B:$B,$C116,'Awards Summary'!$J:$J,"SUCF")</f>
        <v>0</v>
      </c>
      <c r="GI116" s="55">
        <f>SUMIFS('Disbursements Summary'!$E:$E,'Disbursements Summary'!$C:$C,$C116,'Disbursements Summary'!$A:$A,"SUCF")</f>
        <v>0</v>
      </c>
      <c r="GJ116" s="55">
        <f>SUMIFS('Awards Summary'!$H:$H,'Awards Summary'!$B:$B,$C116,'Awards Summary'!$J:$J,"SUNY")</f>
        <v>0</v>
      </c>
      <c r="GK116" s="55">
        <f>SUMIFS('Disbursements Summary'!$E:$E,'Disbursements Summary'!$C:$C,$C116,'Disbursements Summary'!$A:$A,"SUNY")</f>
        <v>0</v>
      </c>
      <c r="GL116" s="55">
        <f>SUMIFS('Awards Summary'!$H:$H,'Awards Summary'!$B:$B,$C116,'Awards Summary'!$J:$J,"SRAA")</f>
        <v>0</v>
      </c>
      <c r="GM116" s="55">
        <f>SUMIFS('Disbursements Summary'!$E:$E,'Disbursements Summary'!$C:$C,$C116,'Disbursements Summary'!$A:$A,"SRAA")</f>
        <v>0</v>
      </c>
      <c r="GN116" s="55">
        <f>SUMIFS('Awards Summary'!$H:$H,'Awards Summary'!$B:$B,$C116,'Awards Summary'!$J:$J,"UNDC")</f>
        <v>0</v>
      </c>
      <c r="GO116" s="55">
        <f>SUMIFS('Disbursements Summary'!$E:$E,'Disbursements Summary'!$C:$C,$C116,'Disbursements Summary'!$A:$A,"UNDC")</f>
        <v>0</v>
      </c>
      <c r="GP116" s="55">
        <f>SUMIFS('Awards Summary'!$H:$H,'Awards Summary'!$B:$B,$C116,'Awards Summary'!$J:$J,"MVWA")</f>
        <v>0</v>
      </c>
      <c r="GQ116" s="55">
        <f>SUMIFS('Disbursements Summary'!$E:$E,'Disbursements Summary'!$C:$C,$C116,'Disbursements Summary'!$A:$A,"MVWA")</f>
        <v>0</v>
      </c>
      <c r="GR116" s="55">
        <f>SUMIFS('Awards Summary'!$H:$H,'Awards Summary'!$B:$B,$C116,'Awards Summary'!$J:$J,"WMC")</f>
        <v>0</v>
      </c>
      <c r="GS116" s="55">
        <f>SUMIFS('Disbursements Summary'!$E:$E,'Disbursements Summary'!$C:$C,$C116,'Disbursements Summary'!$A:$A,"WMC")</f>
        <v>0</v>
      </c>
      <c r="GT116" s="55">
        <f>SUMIFS('Awards Summary'!$H:$H,'Awards Summary'!$B:$B,$C116,'Awards Summary'!$J:$J,"WCB")</f>
        <v>0</v>
      </c>
      <c r="GU116" s="55">
        <f>SUMIFS('Disbursements Summary'!$E:$E,'Disbursements Summary'!$C:$C,$C116,'Disbursements Summary'!$A:$A,"WCB")</f>
        <v>0</v>
      </c>
      <c r="GV116" s="32">
        <f t="shared" si="10"/>
        <v>0</v>
      </c>
      <c r="GW116" s="32">
        <f t="shared" si="11"/>
        <v>0</v>
      </c>
      <c r="GX116" s="30" t="b">
        <f t="shared" si="12"/>
        <v>1</v>
      </c>
      <c r="GY116" s="30" t="b">
        <f t="shared" si="13"/>
        <v>1</v>
      </c>
    </row>
    <row r="117" spans="1:207" s="30" customFormat="1">
      <c r="A117" s="22" t="str">
        <f t="shared" si="9"/>
        <v/>
      </c>
      <c r="B117" s="40" t="s">
        <v>223</v>
      </c>
      <c r="C117" s="16">
        <v>161285</v>
      </c>
      <c r="D117" s="26">
        <f>COUNTIF('Awards Summary'!B:B,"161285")</f>
        <v>0</v>
      </c>
      <c r="E117" s="45">
        <f>SUMIFS('Awards Summary'!H:H,'Awards Summary'!B:B,"161285")</f>
        <v>0</v>
      </c>
      <c r="F117" s="46">
        <f>SUMIFS('Disbursements Summary'!E:E,'Disbursements Summary'!C:C, "161285")</f>
        <v>0</v>
      </c>
      <c r="H117" s="55">
        <f>SUMIFS('Awards Summary'!$H:$H,'Awards Summary'!$B:$B,$C117,'Awards Summary'!$J:$J,"APA")</f>
        <v>0</v>
      </c>
      <c r="I117" s="55">
        <f>SUMIFS('Disbursements Summary'!$E:$E,'Disbursements Summary'!$C:$C,$C117,'Disbursements Summary'!$A:$A,"APA")</f>
        <v>0</v>
      </c>
      <c r="J117" s="55">
        <f>SUMIFS('Awards Summary'!$H:$H,'Awards Summary'!$B:$B,$C117,'Awards Summary'!$J:$J,"Ag&amp;Horse")</f>
        <v>0</v>
      </c>
      <c r="K117" s="55">
        <f>SUMIFS('Disbursements Summary'!$E:$E,'Disbursements Summary'!$C:$C,$C117,'Disbursements Summary'!$A:$A,"Ag&amp;Horse")</f>
        <v>0</v>
      </c>
      <c r="L117" s="55">
        <f>SUMIFS('Awards Summary'!$H:$H,'Awards Summary'!$B:$B,$C117,'Awards Summary'!$J:$J,"ACAA")</f>
        <v>0</v>
      </c>
      <c r="M117" s="55">
        <f>SUMIFS('Disbursements Summary'!$E:$E,'Disbursements Summary'!$C:$C,$C117,'Disbursements Summary'!$A:$A,"ACAA")</f>
        <v>0</v>
      </c>
      <c r="N117" s="55">
        <f>SUMIFS('Awards Summary'!$H:$H,'Awards Summary'!$B:$B,$C117,'Awards Summary'!$J:$J,"PortAlbany")</f>
        <v>0</v>
      </c>
      <c r="O117" s="55">
        <f>SUMIFS('Disbursements Summary'!$E:$E,'Disbursements Summary'!$C:$C,$C117,'Disbursements Summary'!$A:$A,"PortAlbany")</f>
        <v>0</v>
      </c>
      <c r="P117" s="55">
        <f>SUMIFS('Awards Summary'!$H:$H,'Awards Summary'!$B:$B,$C117,'Awards Summary'!$J:$J,"SLA")</f>
        <v>0</v>
      </c>
      <c r="Q117" s="55">
        <f>SUMIFS('Disbursements Summary'!$E:$E,'Disbursements Summary'!$C:$C,$C117,'Disbursements Summary'!$A:$A,"SLA")</f>
        <v>0</v>
      </c>
      <c r="R117" s="55">
        <f>SUMIFS('Awards Summary'!$H:$H,'Awards Summary'!$B:$B,$C117,'Awards Summary'!$J:$J,"BPCA")</f>
        <v>0</v>
      </c>
      <c r="S117" s="55">
        <f>SUMIFS('Disbursements Summary'!$E:$E,'Disbursements Summary'!$C:$C,$C117,'Disbursements Summary'!$A:$A,"BPCA")</f>
        <v>0</v>
      </c>
      <c r="T117" s="55">
        <f>SUMIFS('Awards Summary'!$H:$H,'Awards Summary'!$B:$B,$C117,'Awards Summary'!$J:$J,"ELECTIONS")</f>
        <v>0</v>
      </c>
      <c r="U117" s="55">
        <f>SUMIFS('Disbursements Summary'!$E:$E,'Disbursements Summary'!$C:$C,$C117,'Disbursements Summary'!$A:$A,"ELECTIONS")</f>
        <v>0</v>
      </c>
      <c r="V117" s="55">
        <f>SUMIFS('Awards Summary'!$H:$H,'Awards Summary'!$B:$B,$C117,'Awards Summary'!$J:$J,"BFSA")</f>
        <v>0</v>
      </c>
      <c r="W117" s="55">
        <f>SUMIFS('Disbursements Summary'!$E:$E,'Disbursements Summary'!$C:$C,$C117,'Disbursements Summary'!$A:$A,"BFSA")</f>
        <v>0</v>
      </c>
      <c r="X117" s="55">
        <f>SUMIFS('Awards Summary'!$H:$H,'Awards Summary'!$B:$B,$C117,'Awards Summary'!$J:$J,"CDTA")</f>
        <v>0</v>
      </c>
      <c r="Y117" s="55">
        <f>SUMIFS('Disbursements Summary'!$E:$E,'Disbursements Summary'!$C:$C,$C117,'Disbursements Summary'!$A:$A,"CDTA")</f>
        <v>0</v>
      </c>
      <c r="Z117" s="55">
        <f>SUMIFS('Awards Summary'!$H:$H,'Awards Summary'!$B:$B,$C117,'Awards Summary'!$J:$J,"CCWSA")</f>
        <v>0</v>
      </c>
      <c r="AA117" s="55">
        <f>SUMIFS('Disbursements Summary'!$E:$E,'Disbursements Summary'!$C:$C,$C117,'Disbursements Summary'!$A:$A,"CCWSA")</f>
        <v>0</v>
      </c>
      <c r="AB117" s="55">
        <f>SUMIFS('Awards Summary'!$H:$H,'Awards Summary'!$B:$B,$C117,'Awards Summary'!$J:$J,"CNYRTA")</f>
        <v>0</v>
      </c>
      <c r="AC117" s="55">
        <f>SUMIFS('Disbursements Summary'!$E:$E,'Disbursements Summary'!$C:$C,$C117,'Disbursements Summary'!$A:$A,"CNYRTA")</f>
        <v>0</v>
      </c>
      <c r="AD117" s="55">
        <f>SUMIFS('Awards Summary'!$H:$H,'Awards Summary'!$B:$B,$C117,'Awards Summary'!$J:$J,"CUCF")</f>
        <v>0</v>
      </c>
      <c r="AE117" s="55">
        <f>SUMIFS('Disbursements Summary'!$E:$E,'Disbursements Summary'!$C:$C,$C117,'Disbursements Summary'!$A:$A,"CUCF")</f>
        <v>0</v>
      </c>
      <c r="AF117" s="55">
        <f>SUMIFS('Awards Summary'!$H:$H,'Awards Summary'!$B:$B,$C117,'Awards Summary'!$J:$J,"CUNY")</f>
        <v>0</v>
      </c>
      <c r="AG117" s="55">
        <f>SUMIFS('Disbursements Summary'!$E:$E,'Disbursements Summary'!$C:$C,$C117,'Disbursements Summary'!$A:$A,"CUNY")</f>
        <v>0</v>
      </c>
      <c r="AH117" s="55">
        <f>SUMIFS('Awards Summary'!$H:$H,'Awards Summary'!$B:$B,$C117,'Awards Summary'!$J:$J,"ARTS")</f>
        <v>0</v>
      </c>
      <c r="AI117" s="55">
        <f>SUMIFS('Disbursements Summary'!$E:$E,'Disbursements Summary'!$C:$C,$C117,'Disbursements Summary'!$A:$A,"ARTS")</f>
        <v>0</v>
      </c>
      <c r="AJ117" s="55">
        <f>SUMIFS('Awards Summary'!$H:$H,'Awards Summary'!$B:$B,$C117,'Awards Summary'!$J:$J,"AG&amp;MKTS")</f>
        <v>0</v>
      </c>
      <c r="AK117" s="55">
        <f>SUMIFS('Disbursements Summary'!$E:$E,'Disbursements Summary'!$C:$C,$C117,'Disbursements Summary'!$A:$A,"AG&amp;MKTS")</f>
        <v>0</v>
      </c>
      <c r="AL117" s="55">
        <f>SUMIFS('Awards Summary'!$H:$H,'Awards Summary'!$B:$B,$C117,'Awards Summary'!$J:$J,"CS")</f>
        <v>0</v>
      </c>
      <c r="AM117" s="55">
        <f>SUMIFS('Disbursements Summary'!$E:$E,'Disbursements Summary'!$C:$C,$C117,'Disbursements Summary'!$A:$A,"CS")</f>
        <v>0</v>
      </c>
      <c r="AN117" s="55">
        <f>SUMIFS('Awards Summary'!$H:$H,'Awards Summary'!$B:$B,$C117,'Awards Summary'!$J:$J,"DOCCS")</f>
        <v>0</v>
      </c>
      <c r="AO117" s="55">
        <f>SUMIFS('Disbursements Summary'!$E:$E,'Disbursements Summary'!$C:$C,$C117,'Disbursements Summary'!$A:$A,"DOCCS")</f>
        <v>0</v>
      </c>
      <c r="AP117" s="55">
        <f>SUMIFS('Awards Summary'!$H:$H,'Awards Summary'!$B:$B,$C117,'Awards Summary'!$J:$J,"DED")</f>
        <v>0</v>
      </c>
      <c r="AQ117" s="55">
        <f>SUMIFS('Disbursements Summary'!$E:$E,'Disbursements Summary'!$C:$C,$C117,'Disbursements Summary'!$A:$A,"DED")</f>
        <v>0</v>
      </c>
      <c r="AR117" s="55">
        <f>SUMIFS('Awards Summary'!$H:$H,'Awards Summary'!$B:$B,$C117,'Awards Summary'!$J:$J,"DEC")</f>
        <v>0</v>
      </c>
      <c r="AS117" s="55">
        <f>SUMIFS('Disbursements Summary'!$E:$E,'Disbursements Summary'!$C:$C,$C117,'Disbursements Summary'!$A:$A,"DEC")</f>
        <v>0</v>
      </c>
      <c r="AT117" s="55">
        <f>SUMIFS('Awards Summary'!$H:$H,'Awards Summary'!$B:$B,$C117,'Awards Summary'!$J:$J,"DFS")</f>
        <v>0</v>
      </c>
      <c r="AU117" s="55">
        <f>SUMIFS('Disbursements Summary'!$E:$E,'Disbursements Summary'!$C:$C,$C117,'Disbursements Summary'!$A:$A,"DFS")</f>
        <v>0</v>
      </c>
      <c r="AV117" s="55">
        <f>SUMIFS('Awards Summary'!$H:$H,'Awards Summary'!$B:$B,$C117,'Awards Summary'!$J:$J,"DOH")</f>
        <v>0</v>
      </c>
      <c r="AW117" s="55">
        <f>SUMIFS('Disbursements Summary'!$E:$E,'Disbursements Summary'!$C:$C,$C117,'Disbursements Summary'!$A:$A,"DOH")</f>
        <v>0</v>
      </c>
      <c r="AX117" s="55">
        <f>SUMIFS('Awards Summary'!$H:$H,'Awards Summary'!$B:$B,$C117,'Awards Summary'!$J:$J,"DOL")</f>
        <v>0</v>
      </c>
      <c r="AY117" s="55">
        <f>SUMIFS('Disbursements Summary'!$E:$E,'Disbursements Summary'!$C:$C,$C117,'Disbursements Summary'!$A:$A,"DOL")</f>
        <v>0</v>
      </c>
      <c r="AZ117" s="55">
        <f>SUMIFS('Awards Summary'!$H:$H,'Awards Summary'!$B:$B,$C117,'Awards Summary'!$J:$J,"DMV")</f>
        <v>0</v>
      </c>
      <c r="BA117" s="55">
        <f>SUMIFS('Disbursements Summary'!$E:$E,'Disbursements Summary'!$C:$C,$C117,'Disbursements Summary'!$A:$A,"DMV")</f>
        <v>0</v>
      </c>
      <c r="BB117" s="55">
        <f>SUMIFS('Awards Summary'!$H:$H,'Awards Summary'!$B:$B,$C117,'Awards Summary'!$J:$J,"DPS")</f>
        <v>0</v>
      </c>
      <c r="BC117" s="55">
        <f>SUMIFS('Disbursements Summary'!$E:$E,'Disbursements Summary'!$C:$C,$C117,'Disbursements Summary'!$A:$A,"DPS")</f>
        <v>0</v>
      </c>
      <c r="BD117" s="55">
        <f>SUMIFS('Awards Summary'!$H:$H,'Awards Summary'!$B:$B,$C117,'Awards Summary'!$J:$J,"DOS")</f>
        <v>0</v>
      </c>
      <c r="BE117" s="55">
        <f>SUMIFS('Disbursements Summary'!$E:$E,'Disbursements Summary'!$C:$C,$C117,'Disbursements Summary'!$A:$A,"DOS")</f>
        <v>0</v>
      </c>
      <c r="BF117" s="55">
        <f>SUMIFS('Awards Summary'!$H:$H,'Awards Summary'!$B:$B,$C117,'Awards Summary'!$J:$J,"TAX")</f>
        <v>0</v>
      </c>
      <c r="BG117" s="55">
        <f>SUMIFS('Disbursements Summary'!$E:$E,'Disbursements Summary'!$C:$C,$C117,'Disbursements Summary'!$A:$A,"TAX")</f>
        <v>0</v>
      </c>
      <c r="BH117" s="55">
        <f>SUMIFS('Awards Summary'!$H:$H,'Awards Summary'!$B:$B,$C117,'Awards Summary'!$J:$J,"DOT")</f>
        <v>0</v>
      </c>
      <c r="BI117" s="55">
        <f>SUMIFS('Disbursements Summary'!$E:$E,'Disbursements Summary'!$C:$C,$C117,'Disbursements Summary'!$A:$A,"DOT")</f>
        <v>0</v>
      </c>
      <c r="BJ117" s="55">
        <f>SUMIFS('Awards Summary'!$H:$H,'Awards Summary'!$B:$B,$C117,'Awards Summary'!$J:$J,"DANC")</f>
        <v>0</v>
      </c>
      <c r="BK117" s="55">
        <f>SUMIFS('Disbursements Summary'!$E:$E,'Disbursements Summary'!$C:$C,$C117,'Disbursements Summary'!$A:$A,"DANC")</f>
        <v>0</v>
      </c>
      <c r="BL117" s="55">
        <f>SUMIFS('Awards Summary'!$H:$H,'Awards Summary'!$B:$B,$C117,'Awards Summary'!$J:$J,"DOB")</f>
        <v>0</v>
      </c>
      <c r="BM117" s="55">
        <f>SUMIFS('Disbursements Summary'!$E:$E,'Disbursements Summary'!$C:$C,$C117,'Disbursements Summary'!$A:$A,"DOB")</f>
        <v>0</v>
      </c>
      <c r="BN117" s="55">
        <f>SUMIFS('Awards Summary'!$H:$H,'Awards Summary'!$B:$B,$C117,'Awards Summary'!$J:$J,"DCJS")</f>
        <v>0</v>
      </c>
      <c r="BO117" s="55">
        <f>SUMIFS('Disbursements Summary'!$E:$E,'Disbursements Summary'!$C:$C,$C117,'Disbursements Summary'!$A:$A,"DCJS")</f>
        <v>0</v>
      </c>
      <c r="BP117" s="55">
        <f>SUMIFS('Awards Summary'!$H:$H,'Awards Summary'!$B:$B,$C117,'Awards Summary'!$J:$J,"DHSES")</f>
        <v>0</v>
      </c>
      <c r="BQ117" s="55">
        <f>SUMIFS('Disbursements Summary'!$E:$E,'Disbursements Summary'!$C:$C,$C117,'Disbursements Summary'!$A:$A,"DHSES")</f>
        <v>0</v>
      </c>
      <c r="BR117" s="55">
        <f>SUMIFS('Awards Summary'!$H:$H,'Awards Summary'!$B:$B,$C117,'Awards Summary'!$J:$J,"DHR")</f>
        <v>0</v>
      </c>
      <c r="BS117" s="55">
        <f>SUMIFS('Disbursements Summary'!$E:$E,'Disbursements Summary'!$C:$C,$C117,'Disbursements Summary'!$A:$A,"DHR")</f>
        <v>0</v>
      </c>
      <c r="BT117" s="55">
        <f>SUMIFS('Awards Summary'!$H:$H,'Awards Summary'!$B:$B,$C117,'Awards Summary'!$J:$J,"DMNA")</f>
        <v>0</v>
      </c>
      <c r="BU117" s="55">
        <f>SUMIFS('Disbursements Summary'!$E:$E,'Disbursements Summary'!$C:$C,$C117,'Disbursements Summary'!$A:$A,"DMNA")</f>
        <v>0</v>
      </c>
      <c r="BV117" s="55">
        <f>SUMIFS('Awards Summary'!$H:$H,'Awards Summary'!$B:$B,$C117,'Awards Summary'!$J:$J,"TROOPERS")</f>
        <v>0</v>
      </c>
      <c r="BW117" s="55">
        <f>SUMIFS('Disbursements Summary'!$E:$E,'Disbursements Summary'!$C:$C,$C117,'Disbursements Summary'!$A:$A,"TROOPERS")</f>
        <v>0</v>
      </c>
      <c r="BX117" s="55">
        <f>SUMIFS('Awards Summary'!$H:$H,'Awards Summary'!$B:$B,$C117,'Awards Summary'!$J:$J,"DVA")</f>
        <v>0</v>
      </c>
      <c r="BY117" s="55">
        <f>SUMIFS('Disbursements Summary'!$E:$E,'Disbursements Summary'!$C:$C,$C117,'Disbursements Summary'!$A:$A,"DVA")</f>
        <v>0</v>
      </c>
      <c r="BZ117" s="55">
        <f>SUMIFS('Awards Summary'!$H:$H,'Awards Summary'!$B:$B,$C117,'Awards Summary'!$J:$J,"DASNY")</f>
        <v>0</v>
      </c>
      <c r="CA117" s="55">
        <f>SUMIFS('Disbursements Summary'!$E:$E,'Disbursements Summary'!$C:$C,$C117,'Disbursements Summary'!$A:$A,"DASNY")</f>
        <v>0</v>
      </c>
      <c r="CB117" s="55">
        <f>SUMIFS('Awards Summary'!$H:$H,'Awards Summary'!$B:$B,$C117,'Awards Summary'!$J:$J,"EGG")</f>
        <v>0</v>
      </c>
      <c r="CC117" s="55">
        <f>SUMIFS('Disbursements Summary'!$E:$E,'Disbursements Summary'!$C:$C,$C117,'Disbursements Summary'!$A:$A,"EGG")</f>
        <v>0</v>
      </c>
      <c r="CD117" s="55">
        <f>SUMIFS('Awards Summary'!$H:$H,'Awards Summary'!$B:$B,$C117,'Awards Summary'!$J:$J,"ESD")</f>
        <v>0</v>
      </c>
      <c r="CE117" s="55">
        <f>SUMIFS('Disbursements Summary'!$E:$E,'Disbursements Summary'!$C:$C,$C117,'Disbursements Summary'!$A:$A,"ESD")</f>
        <v>0</v>
      </c>
      <c r="CF117" s="55">
        <f>SUMIFS('Awards Summary'!$H:$H,'Awards Summary'!$B:$B,$C117,'Awards Summary'!$J:$J,"EFC")</f>
        <v>0</v>
      </c>
      <c r="CG117" s="55">
        <f>SUMIFS('Disbursements Summary'!$E:$E,'Disbursements Summary'!$C:$C,$C117,'Disbursements Summary'!$A:$A,"EFC")</f>
        <v>0</v>
      </c>
      <c r="CH117" s="55">
        <f>SUMIFS('Awards Summary'!$H:$H,'Awards Summary'!$B:$B,$C117,'Awards Summary'!$J:$J,"ECFSA")</f>
        <v>0</v>
      </c>
      <c r="CI117" s="55">
        <f>SUMIFS('Disbursements Summary'!$E:$E,'Disbursements Summary'!$C:$C,$C117,'Disbursements Summary'!$A:$A,"ECFSA")</f>
        <v>0</v>
      </c>
      <c r="CJ117" s="55">
        <f>SUMIFS('Awards Summary'!$H:$H,'Awards Summary'!$B:$B,$C117,'Awards Summary'!$J:$J,"ECMC")</f>
        <v>0</v>
      </c>
      <c r="CK117" s="55">
        <f>SUMIFS('Disbursements Summary'!$E:$E,'Disbursements Summary'!$C:$C,$C117,'Disbursements Summary'!$A:$A,"ECMC")</f>
        <v>0</v>
      </c>
      <c r="CL117" s="55">
        <f>SUMIFS('Awards Summary'!$H:$H,'Awards Summary'!$B:$B,$C117,'Awards Summary'!$J:$J,"CHAMBER")</f>
        <v>0</v>
      </c>
      <c r="CM117" s="55">
        <f>SUMIFS('Disbursements Summary'!$E:$E,'Disbursements Summary'!$C:$C,$C117,'Disbursements Summary'!$A:$A,"CHAMBER")</f>
        <v>0</v>
      </c>
      <c r="CN117" s="55">
        <f>SUMIFS('Awards Summary'!$H:$H,'Awards Summary'!$B:$B,$C117,'Awards Summary'!$J:$J,"GAMING")</f>
        <v>0</v>
      </c>
      <c r="CO117" s="55">
        <f>SUMIFS('Disbursements Summary'!$E:$E,'Disbursements Summary'!$C:$C,$C117,'Disbursements Summary'!$A:$A,"GAMING")</f>
        <v>0</v>
      </c>
      <c r="CP117" s="55">
        <f>SUMIFS('Awards Summary'!$H:$H,'Awards Summary'!$B:$B,$C117,'Awards Summary'!$J:$J,"GOER")</f>
        <v>0</v>
      </c>
      <c r="CQ117" s="55">
        <f>SUMIFS('Disbursements Summary'!$E:$E,'Disbursements Summary'!$C:$C,$C117,'Disbursements Summary'!$A:$A,"GOER")</f>
        <v>0</v>
      </c>
      <c r="CR117" s="55">
        <f>SUMIFS('Awards Summary'!$H:$H,'Awards Summary'!$B:$B,$C117,'Awards Summary'!$J:$J,"HESC")</f>
        <v>0</v>
      </c>
      <c r="CS117" s="55">
        <f>SUMIFS('Disbursements Summary'!$E:$E,'Disbursements Summary'!$C:$C,$C117,'Disbursements Summary'!$A:$A,"HESC")</f>
        <v>0</v>
      </c>
      <c r="CT117" s="55">
        <f>SUMIFS('Awards Summary'!$H:$H,'Awards Summary'!$B:$B,$C117,'Awards Summary'!$J:$J,"GOSR")</f>
        <v>0</v>
      </c>
      <c r="CU117" s="55">
        <f>SUMIFS('Disbursements Summary'!$E:$E,'Disbursements Summary'!$C:$C,$C117,'Disbursements Summary'!$A:$A,"GOSR")</f>
        <v>0</v>
      </c>
      <c r="CV117" s="55">
        <f>SUMIFS('Awards Summary'!$H:$H,'Awards Summary'!$B:$B,$C117,'Awards Summary'!$J:$J,"HRPT")</f>
        <v>0</v>
      </c>
      <c r="CW117" s="55">
        <f>SUMIFS('Disbursements Summary'!$E:$E,'Disbursements Summary'!$C:$C,$C117,'Disbursements Summary'!$A:$A,"HRPT")</f>
        <v>0</v>
      </c>
      <c r="CX117" s="55">
        <f>SUMIFS('Awards Summary'!$H:$H,'Awards Summary'!$B:$B,$C117,'Awards Summary'!$J:$J,"HRBRRD")</f>
        <v>0</v>
      </c>
      <c r="CY117" s="55">
        <f>SUMIFS('Disbursements Summary'!$E:$E,'Disbursements Summary'!$C:$C,$C117,'Disbursements Summary'!$A:$A,"HRBRRD")</f>
        <v>0</v>
      </c>
      <c r="CZ117" s="55">
        <f>SUMIFS('Awards Summary'!$H:$H,'Awards Summary'!$B:$B,$C117,'Awards Summary'!$J:$J,"ITS")</f>
        <v>0</v>
      </c>
      <c r="DA117" s="55">
        <f>SUMIFS('Disbursements Summary'!$E:$E,'Disbursements Summary'!$C:$C,$C117,'Disbursements Summary'!$A:$A,"ITS")</f>
        <v>0</v>
      </c>
      <c r="DB117" s="55">
        <f>SUMIFS('Awards Summary'!$H:$H,'Awards Summary'!$B:$B,$C117,'Awards Summary'!$J:$J,"JAVITS")</f>
        <v>0</v>
      </c>
      <c r="DC117" s="55">
        <f>SUMIFS('Disbursements Summary'!$E:$E,'Disbursements Summary'!$C:$C,$C117,'Disbursements Summary'!$A:$A,"JAVITS")</f>
        <v>0</v>
      </c>
      <c r="DD117" s="55">
        <f>SUMIFS('Awards Summary'!$H:$H,'Awards Summary'!$B:$B,$C117,'Awards Summary'!$J:$J,"JCOPE")</f>
        <v>0</v>
      </c>
      <c r="DE117" s="55">
        <f>SUMIFS('Disbursements Summary'!$E:$E,'Disbursements Summary'!$C:$C,$C117,'Disbursements Summary'!$A:$A,"JCOPE")</f>
        <v>0</v>
      </c>
      <c r="DF117" s="55">
        <f>SUMIFS('Awards Summary'!$H:$H,'Awards Summary'!$B:$B,$C117,'Awards Summary'!$J:$J,"JUSTICE")</f>
        <v>0</v>
      </c>
      <c r="DG117" s="55">
        <f>SUMIFS('Disbursements Summary'!$E:$E,'Disbursements Summary'!$C:$C,$C117,'Disbursements Summary'!$A:$A,"JUSTICE")</f>
        <v>0</v>
      </c>
      <c r="DH117" s="55">
        <f>SUMIFS('Awards Summary'!$H:$H,'Awards Summary'!$B:$B,$C117,'Awards Summary'!$J:$J,"LCWSA")</f>
        <v>0</v>
      </c>
      <c r="DI117" s="55">
        <f>SUMIFS('Disbursements Summary'!$E:$E,'Disbursements Summary'!$C:$C,$C117,'Disbursements Summary'!$A:$A,"LCWSA")</f>
        <v>0</v>
      </c>
      <c r="DJ117" s="55">
        <f>SUMIFS('Awards Summary'!$H:$H,'Awards Summary'!$B:$B,$C117,'Awards Summary'!$J:$J,"LIPA")</f>
        <v>0</v>
      </c>
      <c r="DK117" s="55">
        <f>SUMIFS('Disbursements Summary'!$E:$E,'Disbursements Summary'!$C:$C,$C117,'Disbursements Summary'!$A:$A,"LIPA")</f>
        <v>0</v>
      </c>
      <c r="DL117" s="55">
        <f>SUMIFS('Awards Summary'!$H:$H,'Awards Summary'!$B:$B,$C117,'Awards Summary'!$J:$J,"MTA")</f>
        <v>0</v>
      </c>
      <c r="DM117" s="55">
        <f>SUMIFS('Disbursements Summary'!$E:$E,'Disbursements Summary'!$C:$C,$C117,'Disbursements Summary'!$A:$A,"MTA")</f>
        <v>0</v>
      </c>
      <c r="DN117" s="55">
        <f>SUMIFS('Awards Summary'!$H:$H,'Awards Summary'!$B:$B,$C117,'Awards Summary'!$J:$J,"NIFA")</f>
        <v>0</v>
      </c>
      <c r="DO117" s="55">
        <f>SUMIFS('Disbursements Summary'!$E:$E,'Disbursements Summary'!$C:$C,$C117,'Disbursements Summary'!$A:$A,"NIFA")</f>
        <v>0</v>
      </c>
      <c r="DP117" s="55">
        <f>SUMIFS('Awards Summary'!$H:$H,'Awards Summary'!$B:$B,$C117,'Awards Summary'!$J:$J,"NHCC")</f>
        <v>0</v>
      </c>
      <c r="DQ117" s="55">
        <f>SUMIFS('Disbursements Summary'!$E:$E,'Disbursements Summary'!$C:$C,$C117,'Disbursements Summary'!$A:$A,"NHCC")</f>
        <v>0</v>
      </c>
      <c r="DR117" s="55">
        <f>SUMIFS('Awards Summary'!$H:$H,'Awards Summary'!$B:$B,$C117,'Awards Summary'!$J:$J,"NHT")</f>
        <v>0</v>
      </c>
      <c r="DS117" s="55">
        <f>SUMIFS('Disbursements Summary'!$E:$E,'Disbursements Summary'!$C:$C,$C117,'Disbursements Summary'!$A:$A,"NHT")</f>
        <v>0</v>
      </c>
      <c r="DT117" s="55">
        <f>SUMIFS('Awards Summary'!$H:$H,'Awards Summary'!$B:$B,$C117,'Awards Summary'!$J:$J,"NYPA")</f>
        <v>0</v>
      </c>
      <c r="DU117" s="55">
        <f>SUMIFS('Disbursements Summary'!$E:$E,'Disbursements Summary'!$C:$C,$C117,'Disbursements Summary'!$A:$A,"NYPA")</f>
        <v>0</v>
      </c>
      <c r="DV117" s="55">
        <f>SUMIFS('Awards Summary'!$H:$H,'Awards Summary'!$B:$B,$C117,'Awards Summary'!$J:$J,"NYSBA")</f>
        <v>0</v>
      </c>
      <c r="DW117" s="55">
        <f>SUMIFS('Disbursements Summary'!$E:$E,'Disbursements Summary'!$C:$C,$C117,'Disbursements Summary'!$A:$A,"NYSBA")</f>
        <v>0</v>
      </c>
      <c r="DX117" s="55">
        <f>SUMIFS('Awards Summary'!$H:$H,'Awards Summary'!$B:$B,$C117,'Awards Summary'!$J:$J,"NYSERDA")</f>
        <v>0</v>
      </c>
      <c r="DY117" s="55">
        <f>SUMIFS('Disbursements Summary'!$E:$E,'Disbursements Summary'!$C:$C,$C117,'Disbursements Summary'!$A:$A,"NYSERDA")</f>
        <v>0</v>
      </c>
      <c r="DZ117" s="55">
        <f>SUMIFS('Awards Summary'!$H:$H,'Awards Summary'!$B:$B,$C117,'Awards Summary'!$J:$J,"DHCR")</f>
        <v>0</v>
      </c>
      <c r="EA117" s="55">
        <f>SUMIFS('Disbursements Summary'!$E:$E,'Disbursements Summary'!$C:$C,$C117,'Disbursements Summary'!$A:$A,"DHCR")</f>
        <v>0</v>
      </c>
      <c r="EB117" s="55">
        <f>SUMIFS('Awards Summary'!$H:$H,'Awards Summary'!$B:$B,$C117,'Awards Summary'!$J:$J,"HFA")</f>
        <v>0</v>
      </c>
      <c r="EC117" s="55">
        <f>SUMIFS('Disbursements Summary'!$E:$E,'Disbursements Summary'!$C:$C,$C117,'Disbursements Summary'!$A:$A,"HFA")</f>
        <v>0</v>
      </c>
      <c r="ED117" s="55">
        <f>SUMIFS('Awards Summary'!$H:$H,'Awards Summary'!$B:$B,$C117,'Awards Summary'!$J:$J,"NYSIF")</f>
        <v>0</v>
      </c>
      <c r="EE117" s="55">
        <f>SUMIFS('Disbursements Summary'!$E:$E,'Disbursements Summary'!$C:$C,$C117,'Disbursements Summary'!$A:$A,"NYSIF")</f>
        <v>0</v>
      </c>
      <c r="EF117" s="55">
        <f>SUMIFS('Awards Summary'!$H:$H,'Awards Summary'!$B:$B,$C117,'Awards Summary'!$J:$J,"NYBREDS")</f>
        <v>0</v>
      </c>
      <c r="EG117" s="55">
        <f>SUMIFS('Disbursements Summary'!$E:$E,'Disbursements Summary'!$C:$C,$C117,'Disbursements Summary'!$A:$A,"NYBREDS")</f>
        <v>0</v>
      </c>
      <c r="EH117" s="55">
        <f>SUMIFS('Awards Summary'!$H:$H,'Awards Summary'!$B:$B,$C117,'Awards Summary'!$J:$J,"NYSTA")</f>
        <v>0</v>
      </c>
      <c r="EI117" s="55">
        <f>SUMIFS('Disbursements Summary'!$E:$E,'Disbursements Summary'!$C:$C,$C117,'Disbursements Summary'!$A:$A,"NYSTA")</f>
        <v>0</v>
      </c>
      <c r="EJ117" s="55">
        <f>SUMIFS('Awards Summary'!$H:$H,'Awards Summary'!$B:$B,$C117,'Awards Summary'!$J:$J,"NFWB")</f>
        <v>0</v>
      </c>
      <c r="EK117" s="55">
        <f>SUMIFS('Disbursements Summary'!$E:$E,'Disbursements Summary'!$C:$C,$C117,'Disbursements Summary'!$A:$A,"NFWB")</f>
        <v>0</v>
      </c>
      <c r="EL117" s="55">
        <f>SUMIFS('Awards Summary'!$H:$H,'Awards Summary'!$B:$B,$C117,'Awards Summary'!$J:$J,"NFTA")</f>
        <v>0</v>
      </c>
      <c r="EM117" s="55">
        <f>SUMIFS('Disbursements Summary'!$E:$E,'Disbursements Summary'!$C:$C,$C117,'Disbursements Summary'!$A:$A,"NFTA")</f>
        <v>0</v>
      </c>
      <c r="EN117" s="55">
        <f>SUMIFS('Awards Summary'!$H:$H,'Awards Summary'!$B:$B,$C117,'Awards Summary'!$J:$J,"OPWDD")</f>
        <v>0</v>
      </c>
      <c r="EO117" s="55">
        <f>SUMIFS('Disbursements Summary'!$E:$E,'Disbursements Summary'!$C:$C,$C117,'Disbursements Summary'!$A:$A,"OPWDD")</f>
        <v>0</v>
      </c>
      <c r="EP117" s="55">
        <f>SUMIFS('Awards Summary'!$H:$H,'Awards Summary'!$B:$B,$C117,'Awards Summary'!$J:$J,"AGING")</f>
        <v>0</v>
      </c>
      <c r="EQ117" s="55">
        <f>SUMIFS('Disbursements Summary'!$E:$E,'Disbursements Summary'!$C:$C,$C117,'Disbursements Summary'!$A:$A,"AGING")</f>
        <v>0</v>
      </c>
      <c r="ER117" s="55">
        <f>SUMIFS('Awards Summary'!$H:$H,'Awards Summary'!$B:$B,$C117,'Awards Summary'!$J:$J,"OPDV")</f>
        <v>0</v>
      </c>
      <c r="ES117" s="55">
        <f>SUMIFS('Disbursements Summary'!$E:$E,'Disbursements Summary'!$C:$C,$C117,'Disbursements Summary'!$A:$A,"OPDV")</f>
        <v>0</v>
      </c>
      <c r="ET117" s="55">
        <f>SUMIFS('Awards Summary'!$H:$H,'Awards Summary'!$B:$B,$C117,'Awards Summary'!$J:$J,"OVS")</f>
        <v>0</v>
      </c>
      <c r="EU117" s="55">
        <f>SUMIFS('Disbursements Summary'!$E:$E,'Disbursements Summary'!$C:$C,$C117,'Disbursements Summary'!$A:$A,"OVS")</f>
        <v>0</v>
      </c>
      <c r="EV117" s="55">
        <f>SUMIFS('Awards Summary'!$H:$H,'Awards Summary'!$B:$B,$C117,'Awards Summary'!$J:$J,"OASAS")</f>
        <v>0</v>
      </c>
      <c r="EW117" s="55">
        <f>SUMIFS('Disbursements Summary'!$E:$E,'Disbursements Summary'!$C:$C,$C117,'Disbursements Summary'!$A:$A,"OASAS")</f>
        <v>0</v>
      </c>
      <c r="EX117" s="55">
        <f>SUMIFS('Awards Summary'!$H:$H,'Awards Summary'!$B:$B,$C117,'Awards Summary'!$J:$J,"OCFS")</f>
        <v>0</v>
      </c>
      <c r="EY117" s="55">
        <f>SUMIFS('Disbursements Summary'!$E:$E,'Disbursements Summary'!$C:$C,$C117,'Disbursements Summary'!$A:$A,"OCFS")</f>
        <v>0</v>
      </c>
      <c r="EZ117" s="55">
        <f>SUMIFS('Awards Summary'!$H:$H,'Awards Summary'!$B:$B,$C117,'Awards Summary'!$J:$J,"OGS")</f>
        <v>0</v>
      </c>
      <c r="FA117" s="55">
        <f>SUMIFS('Disbursements Summary'!$E:$E,'Disbursements Summary'!$C:$C,$C117,'Disbursements Summary'!$A:$A,"OGS")</f>
        <v>0</v>
      </c>
      <c r="FB117" s="55">
        <f>SUMIFS('Awards Summary'!$H:$H,'Awards Summary'!$B:$B,$C117,'Awards Summary'!$J:$J,"OMH")</f>
        <v>0</v>
      </c>
      <c r="FC117" s="55">
        <f>SUMIFS('Disbursements Summary'!$E:$E,'Disbursements Summary'!$C:$C,$C117,'Disbursements Summary'!$A:$A,"OMH")</f>
        <v>0</v>
      </c>
      <c r="FD117" s="55">
        <f>SUMIFS('Awards Summary'!$H:$H,'Awards Summary'!$B:$B,$C117,'Awards Summary'!$J:$J,"PARKS")</f>
        <v>0</v>
      </c>
      <c r="FE117" s="55">
        <f>SUMIFS('Disbursements Summary'!$E:$E,'Disbursements Summary'!$C:$C,$C117,'Disbursements Summary'!$A:$A,"PARKS")</f>
        <v>0</v>
      </c>
      <c r="FF117" s="55">
        <f>SUMIFS('Awards Summary'!$H:$H,'Awards Summary'!$B:$B,$C117,'Awards Summary'!$J:$J,"OTDA")</f>
        <v>0</v>
      </c>
      <c r="FG117" s="55">
        <f>SUMIFS('Disbursements Summary'!$E:$E,'Disbursements Summary'!$C:$C,$C117,'Disbursements Summary'!$A:$A,"OTDA")</f>
        <v>0</v>
      </c>
      <c r="FH117" s="55">
        <f>SUMIFS('Awards Summary'!$H:$H,'Awards Summary'!$B:$B,$C117,'Awards Summary'!$J:$J,"OIG")</f>
        <v>0</v>
      </c>
      <c r="FI117" s="55">
        <f>SUMIFS('Disbursements Summary'!$E:$E,'Disbursements Summary'!$C:$C,$C117,'Disbursements Summary'!$A:$A,"OIG")</f>
        <v>0</v>
      </c>
      <c r="FJ117" s="55">
        <f>SUMIFS('Awards Summary'!$H:$H,'Awards Summary'!$B:$B,$C117,'Awards Summary'!$J:$J,"OMIG")</f>
        <v>0</v>
      </c>
      <c r="FK117" s="55">
        <f>SUMIFS('Disbursements Summary'!$E:$E,'Disbursements Summary'!$C:$C,$C117,'Disbursements Summary'!$A:$A,"OMIG")</f>
        <v>0</v>
      </c>
      <c r="FL117" s="55">
        <f>SUMIFS('Awards Summary'!$H:$H,'Awards Summary'!$B:$B,$C117,'Awards Summary'!$J:$J,"OSC")</f>
        <v>0</v>
      </c>
      <c r="FM117" s="55">
        <f>SUMIFS('Disbursements Summary'!$E:$E,'Disbursements Summary'!$C:$C,$C117,'Disbursements Summary'!$A:$A,"OSC")</f>
        <v>0</v>
      </c>
      <c r="FN117" s="55">
        <f>SUMIFS('Awards Summary'!$H:$H,'Awards Summary'!$B:$B,$C117,'Awards Summary'!$J:$J,"OWIG")</f>
        <v>0</v>
      </c>
      <c r="FO117" s="55">
        <f>SUMIFS('Disbursements Summary'!$E:$E,'Disbursements Summary'!$C:$C,$C117,'Disbursements Summary'!$A:$A,"OWIG")</f>
        <v>0</v>
      </c>
      <c r="FP117" s="55">
        <f>SUMIFS('Awards Summary'!$H:$H,'Awards Summary'!$B:$B,$C117,'Awards Summary'!$J:$J,"OGDEN")</f>
        <v>0</v>
      </c>
      <c r="FQ117" s="55">
        <f>SUMIFS('Disbursements Summary'!$E:$E,'Disbursements Summary'!$C:$C,$C117,'Disbursements Summary'!$A:$A,"OGDEN")</f>
        <v>0</v>
      </c>
      <c r="FR117" s="55">
        <f>SUMIFS('Awards Summary'!$H:$H,'Awards Summary'!$B:$B,$C117,'Awards Summary'!$J:$J,"ORDA")</f>
        <v>0</v>
      </c>
      <c r="FS117" s="55">
        <f>SUMIFS('Disbursements Summary'!$E:$E,'Disbursements Summary'!$C:$C,$C117,'Disbursements Summary'!$A:$A,"ORDA")</f>
        <v>0</v>
      </c>
      <c r="FT117" s="55">
        <f>SUMIFS('Awards Summary'!$H:$H,'Awards Summary'!$B:$B,$C117,'Awards Summary'!$J:$J,"OSWEGO")</f>
        <v>0</v>
      </c>
      <c r="FU117" s="55">
        <f>SUMIFS('Disbursements Summary'!$E:$E,'Disbursements Summary'!$C:$C,$C117,'Disbursements Summary'!$A:$A,"OSWEGO")</f>
        <v>0</v>
      </c>
      <c r="FV117" s="55">
        <f>SUMIFS('Awards Summary'!$H:$H,'Awards Summary'!$B:$B,$C117,'Awards Summary'!$J:$J,"PERB")</f>
        <v>0</v>
      </c>
      <c r="FW117" s="55">
        <f>SUMIFS('Disbursements Summary'!$E:$E,'Disbursements Summary'!$C:$C,$C117,'Disbursements Summary'!$A:$A,"PERB")</f>
        <v>0</v>
      </c>
      <c r="FX117" s="55">
        <f>SUMIFS('Awards Summary'!$H:$H,'Awards Summary'!$B:$B,$C117,'Awards Summary'!$J:$J,"RGRTA")</f>
        <v>0</v>
      </c>
      <c r="FY117" s="55">
        <f>SUMIFS('Disbursements Summary'!$E:$E,'Disbursements Summary'!$C:$C,$C117,'Disbursements Summary'!$A:$A,"RGRTA")</f>
        <v>0</v>
      </c>
      <c r="FZ117" s="55">
        <f>SUMIFS('Awards Summary'!$H:$H,'Awards Summary'!$B:$B,$C117,'Awards Summary'!$J:$J,"RIOC")</f>
        <v>0</v>
      </c>
      <c r="GA117" s="55">
        <f>SUMIFS('Disbursements Summary'!$E:$E,'Disbursements Summary'!$C:$C,$C117,'Disbursements Summary'!$A:$A,"RIOC")</f>
        <v>0</v>
      </c>
      <c r="GB117" s="55">
        <f>SUMIFS('Awards Summary'!$H:$H,'Awards Summary'!$B:$B,$C117,'Awards Summary'!$J:$J,"RPCI")</f>
        <v>0</v>
      </c>
      <c r="GC117" s="55">
        <f>SUMIFS('Disbursements Summary'!$E:$E,'Disbursements Summary'!$C:$C,$C117,'Disbursements Summary'!$A:$A,"RPCI")</f>
        <v>0</v>
      </c>
      <c r="GD117" s="55">
        <f>SUMIFS('Awards Summary'!$H:$H,'Awards Summary'!$B:$B,$C117,'Awards Summary'!$J:$J,"SMDA")</f>
        <v>0</v>
      </c>
      <c r="GE117" s="55">
        <f>SUMIFS('Disbursements Summary'!$E:$E,'Disbursements Summary'!$C:$C,$C117,'Disbursements Summary'!$A:$A,"SMDA")</f>
        <v>0</v>
      </c>
      <c r="GF117" s="55">
        <f>SUMIFS('Awards Summary'!$H:$H,'Awards Summary'!$B:$B,$C117,'Awards Summary'!$J:$J,"SCOC")</f>
        <v>0</v>
      </c>
      <c r="GG117" s="55">
        <f>SUMIFS('Disbursements Summary'!$E:$E,'Disbursements Summary'!$C:$C,$C117,'Disbursements Summary'!$A:$A,"SCOC")</f>
        <v>0</v>
      </c>
      <c r="GH117" s="55">
        <f>SUMIFS('Awards Summary'!$H:$H,'Awards Summary'!$B:$B,$C117,'Awards Summary'!$J:$J,"SUCF")</f>
        <v>0</v>
      </c>
      <c r="GI117" s="55">
        <f>SUMIFS('Disbursements Summary'!$E:$E,'Disbursements Summary'!$C:$C,$C117,'Disbursements Summary'!$A:$A,"SUCF")</f>
        <v>0</v>
      </c>
      <c r="GJ117" s="55">
        <f>SUMIFS('Awards Summary'!$H:$H,'Awards Summary'!$B:$B,$C117,'Awards Summary'!$J:$J,"SUNY")</f>
        <v>0</v>
      </c>
      <c r="GK117" s="55">
        <f>SUMIFS('Disbursements Summary'!$E:$E,'Disbursements Summary'!$C:$C,$C117,'Disbursements Summary'!$A:$A,"SUNY")</f>
        <v>0</v>
      </c>
      <c r="GL117" s="55">
        <f>SUMIFS('Awards Summary'!$H:$H,'Awards Summary'!$B:$B,$C117,'Awards Summary'!$J:$J,"SRAA")</f>
        <v>0</v>
      </c>
      <c r="GM117" s="55">
        <f>SUMIFS('Disbursements Summary'!$E:$E,'Disbursements Summary'!$C:$C,$C117,'Disbursements Summary'!$A:$A,"SRAA")</f>
        <v>0</v>
      </c>
      <c r="GN117" s="55">
        <f>SUMIFS('Awards Summary'!$H:$H,'Awards Summary'!$B:$B,$C117,'Awards Summary'!$J:$J,"UNDC")</f>
        <v>0</v>
      </c>
      <c r="GO117" s="55">
        <f>SUMIFS('Disbursements Summary'!$E:$E,'Disbursements Summary'!$C:$C,$C117,'Disbursements Summary'!$A:$A,"UNDC")</f>
        <v>0</v>
      </c>
      <c r="GP117" s="55">
        <f>SUMIFS('Awards Summary'!$H:$H,'Awards Summary'!$B:$B,$C117,'Awards Summary'!$J:$J,"MVWA")</f>
        <v>0</v>
      </c>
      <c r="GQ117" s="55">
        <f>SUMIFS('Disbursements Summary'!$E:$E,'Disbursements Summary'!$C:$C,$C117,'Disbursements Summary'!$A:$A,"MVWA")</f>
        <v>0</v>
      </c>
      <c r="GR117" s="55">
        <f>SUMIFS('Awards Summary'!$H:$H,'Awards Summary'!$B:$B,$C117,'Awards Summary'!$J:$J,"WMC")</f>
        <v>0</v>
      </c>
      <c r="GS117" s="55">
        <f>SUMIFS('Disbursements Summary'!$E:$E,'Disbursements Summary'!$C:$C,$C117,'Disbursements Summary'!$A:$A,"WMC")</f>
        <v>0</v>
      </c>
      <c r="GT117" s="55">
        <f>SUMIFS('Awards Summary'!$H:$H,'Awards Summary'!$B:$B,$C117,'Awards Summary'!$J:$J,"WCB")</f>
        <v>0</v>
      </c>
      <c r="GU117" s="55">
        <f>SUMIFS('Disbursements Summary'!$E:$E,'Disbursements Summary'!$C:$C,$C117,'Disbursements Summary'!$A:$A,"WCB")</f>
        <v>0</v>
      </c>
      <c r="GV117" s="32">
        <f t="shared" si="10"/>
        <v>0</v>
      </c>
      <c r="GW117" s="32">
        <f t="shared" si="11"/>
        <v>0</v>
      </c>
      <c r="GX117" s="30" t="b">
        <f t="shared" si="12"/>
        <v>1</v>
      </c>
      <c r="GY117" s="30" t="b">
        <f t="shared" si="13"/>
        <v>1</v>
      </c>
    </row>
    <row r="118" spans="1:207" s="30" customFormat="1">
      <c r="A118" s="22" t="str">
        <f t="shared" si="9"/>
        <v/>
      </c>
      <c r="B118" s="20" t="s">
        <v>238</v>
      </c>
      <c r="C118" s="16">
        <v>161287</v>
      </c>
      <c r="D118" s="26">
        <f>COUNTIF('Awards Summary'!B:B,"161287")</f>
        <v>0</v>
      </c>
      <c r="E118" s="45">
        <f>SUMIFS('Awards Summary'!H:H,'Awards Summary'!B:B,"161287")</f>
        <v>0</v>
      </c>
      <c r="F118" s="46">
        <f>SUMIFS('Disbursements Summary'!E:E,'Disbursements Summary'!C:C, "161287")</f>
        <v>0</v>
      </c>
      <c r="H118" s="55">
        <f>SUMIFS('Awards Summary'!$H:$H,'Awards Summary'!$B:$B,$C118,'Awards Summary'!$J:$J,"APA")</f>
        <v>0</v>
      </c>
      <c r="I118" s="55">
        <f>SUMIFS('Disbursements Summary'!$E:$E,'Disbursements Summary'!$C:$C,$C118,'Disbursements Summary'!$A:$A,"APA")</f>
        <v>0</v>
      </c>
      <c r="J118" s="55">
        <f>SUMIFS('Awards Summary'!$H:$H,'Awards Summary'!$B:$B,$C118,'Awards Summary'!$J:$J,"Ag&amp;Horse")</f>
        <v>0</v>
      </c>
      <c r="K118" s="55">
        <f>SUMIFS('Disbursements Summary'!$E:$E,'Disbursements Summary'!$C:$C,$C118,'Disbursements Summary'!$A:$A,"Ag&amp;Horse")</f>
        <v>0</v>
      </c>
      <c r="L118" s="55">
        <f>SUMIFS('Awards Summary'!$H:$H,'Awards Summary'!$B:$B,$C118,'Awards Summary'!$J:$J,"ACAA")</f>
        <v>0</v>
      </c>
      <c r="M118" s="55">
        <f>SUMIFS('Disbursements Summary'!$E:$E,'Disbursements Summary'!$C:$C,$C118,'Disbursements Summary'!$A:$A,"ACAA")</f>
        <v>0</v>
      </c>
      <c r="N118" s="55">
        <f>SUMIFS('Awards Summary'!$H:$H,'Awards Summary'!$B:$B,$C118,'Awards Summary'!$J:$J,"PortAlbany")</f>
        <v>0</v>
      </c>
      <c r="O118" s="55">
        <f>SUMIFS('Disbursements Summary'!$E:$E,'Disbursements Summary'!$C:$C,$C118,'Disbursements Summary'!$A:$A,"PortAlbany")</f>
        <v>0</v>
      </c>
      <c r="P118" s="55">
        <f>SUMIFS('Awards Summary'!$H:$H,'Awards Summary'!$B:$B,$C118,'Awards Summary'!$J:$J,"SLA")</f>
        <v>0</v>
      </c>
      <c r="Q118" s="55">
        <f>SUMIFS('Disbursements Summary'!$E:$E,'Disbursements Summary'!$C:$C,$C118,'Disbursements Summary'!$A:$A,"SLA")</f>
        <v>0</v>
      </c>
      <c r="R118" s="55">
        <f>SUMIFS('Awards Summary'!$H:$H,'Awards Summary'!$B:$B,$C118,'Awards Summary'!$J:$J,"BPCA")</f>
        <v>0</v>
      </c>
      <c r="S118" s="55">
        <f>SUMIFS('Disbursements Summary'!$E:$E,'Disbursements Summary'!$C:$C,$C118,'Disbursements Summary'!$A:$A,"BPCA")</f>
        <v>0</v>
      </c>
      <c r="T118" s="55">
        <f>SUMIFS('Awards Summary'!$H:$H,'Awards Summary'!$B:$B,$C118,'Awards Summary'!$J:$J,"ELECTIONS")</f>
        <v>0</v>
      </c>
      <c r="U118" s="55">
        <f>SUMIFS('Disbursements Summary'!$E:$E,'Disbursements Summary'!$C:$C,$C118,'Disbursements Summary'!$A:$A,"ELECTIONS")</f>
        <v>0</v>
      </c>
      <c r="V118" s="55">
        <f>SUMIFS('Awards Summary'!$H:$H,'Awards Summary'!$B:$B,$C118,'Awards Summary'!$J:$J,"BFSA")</f>
        <v>0</v>
      </c>
      <c r="W118" s="55">
        <f>SUMIFS('Disbursements Summary'!$E:$E,'Disbursements Summary'!$C:$C,$C118,'Disbursements Summary'!$A:$A,"BFSA")</f>
        <v>0</v>
      </c>
      <c r="X118" s="55">
        <f>SUMIFS('Awards Summary'!$H:$H,'Awards Summary'!$B:$B,$C118,'Awards Summary'!$J:$J,"CDTA")</f>
        <v>0</v>
      </c>
      <c r="Y118" s="55">
        <f>SUMIFS('Disbursements Summary'!$E:$E,'Disbursements Summary'!$C:$C,$C118,'Disbursements Summary'!$A:$A,"CDTA")</f>
        <v>0</v>
      </c>
      <c r="Z118" s="55">
        <f>SUMIFS('Awards Summary'!$H:$H,'Awards Summary'!$B:$B,$C118,'Awards Summary'!$J:$J,"CCWSA")</f>
        <v>0</v>
      </c>
      <c r="AA118" s="55">
        <f>SUMIFS('Disbursements Summary'!$E:$E,'Disbursements Summary'!$C:$C,$C118,'Disbursements Summary'!$A:$A,"CCWSA")</f>
        <v>0</v>
      </c>
      <c r="AB118" s="55">
        <f>SUMIFS('Awards Summary'!$H:$H,'Awards Summary'!$B:$B,$C118,'Awards Summary'!$J:$J,"CNYRTA")</f>
        <v>0</v>
      </c>
      <c r="AC118" s="55">
        <f>SUMIFS('Disbursements Summary'!$E:$E,'Disbursements Summary'!$C:$C,$C118,'Disbursements Summary'!$A:$A,"CNYRTA")</f>
        <v>0</v>
      </c>
      <c r="AD118" s="55">
        <f>SUMIFS('Awards Summary'!$H:$H,'Awards Summary'!$B:$B,$C118,'Awards Summary'!$J:$J,"CUCF")</f>
        <v>0</v>
      </c>
      <c r="AE118" s="55">
        <f>SUMIFS('Disbursements Summary'!$E:$E,'Disbursements Summary'!$C:$C,$C118,'Disbursements Summary'!$A:$A,"CUCF")</f>
        <v>0</v>
      </c>
      <c r="AF118" s="55">
        <f>SUMIFS('Awards Summary'!$H:$H,'Awards Summary'!$B:$B,$C118,'Awards Summary'!$J:$J,"CUNY")</f>
        <v>0</v>
      </c>
      <c r="AG118" s="55">
        <f>SUMIFS('Disbursements Summary'!$E:$E,'Disbursements Summary'!$C:$C,$C118,'Disbursements Summary'!$A:$A,"CUNY")</f>
        <v>0</v>
      </c>
      <c r="AH118" s="55">
        <f>SUMIFS('Awards Summary'!$H:$H,'Awards Summary'!$B:$B,$C118,'Awards Summary'!$J:$J,"ARTS")</f>
        <v>0</v>
      </c>
      <c r="AI118" s="55">
        <f>SUMIFS('Disbursements Summary'!$E:$E,'Disbursements Summary'!$C:$C,$C118,'Disbursements Summary'!$A:$A,"ARTS")</f>
        <v>0</v>
      </c>
      <c r="AJ118" s="55">
        <f>SUMIFS('Awards Summary'!$H:$H,'Awards Summary'!$B:$B,$C118,'Awards Summary'!$J:$J,"AG&amp;MKTS")</f>
        <v>0</v>
      </c>
      <c r="AK118" s="55">
        <f>SUMIFS('Disbursements Summary'!$E:$E,'Disbursements Summary'!$C:$C,$C118,'Disbursements Summary'!$A:$A,"AG&amp;MKTS")</f>
        <v>0</v>
      </c>
      <c r="AL118" s="55">
        <f>SUMIFS('Awards Summary'!$H:$H,'Awards Summary'!$B:$B,$C118,'Awards Summary'!$J:$J,"CS")</f>
        <v>0</v>
      </c>
      <c r="AM118" s="55">
        <f>SUMIFS('Disbursements Summary'!$E:$E,'Disbursements Summary'!$C:$C,$C118,'Disbursements Summary'!$A:$A,"CS")</f>
        <v>0</v>
      </c>
      <c r="AN118" s="55">
        <f>SUMIFS('Awards Summary'!$H:$H,'Awards Summary'!$B:$B,$C118,'Awards Summary'!$J:$J,"DOCCS")</f>
        <v>0</v>
      </c>
      <c r="AO118" s="55">
        <f>SUMIFS('Disbursements Summary'!$E:$E,'Disbursements Summary'!$C:$C,$C118,'Disbursements Summary'!$A:$A,"DOCCS")</f>
        <v>0</v>
      </c>
      <c r="AP118" s="55">
        <f>SUMIFS('Awards Summary'!$H:$H,'Awards Summary'!$B:$B,$C118,'Awards Summary'!$J:$J,"DED")</f>
        <v>0</v>
      </c>
      <c r="AQ118" s="55">
        <f>SUMIFS('Disbursements Summary'!$E:$E,'Disbursements Summary'!$C:$C,$C118,'Disbursements Summary'!$A:$A,"DED")</f>
        <v>0</v>
      </c>
      <c r="AR118" s="55">
        <f>SUMIFS('Awards Summary'!$H:$H,'Awards Summary'!$B:$B,$C118,'Awards Summary'!$J:$J,"DEC")</f>
        <v>0</v>
      </c>
      <c r="AS118" s="55">
        <f>SUMIFS('Disbursements Summary'!$E:$E,'Disbursements Summary'!$C:$C,$C118,'Disbursements Summary'!$A:$A,"DEC")</f>
        <v>0</v>
      </c>
      <c r="AT118" s="55">
        <f>SUMIFS('Awards Summary'!$H:$H,'Awards Summary'!$B:$B,$C118,'Awards Summary'!$J:$J,"DFS")</f>
        <v>0</v>
      </c>
      <c r="AU118" s="55">
        <f>SUMIFS('Disbursements Summary'!$E:$E,'Disbursements Summary'!$C:$C,$C118,'Disbursements Summary'!$A:$A,"DFS")</f>
        <v>0</v>
      </c>
      <c r="AV118" s="55">
        <f>SUMIFS('Awards Summary'!$H:$H,'Awards Summary'!$B:$B,$C118,'Awards Summary'!$J:$J,"DOH")</f>
        <v>0</v>
      </c>
      <c r="AW118" s="55">
        <f>SUMIFS('Disbursements Summary'!$E:$E,'Disbursements Summary'!$C:$C,$C118,'Disbursements Summary'!$A:$A,"DOH")</f>
        <v>0</v>
      </c>
      <c r="AX118" s="55">
        <f>SUMIFS('Awards Summary'!$H:$H,'Awards Summary'!$B:$B,$C118,'Awards Summary'!$J:$J,"DOL")</f>
        <v>0</v>
      </c>
      <c r="AY118" s="55">
        <f>SUMIFS('Disbursements Summary'!$E:$E,'Disbursements Summary'!$C:$C,$C118,'Disbursements Summary'!$A:$A,"DOL")</f>
        <v>0</v>
      </c>
      <c r="AZ118" s="55">
        <f>SUMIFS('Awards Summary'!$H:$H,'Awards Summary'!$B:$B,$C118,'Awards Summary'!$J:$J,"DMV")</f>
        <v>0</v>
      </c>
      <c r="BA118" s="55">
        <f>SUMIFS('Disbursements Summary'!$E:$E,'Disbursements Summary'!$C:$C,$C118,'Disbursements Summary'!$A:$A,"DMV")</f>
        <v>0</v>
      </c>
      <c r="BB118" s="55">
        <f>SUMIFS('Awards Summary'!$H:$H,'Awards Summary'!$B:$B,$C118,'Awards Summary'!$J:$J,"DPS")</f>
        <v>0</v>
      </c>
      <c r="BC118" s="55">
        <f>SUMIFS('Disbursements Summary'!$E:$E,'Disbursements Summary'!$C:$C,$C118,'Disbursements Summary'!$A:$A,"DPS")</f>
        <v>0</v>
      </c>
      <c r="BD118" s="55">
        <f>SUMIFS('Awards Summary'!$H:$H,'Awards Summary'!$B:$B,$C118,'Awards Summary'!$J:$J,"DOS")</f>
        <v>0</v>
      </c>
      <c r="BE118" s="55">
        <f>SUMIFS('Disbursements Summary'!$E:$E,'Disbursements Summary'!$C:$C,$C118,'Disbursements Summary'!$A:$A,"DOS")</f>
        <v>0</v>
      </c>
      <c r="BF118" s="55">
        <f>SUMIFS('Awards Summary'!$H:$H,'Awards Summary'!$B:$B,$C118,'Awards Summary'!$J:$J,"TAX")</f>
        <v>0</v>
      </c>
      <c r="BG118" s="55">
        <f>SUMIFS('Disbursements Summary'!$E:$E,'Disbursements Summary'!$C:$C,$C118,'Disbursements Summary'!$A:$A,"TAX")</f>
        <v>0</v>
      </c>
      <c r="BH118" s="55">
        <f>SUMIFS('Awards Summary'!$H:$H,'Awards Summary'!$B:$B,$C118,'Awards Summary'!$J:$J,"DOT")</f>
        <v>0</v>
      </c>
      <c r="BI118" s="55">
        <f>SUMIFS('Disbursements Summary'!$E:$E,'Disbursements Summary'!$C:$C,$C118,'Disbursements Summary'!$A:$A,"DOT")</f>
        <v>0</v>
      </c>
      <c r="BJ118" s="55">
        <f>SUMIFS('Awards Summary'!$H:$H,'Awards Summary'!$B:$B,$C118,'Awards Summary'!$J:$J,"DANC")</f>
        <v>0</v>
      </c>
      <c r="BK118" s="55">
        <f>SUMIFS('Disbursements Summary'!$E:$E,'Disbursements Summary'!$C:$C,$C118,'Disbursements Summary'!$A:$A,"DANC")</f>
        <v>0</v>
      </c>
      <c r="BL118" s="55">
        <f>SUMIFS('Awards Summary'!$H:$H,'Awards Summary'!$B:$B,$C118,'Awards Summary'!$J:$J,"DOB")</f>
        <v>0</v>
      </c>
      <c r="BM118" s="55">
        <f>SUMIFS('Disbursements Summary'!$E:$E,'Disbursements Summary'!$C:$C,$C118,'Disbursements Summary'!$A:$A,"DOB")</f>
        <v>0</v>
      </c>
      <c r="BN118" s="55">
        <f>SUMIFS('Awards Summary'!$H:$H,'Awards Summary'!$B:$B,$C118,'Awards Summary'!$J:$J,"DCJS")</f>
        <v>0</v>
      </c>
      <c r="BO118" s="55">
        <f>SUMIFS('Disbursements Summary'!$E:$E,'Disbursements Summary'!$C:$C,$C118,'Disbursements Summary'!$A:$A,"DCJS")</f>
        <v>0</v>
      </c>
      <c r="BP118" s="55">
        <f>SUMIFS('Awards Summary'!$H:$H,'Awards Summary'!$B:$B,$C118,'Awards Summary'!$J:$J,"DHSES")</f>
        <v>0</v>
      </c>
      <c r="BQ118" s="55">
        <f>SUMIFS('Disbursements Summary'!$E:$E,'Disbursements Summary'!$C:$C,$C118,'Disbursements Summary'!$A:$A,"DHSES")</f>
        <v>0</v>
      </c>
      <c r="BR118" s="55">
        <f>SUMIFS('Awards Summary'!$H:$H,'Awards Summary'!$B:$B,$C118,'Awards Summary'!$J:$J,"DHR")</f>
        <v>0</v>
      </c>
      <c r="BS118" s="55">
        <f>SUMIFS('Disbursements Summary'!$E:$E,'Disbursements Summary'!$C:$C,$C118,'Disbursements Summary'!$A:$A,"DHR")</f>
        <v>0</v>
      </c>
      <c r="BT118" s="55">
        <f>SUMIFS('Awards Summary'!$H:$H,'Awards Summary'!$B:$B,$C118,'Awards Summary'!$J:$J,"DMNA")</f>
        <v>0</v>
      </c>
      <c r="BU118" s="55">
        <f>SUMIFS('Disbursements Summary'!$E:$E,'Disbursements Summary'!$C:$C,$C118,'Disbursements Summary'!$A:$A,"DMNA")</f>
        <v>0</v>
      </c>
      <c r="BV118" s="55">
        <f>SUMIFS('Awards Summary'!$H:$H,'Awards Summary'!$B:$B,$C118,'Awards Summary'!$J:$J,"TROOPERS")</f>
        <v>0</v>
      </c>
      <c r="BW118" s="55">
        <f>SUMIFS('Disbursements Summary'!$E:$E,'Disbursements Summary'!$C:$C,$C118,'Disbursements Summary'!$A:$A,"TROOPERS")</f>
        <v>0</v>
      </c>
      <c r="BX118" s="55">
        <f>SUMIFS('Awards Summary'!$H:$H,'Awards Summary'!$B:$B,$C118,'Awards Summary'!$J:$J,"DVA")</f>
        <v>0</v>
      </c>
      <c r="BY118" s="55">
        <f>SUMIFS('Disbursements Summary'!$E:$E,'Disbursements Summary'!$C:$C,$C118,'Disbursements Summary'!$A:$A,"DVA")</f>
        <v>0</v>
      </c>
      <c r="BZ118" s="55">
        <f>SUMIFS('Awards Summary'!$H:$H,'Awards Summary'!$B:$B,$C118,'Awards Summary'!$J:$J,"DASNY")</f>
        <v>0</v>
      </c>
      <c r="CA118" s="55">
        <f>SUMIFS('Disbursements Summary'!$E:$E,'Disbursements Summary'!$C:$C,$C118,'Disbursements Summary'!$A:$A,"DASNY")</f>
        <v>0</v>
      </c>
      <c r="CB118" s="55">
        <f>SUMIFS('Awards Summary'!$H:$H,'Awards Summary'!$B:$B,$C118,'Awards Summary'!$J:$J,"EGG")</f>
        <v>0</v>
      </c>
      <c r="CC118" s="55">
        <f>SUMIFS('Disbursements Summary'!$E:$E,'Disbursements Summary'!$C:$C,$C118,'Disbursements Summary'!$A:$A,"EGG")</f>
        <v>0</v>
      </c>
      <c r="CD118" s="55">
        <f>SUMIFS('Awards Summary'!$H:$H,'Awards Summary'!$B:$B,$C118,'Awards Summary'!$J:$J,"ESD")</f>
        <v>0</v>
      </c>
      <c r="CE118" s="55">
        <f>SUMIFS('Disbursements Summary'!$E:$E,'Disbursements Summary'!$C:$C,$C118,'Disbursements Summary'!$A:$A,"ESD")</f>
        <v>0</v>
      </c>
      <c r="CF118" s="55">
        <f>SUMIFS('Awards Summary'!$H:$H,'Awards Summary'!$B:$B,$C118,'Awards Summary'!$J:$J,"EFC")</f>
        <v>0</v>
      </c>
      <c r="CG118" s="55">
        <f>SUMIFS('Disbursements Summary'!$E:$E,'Disbursements Summary'!$C:$C,$C118,'Disbursements Summary'!$A:$A,"EFC")</f>
        <v>0</v>
      </c>
      <c r="CH118" s="55">
        <f>SUMIFS('Awards Summary'!$H:$H,'Awards Summary'!$B:$B,$C118,'Awards Summary'!$J:$J,"ECFSA")</f>
        <v>0</v>
      </c>
      <c r="CI118" s="55">
        <f>SUMIFS('Disbursements Summary'!$E:$E,'Disbursements Summary'!$C:$C,$C118,'Disbursements Summary'!$A:$A,"ECFSA")</f>
        <v>0</v>
      </c>
      <c r="CJ118" s="55">
        <f>SUMIFS('Awards Summary'!$H:$H,'Awards Summary'!$B:$B,$C118,'Awards Summary'!$J:$J,"ECMC")</f>
        <v>0</v>
      </c>
      <c r="CK118" s="55">
        <f>SUMIFS('Disbursements Summary'!$E:$E,'Disbursements Summary'!$C:$C,$C118,'Disbursements Summary'!$A:$A,"ECMC")</f>
        <v>0</v>
      </c>
      <c r="CL118" s="55">
        <f>SUMIFS('Awards Summary'!$H:$H,'Awards Summary'!$B:$B,$C118,'Awards Summary'!$J:$J,"CHAMBER")</f>
        <v>0</v>
      </c>
      <c r="CM118" s="55">
        <f>SUMIFS('Disbursements Summary'!$E:$E,'Disbursements Summary'!$C:$C,$C118,'Disbursements Summary'!$A:$A,"CHAMBER")</f>
        <v>0</v>
      </c>
      <c r="CN118" s="55">
        <f>SUMIFS('Awards Summary'!$H:$H,'Awards Summary'!$B:$B,$C118,'Awards Summary'!$J:$J,"GAMING")</f>
        <v>0</v>
      </c>
      <c r="CO118" s="55">
        <f>SUMIFS('Disbursements Summary'!$E:$E,'Disbursements Summary'!$C:$C,$C118,'Disbursements Summary'!$A:$A,"GAMING")</f>
        <v>0</v>
      </c>
      <c r="CP118" s="55">
        <f>SUMIFS('Awards Summary'!$H:$H,'Awards Summary'!$B:$B,$C118,'Awards Summary'!$J:$J,"GOER")</f>
        <v>0</v>
      </c>
      <c r="CQ118" s="55">
        <f>SUMIFS('Disbursements Summary'!$E:$E,'Disbursements Summary'!$C:$C,$C118,'Disbursements Summary'!$A:$A,"GOER")</f>
        <v>0</v>
      </c>
      <c r="CR118" s="55">
        <f>SUMIFS('Awards Summary'!$H:$H,'Awards Summary'!$B:$B,$C118,'Awards Summary'!$J:$J,"HESC")</f>
        <v>0</v>
      </c>
      <c r="CS118" s="55">
        <f>SUMIFS('Disbursements Summary'!$E:$E,'Disbursements Summary'!$C:$C,$C118,'Disbursements Summary'!$A:$A,"HESC")</f>
        <v>0</v>
      </c>
      <c r="CT118" s="55">
        <f>SUMIFS('Awards Summary'!$H:$H,'Awards Summary'!$B:$B,$C118,'Awards Summary'!$J:$J,"GOSR")</f>
        <v>0</v>
      </c>
      <c r="CU118" s="55">
        <f>SUMIFS('Disbursements Summary'!$E:$E,'Disbursements Summary'!$C:$C,$C118,'Disbursements Summary'!$A:$A,"GOSR")</f>
        <v>0</v>
      </c>
      <c r="CV118" s="55">
        <f>SUMIFS('Awards Summary'!$H:$H,'Awards Summary'!$B:$B,$C118,'Awards Summary'!$J:$J,"HRPT")</f>
        <v>0</v>
      </c>
      <c r="CW118" s="55">
        <f>SUMIFS('Disbursements Summary'!$E:$E,'Disbursements Summary'!$C:$C,$C118,'Disbursements Summary'!$A:$A,"HRPT")</f>
        <v>0</v>
      </c>
      <c r="CX118" s="55">
        <f>SUMIFS('Awards Summary'!$H:$H,'Awards Summary'!$B:$B,$C118,'Awards Summary'!$J:$J,"HRBRRD")</f>
        <v>0</v>
      </c>
      <c r="CY118" s="55">
        <f>SUMIFS('Disbursements Summary'!$E:$E,'Disbursements Summary'!$C:$C,$C118,'Disbursements Summary'!$A:$A,"HRBRRD")</f>
        <v>0</v>
      </c>
      <c r="CZ118" s="55">
        <f>SUMIFS('Awards Summary'!$H:$H,'Awards Summary'!$B:$B,$C118,'Awards Summary'!$J:$J,"ITS")</f>
        <v>0</v>
      </c>
      <c r="DA118" s="55">
        <f>SUMIFS('Disbursements Summary'!$E:$E,'Disbursements Summary'!$C:$C,$C118,'Disbursements Summary'!$A:$A,"ITS")</f>
        <v>0</v>
      </c>
      <c r="DB118" s="55">
        <f>SUMIFS('Awards Summary'!$H:$H,'Awards Summary'!$B:$B,$C118,'Awards Summary'!$J:$J,"JAVITS")</f>
        <v>0</v>
      </c>
      <c r="DC118" s="55">
        <f>SUMIFS('Disbursements Summary'!$E:$E,'Disbursements Summary'!$C:$C,$C118,'Disbursements Summary'!$A:$A,"JAVITS")</f>
        <v>0</v>
      </c>
      <c r="DD118" s="55">
        <f>SUMIFS('Awards Summary'!$H:$H,'Awards Summary'!$B:$B,$C118,'Awards Summary'!$J:$J,"JCOPE")</f>
        <v>0</v>
      </c>
      <c r="DE118" s="55">
        <f>SUMIFS('Disbursements Summary'!$E:$E,'Disbursements Summary'!$C:$C,$C118,'Disbursements Summary'!$A:$A,"JCOPE")</f>
        <v>0</v>
      </c>
      <c r="DF118" s="55">
        <f>SUMIFS('Awards Summary'!$H:$H,'Awards Summary'!$B:$B,$C118,'Awards Summary'!$J:$J,"JUSTICE")</f>
        <v>0</v>
      </c>
      <c r="DG118" s="55">
        <f>SUMIFS('Disbursements Summary'!$E:$E,'Disbursements Summary'!$C:$C,$C118,'Disbursements Summary'!$A:$A,"JUSTICE")</f>
        <v>0</v>
      </c>
      <c r="DH118" s="55">
        <f>SUMIFS('Awards Summary'!$H:$H,'Awards Summary'!$B:$B,$C118,'Awards Summary'!$J:$J,"LCWSA")</f>
        <v>0</v>
      </c>
      <c r="DI118" s="55">
        <f>SUMIFS('Disbursements Summary'!$E:$E,'Disbursements Summary'!$C:$C,$C118,'Disbursements Summary'!$A:$A,"LCWSA")</f>
        <v>0</v>
      </c>
      <c r="DJ118" s="55">
        <f>SUMIFS('Awards Summary'!$H:$H,'Awards Summary'!$B:$B,$C118,'Awards Summary'!$J:$J,"LIPA")</f>
        <v>0</v>
      </c>
      <c r="DK118" s="55">
        <f>SUMIFS('Disbursements Summary'!$E:$E,'Disbursements Summary'!$C:$C,$C118,'Disbursements Summary'!$A:$A,"LIPA")</f>
        <v>0</v>
      </c>
      <c r="DL118" s="55">
        <f>SUMIFS('Awards Summary'!$H:$H,'Awards Summary'!$B:$B,$C118,'Awards Summary'!$J:$J,"MTA")</f>
        <v>0</v>
      </c>
      <c r="DM118" s="55">
        <f>SUMIFS('Disbursements Summary'!$E:$E,'Disbursements Summary'!$C:$C,$C118,'Disbursements Summary'!$A:$A,"MTA")</f>
        <v>0</v>
      </c>
      <c r="DN118" s="55">
        <f>SUMIFS('Awards Summary'!$H:$H,'Awards Summary'!$B:$B,$C118,'Awards Summary'!$J:$J,"NIFA")</f>
        <v>0</v>
      </c>
      <c r="DO118" s="55">
        <f>SUMIFS('Disbursements Summary'!$E:$E,'Disbursements Summary'!$C:$C,$C118,'Disbursements Summary'!$A:$A,"NIFA")</f>
        <v>0</v>
      </c>
      <c r="DP118" s="55">
        <f>SUMIFS('Awards Summary'!$H:$H,'Awards Summary'!$B:$B,$C118,'Awards Summary'!$J:$J,"NHCC")</f>
        <v>0</v>
      </c>
      <c r="DQ118" s="55">
        <f>SUMIFS('Disbursements Summary'!$E:$E,'Disbursements Summary'!$C:$C,$C118,'Disbursements Summary'!$A:$A,"NHCC")</f>
        <v>0</v>
      </c>
      <c r="DR118" s="55">
        <f>SUMIFS('Awards Summary'!$H:$H,'Awards Summary'!$B:$B,$C118,'Awards Summary'!$J:$J,"NHT")</f>
        <v>0</v>
      </c>
      <c r="DS118" s="55">
        <f>SUMIFS('Disbursements Summary'!$E:$E,'Disbursements Summary'!$C:$C,$C118,'Disbursements Summary'!$A:$A,"NHT")</f>
        <v>0</v>
      </c>
      <c r="DT118" s="55">
        <f>SUMIFS('Awards Summary'!$H:$H,'Awards Summary'!$B:$B,$C118,'Awards Summary'!$J:$J,"NYPA")</f>
        <v>0</v>
      </c>
      <c r="DU118" s="55">
        <f>SUMIFS('Disbursements Summary'!$E:$E,'Disbursements Summary'!$C:$C,$C118,'Disbursements Summary'!$A:$A,"NYPA")</f>
        <v>0</v>
      </c>
      <c r="DV118" s="55">
        <f>SUMIFS('Awards Summary'!$H:$H,'Awards Summary'!$B:$B,$C118,'Awards Summary'!$J:$J,"NYSBA")</f>
        <v>0</v>
      </c>
      <c r="DW118" s="55">
        <f>SUMIFS('Disbursements Summary'!$E:$E,'Disbursements Summary'!$C:$C,$C118,'Disbursements Summary'!$A:$A,"NYSBA")</f>
        <v>0</v>
      </c>
      <c r="DX118" s="55">
        <f>SUMIFS('Awards Summary'!$H:$H,'Awards Summary'!$B:$B,$C118,'Awards Summary'!$J:$J,"NYSERDA")</f>
        <v>0</v>
      </c>
      <c r="DY118" s="55">
        <f>SUMIFS('Disbursements Summary'!$E:$E,'Disbursements Summary'!$C:$C,$C118,'Disbursements Summary'!$A:$A,"NYSERDA")</f>
        <v>0</v>
      </c>
      <c r="DZ118" s="55">
        <f>SUMIFS('Awards Summary'!$H:$H,'Awards Summary'!$B:$B,$C118,'Awards Summary'!$J:$J,"DHCR")</f>
        <v>0</v>
      </c>
      <c r="EA118" s="55">
        <f>SUMIFS('Disbursements Summary'!$E:$E,'Disbursements Summary'!$C:$C,$C118,'Disbursements Summary'!$A:$A,"DHCR")</f>
        <v>0</v>
      </c>
      <c r="EB118" s="55">
        <f>SUMIFS('Awards Summary'!$H:$H,'Awards Summary'!$B:$B,$C118,'Awards Summary'!$J:$J,"HFA")</f>
        <v>0</v>
      </c>
      <c r="EC118" s="55">
        <f>SUMIFS('Disbursements Summary'!$E:$E,'Disbursements Summary'!$C:$C,$C118,'Disbursements Summary'!$A:$A,"HFA")</f>
        <v>0</v>
      </c>
      <c r="ED118" s="55">
        <f>SUMIFS('Awards Summary'!$H:$H,'Awards Summary'!$B:$B,$C118,'Awards Summary'!$J:$J,"NYSIF")</f>
        <v>0</v>
      </c>
      <c r="EE118" s="55">
        <f>SUMIFS('Disbursements Summary'!$E:$E,'Disbursements Summary'!$C:$C,$C118,'Disbursements Summary'!$A:$A,"NYSIF")</f>
        <v>0</v>
      </c>
      <c r="EF118" s="55">
        <f>SUMIFS('Awards Summary'!$H:$H,'Awards Summary'!$B:$B,$C118,'Awards Summary'!$J:$J,"NYBREDS")</f>
        <v>0</v>
      </c>
      <c r="EG118" s="55">
        <f>SUMIFS('Disbursements Summary'!$E:$E,'Disbursements Summary'!$C:$C,$C118,'Disbursements Summary'!$A:$A,"NYBREDS")</f>
        <v>0</v>
      </c>
      <c r="EH118" s="55">
        <f>SUMIFS('Awards Summary'!$H:$H,'Awards Summary'!$B:$B,$C118,'Awards Summary'!$J:$J,"NYSTA")</f>
        <v>0</v>
      </c>
      <c r="EI118" s="55">
        <f>SUMIFS('Disbursements Summary'!$E:$E,'Disbursements Summary'!$C:$C,$C118,'Disbursements Summary'!$A:$A,"NYSTA")</f>
        <v>0</v>
      </c>
      <c r="EJ118" s="55">
        <f>SUMIFS('Awards Summary'!$H:$H,'Awards Summary'!$B:$B,$C118,'Awards Summary'!$J:$J,"NFWB")</f>
        <v>0</v>
      </c>
      <c r="EK118" s="55">
        <f>SUMIFS('Disbursements Summary'!$E:$E,'Disbursements Summary'!$C:$C,$C118,'Disbursements Summary'!$A:$A,"NFWB")</f>
        <v>0</v>
      </c>
      <c r="EL118" s="55">
        <f>SUMIFS('Awards Summary'!$H:$H,'Awards Summary'!$B:$B,$C118,'Awards Summary'!$J:$J,"NFTA")</f>
        <v>0</v>
      </c>
      <c r="EM118" s="55">
        <f>SUMIFS('Disbursements Summary'!$E:$E,'Disbursements Summary'!$C:$C,$C118,'Disbursements Summary'!$A:$A,"NFTA")</f>
        <v>0</v>
      </c>
      <c r="EN118" s="55">
        <f>SUMIFS('Awards Summary'!$H:$H,'Awards Summary'!$B:$B,$C118,'Awards Summary'!$J:$J,"OPWDD")</f>
        <v>0</v>
      </c>
      <c r="EO118" s="55">
        <f>SUMIFS('Disbursements Summary'!$E:$E,'Disbursements Summary'!$C:$C,$C118,'Disbursements Summary'!$A:$A,"OPWDD")</f>
        <v>0</v>
      </c>
      <c r="EP118" s="55">
        <f>SUMIFS('Awards Summary'!$H:$H,'Awards Summary'!$B:$B,$C118,'Awards Summary'!$J:$J,"AGING")</f>
        <v>0</v>
      </c>
      <c r="EQ118" s="55">
        <f>SUMIFS('Disbursements Summary'!$E:$E,'Disbursements Summary'!$C:$C,$C118,'Disbursements Summary'!$A:$A,"AGING")</f>
        <v>0</v>
      </c>
      <c r="ER118" s="55">
        <f>SUMIFS('Awards Summary'!$H:$H,'Awards Summary'!$B:$B,$C118,'Awards Summary'!$J:$J,"OPDV")</f>
        <v>0</v>
      </c>
      <c r="ES118" s="55">
        <f>SUMIFS('Disbursements Summary'!$E:$E,'Disbursements Summary'!$C:$C,$C118,'Disbursements Summary'!$A:$A,"OPDV")</f>
        <v>0</v>
      </c>
      <c r="ET118" s="55">
        <f>SUMIFS('Awards Summary'!$H:$H,'Awards Summary'!$B:$B,$C118,'Awards Summary'!$J:$J,"OVS")</f>
        <v>0</v>
      </c>
      <c r="EU118" s="55">
        <f>SUMIFS('Disbursements Summary'!$E:$E,'Disbursements Summary'!$C:$C,$C118,'Disbursements Summary'!$A:$A,"OVS")</f>
        <v>0</v>
      </c>
      <c r="EV118" s="55">
        <f>SUMIFS('Awards Summary'!$H:$H,'Awards Summary'!$B:$B,$C118,'Awards Summary'!$J:$J,"OASAS")</f>
        <v>0</v>
      </c>
      <c r="EW118" s="55">
        <f>SUMIFS('Disbursements Summary'!$E:$E,'Disbursements Summary'!$C:$C,$C118,'Disbursements Summary'!$A:$A,"OASAS")</f>
        <v>0</v>
      </c>
      <c r="EX118" s="55">
        <f>SUMIFS('Awards Summary'!$H:$H,'Awards Summary'!$B:$B,$C118,'Awards Summary'!$J:$J,"OCFS")</f>
        <v>0</v>
      </c>
      <c r="EY118" s="55">
        <f>SUMIFS('Disbursements Summary'!$E:$E,'Disbursements Summary'!$C:$C,$C118,'Disbursements Summary'!$A:$A,"OCFS")</f>
        <v>0</v>
      </c>
      <c r="EZ118" s="55">
        <f>SUMIFS('Awards Summary'!$H:$H,'Awards Summary'!$B:$B,$C118,'Awards Summary'!$J:$J,"OGS")</f>
        <v>0</v>
      </c>
      <c r="FA118" s="55">
        <f>SUMIFS('Disbursements Summary'!$E:$E,'Disbursements Summary'!$C:$C,$C118,'Disbursements Summary'!$A:$A,"OGS")</f>
        <v>0</v>
      </c>
      <c r="FB118" s="55">
        <f>SUMIFS('Awards Summary'!$H:$H,'Awards Summary'!$B:$B,$C118,'Awards Summary'!$J:$J,"OMH")</f>
        <v>0</v>
      </c>
      <c r="FC118" s="55">
        <f>SUMIFS('Disbursements Summary'!$E:$E,'Disbursements Summary'!$C:$C,$C118,'Disbursements Summary'!$A:$A,"OMH")</f>
        <v>0</v>
      </c>
      <c r="FD118" s="55">
        <f>SUMIFS('Awards Summary'!$H:$H,'Awards Summary'!$B:$B,$C118,'Awards Summary'!$J:$J,"PARKS")</f>
        <v>0</v>
      </c>
      <c r="FE118" s="55">
        <f>SUMIFS('Disbursements Summary'!$E:$E,'Disbursements Summary'!$C:$C,$C118,'Disbursements Summary'!$A:$A,"PARKS")</f>
        <v>0</v>
      </c>
      <c r="FF118" s="55">
        <f>SUMIFS('Awards Summary'!$H:$H,'Awards Summary'!$B:$B,$C118,'Awards Summary'!$J:$J,"OTDA")</f>
        <v>0</v>
      </c>
      <c r="FG118" s="55">
        <f>SUMIFS('Disbursements Summary'!$E:$E,'Disbursements Summary'!$C:$C,$C118,'Disbursements Summary'!$A:$A,"OTDA")</f>
        <v>0</v>
      </c>
      <c r="FH118" s="55">
        <f>SUMIFS('Awards Summary'!$H:$H,'Awards Summary'!$B:$B,$C118,'Awards Summary'!$J:$J,"OIG")</f>
        <v>0</v>
      </c>
      <c r="FI118" s="55">
        <f>SUMIFS('Disbursements Summary'!$E:$E,'Disbursements Summary'!$C:$C,$C118,'Disbursements Summary'!$A:$A,"OIG")</f>
        <v>0</v>
      </c>
      <c r="FJ118" s="55">
        <f>SUMIFS('Awards Summary'!$H:$H,'Awards Summary'!$B:$B,$C118,'Awards Summary'!$J:$J,"OMIG")</f>
        <v>0</v>
      </c>
      <c r="FK118" s="55">
        <f>SUMIFS('Disbursements Summary'!$E:$E,'Disbursements Summary'!$C:$C,$C118,'Disbursements Summary'!$A:$A,"OMIG")</f>
        <v>0</v>
      </c>
      <c r="FL118" s="55">
        <f>SUMIFS('Awards Summary'!$H:$H,'Awards Summary'!$B:$B,$C118,'Awards Summary'!$J:$J,"OSC")</f>
        <v>0</v>
      </c>
      <c r="FM118" s="55">
        <f>SUMIFS('Disbursements Summary'!$E:$E,'Disbursements Summary'!$C:$C,$C118,'Disbursements Summary'!$A:$A,"OSC")</f>
        <v>0</v>
      </c>
      <c r="FN118" s="55">
        <f>SUMIFS('Awards Summary'!$H:$H,'Awards Summary'!$B:$B,$C118,'Awards Summary'!$J:$J,"OWIG")</f>
        <v>0</v>
      </c>
      <c r="FO118" s="55">
        <f>SUMIFS('Disbursements Summary'!$E:$E,'Disbursements Summary'!$C:$C,$C118,'Disbursements Summary'!$A:$A,"OWIG")</f>
        <v>0</v>
      </c>
      <c r="FP118" s="55">
        <f>SUMIFS('Awards Summary'!$H:$H,'Awards Summary'!$B:$B,$C118,'Awards Summary'!$J:$J,"OGDEN")</f>
        <v>0</v>
      </c>
      <c r="FQ118" s="55">
        <f>SUMIFS('Disbursements Summary'!$E:$E,'Disbursements Summary'!$C:$C,$C118,'Disbursements Summary'!$A:$A,"OGDEN")</f>
        <v>0</v>
      </c>
      <c r="FR118" s="55">
        <f>SUMIFS('Awards Summary'!$H:$H,'Awards Summary'!$B:$B,$C118,'Awards Summary'!$J:$J,"ORDA")</f>
        <v>0</v>
      </c>
      <c r="FS118" s="55">
        <f>SUMIFS('Disbursements Summary'!$E:$E,'Disbursements Summary'!$C:$C,$C118,'Disbursements Summary'!$A:$A,"ORDA")</f>
        <v>0</v>
      </c>
      <c r="FT118" s="55">
        <f>SUMIFS('Awards Summary'!$H:$H,'Awards Summary'!$B:$B,$C118,'Awards Summary'!$J:$J,"OSWEGO")</f>
        <v>0</v>
      </c>
      <c r="FU118" s="55">
        <f>SUMIFS('Disbursements Summary'!$E:$E,'Disbursements Summary'!$C:$C,$C118,'Disbursements Summary'!$A:$A,"OSWEGO")</f>
        <v>0</v>
      </c>
      <c r="FV118" s="55">
        <f>SUMIFS('Awards Summary'!$H:$H,'Awards Summary'!$B:$B,$C118,'Awards Summary'!$J:$J,"PERB")</f>
        <v>0</v>
      </c>
      <c r="FW118" s="55">
        <f>SUMIFS('Disbursements Summary'!$E:$E,'Disbursements Summary'!$C:$C,$C118,'Disbursements Summary'!$A:$A,"PERB")</f>
        <v>0</v>
      </c>
      <c r="FX118" s="55">
        <f>SUMIFS('Awards Summary'!$H:$H,'Awards Summary'!$B:$B,$C118,'Awards Summary'!$J:$J,"RGRTA")</f>
        <v>0</v>
      </c>
      <c r="FY118" s="55">
        <f>SUMIFS('Disbursements Summary'!$E:$E,'Disbursements Summary'!$C:$C,$C118,'Disbursements Summary'!$A:$A,"RGRTA")</f>
        <v>0</v>
      </c>
      <c r="FZ118" s="55">
        <f>SUMIFS('Awards Summary'!$H:$H,'Awards Summary'!$B:$B,$C118,'Awards Summary'!$J:$J,"RIOC")</f>
        <v>0</v>
      </c>
      <c r="GA118" s="55">
        <f>SUMIFS('Disbursements Summary'!$E:$E,'Disbursements Summary'!$C:$C,$C118,'Disbursements Summary'!$A:$A,"RIOC")</f>
        <v>0</v>
      </c>
      <c r="GB118" s="55">
        <f>SUMIFS('Awards Summary'!$H:$H,'Awards Summary'!$B:$B,$C118,'Awards Summary'!$J:$J,"RPCI")</f>
        <v>0</v>
      </c>
      <c r="GC118" s="55">
        <f>SUMIFS('Disbursements Summary'!$E:$E,'Disbursements Summary'!$C:$C,$C118,'Disbursements Summary'!$A:$A,"RPCI")</f>
        <v>0</v>
      </c>
      <c r="GD118" s="55">
        <f>SUMIFS('Awards Summary'!$H:$H,'Awards Summary'!$B:$B,$C118,'Awards Summary'!$J:$J,"SMDA")</f>
        <v>0</v>
      </c>
      <c r="GE118" s="55">
        <f>SUMIFS('Disbursements Summary'!$E:$E,'Disbursements Summary'!$C:$C,$C118,'Disbursements Summary'!$A:$A,"SMDA")</f>
        <v>0</v>
      </c>
      <c r="GF118" s="55">
        <f>SUMIFS('Awards Summary'!$H:$H,'Awards Summary'!$B:$B,$C118,'Awards Summary'!$J:$J,"SCOC")</f>
        <v>0</v>
      </c>
      <c r="GG118" s="55">
        <f>SUMIFS('Disbursements Summary'!$E:$E,'Disbursements Summary'!$C:$C,$C118,'Disbursements Summary'!$A:$A,"SCOC")</f>
        <v>0</v>
      </c>
      <c r="GH118" s="55">
        <f>SUMIFS('Awards Summary'!$H:$H,'Awards Summary'!$B:$B,$C118,'Awards Summary'!$J:$J,"SUCF")</f>
        <v>0</v>
      </c>
      <c r="GI118" s="55">
        <f>SUMIFS('Disbursements Summary'!$E:$E,'Disbursements Summary'!$C:$C,$C118,'Disbursements Summary'!$A:$A,"SUCF")</f>
        <v>0</v>
      </c>
      <c r="GJ118" s="55">
        <f>SUMIFS('Awards Summary'!$H:$H,'Awards Summary'!$B:$B,$C118,'Awards Summary'!$J:$J,"SUNY")</f>
        <v>0</v>
      </c>
      <c r="GK118" s="55">
        <f>SUMIFS('Disbursements Summary'!$E:$E,'Disbursements Summary'!$C:$C,$C118,'Disbursements Summary'!$A:$A,"SUNY")</f>
        <v>0</v>
      </c>
      <c r="GL118" s="55">
        <f>SUMIFS('Awards Summary'!$H:$H,'Awards Summary'!$B:$B,$C118,'Awards Summary'!$J:$J,"SRAA")</f>
        <v>0</v>
      </c>
      <c r="GM118" s="55">
        <f>SUMIFS('Disbursements Summary'!$E:$E,'Disbursements Summary'!$C:$C,$C118,'Disbursements Summary'!$A:$A,"SRAA")</f>
        <v>0</v>
      </c>
      <c r="GN118" s="55">
        <f>SUMIFS('Awards Summary'!$H:$H,'Awards Summary'!$B:$B,$C118,'Awards Summary'!$J:$J,"UNDC")</f>
        <v>0</v>
      </c>
      <c r="GO118" s="55">
        <f>SUMIFS('Disbursements Summary'!$E:$E,'Disbursements Summary'!$C:$C,$C118,'Disbursements Summary'!$A:$A,"UNDC")</f>
        <v>0</v>
      </c>
      <c r="GP118" s="55">
        <f>SUMIFS('Awards Summary'!$H:$H,'Awards Summary'!$B:$B,$C118,'Awards Summary'!$J:$J,"MVWA")</f>
        <v>0</v>
      </c>
      <c r="GQ118" s="55">
        <f>SUMIFS('Disbursements Summary'!$E:$E,'Disbursements Summary'!$C:$C,$C118,'Disbursements Summary'!$A:$A,"MVWA")</f>
        <v>0</v>
      </c>
      <c r="GR118" s="55">
        <f>SUMIFS('Awards Summary'!$H:$H,'Awards Summary'!$B:$B,$C118,'Awards Summary'!$J:$J,"WMC")</f>
        <v>0</v>
      </c>
      <c r="GS118" s="55">
        <f>SUMIFS('Disbursements Summary'!$E:$E,'Disbursements Summary'!$C:$C,$C118,'Disbursements Summary'!$A:$A,"WMC")</f>
        <v>0</v>
      </c>
      <c r="GT118" s="55">
        <f>SUMIFS('Awards Summary'!$H:$H,'Awards Summary'!$B:$B,$C118,'Awards Summary'!$J:$J,"WCB")</f>
        <v>0</v>
      </c>
      <c r="GU118" s="55">
        <f>SUMIFS('Disbursements Summary'!$E:$E,'Disbursements Summary'!$C:$C,$C118,'Disbursements Summary'!$A:$A,"WCB")</f>
        <v>0</v>
      </c>
      <c r="GV118" s="32">
        <f t="shared" si="10"/>
        <v>0</v>
      </c>
      <c r="GW118" s="32">
        <f t="shared" si="11"/>
        <v>0</v>
      </c>
      <c r="GX118" s="30" t="b">
        <f t="shared" si="12"/>
        <v>1</v>
      </c>
      <c r="GY118" s="30" t="b">
        <f t="shared" si="13"/>
        <v>1</v>
      </c>
    </row>
    <row r="119" spans="1:207" s="30" customFormat="1">
      <c r="A119" s="22" t="str">
        <f t="shared" si="9"/>
        <v/>
      </c>
      <c r="B119" s="69" t="s">
        <v>489</v>
      </c>
      <c r="C119" s="65">
        <v>161296</v>
      </c>
      <c r="D119" s="26">
        <f>COUNTIF('Awards Summary'!B:B,"161296")</f>
        <v>0</v>
      </c>
      <c r="E119" s="45">
        <f>SUMIFS('Awards Summary'!H:H,'Awards Summary'!B:B,"161296")</f>
        <v>0</v>
      </c>
      <c r="F119" s="46">
        <f>SUMIFS('Disbursements Summary'!E:E,'Disbursements Summary'!C:C, "161296")</f>
        <v>0</v>
      </c>
      <c r="H119" s="55">
        <f>SUMIFS('Awards Summary'!$H:$H,'Awards Summary'!$B:$B,$C119,'Awards Summary'!$J:$J,"APA")</f>
        <v>0</v>
      </c>
      <c r="I119" s="55">
        <f>SUMIFS('Disbursements Summary'!$E:$E,'Disbursements Summary'!$C:$C,$C119,'Disbursements Summary'!$A:$A,"APA")</f>
        <v>0</v>
      </c>
      <c r="J119" s="55">
        <f>SUMIFS('Awards Summary'!$H:$H,'Awards Summary'!$B:$B,$C119,'Awards Summary'!$J:$J,"Ag&amp;Horse")</f>
        <v>0</v>
      </c>
      <c r="K119" s="55">
        <f>SUMIFS('Disbursements Summary'!$E:$E,'Disbursements Summary'!$C:$C,$C119,'Disbursements Summary'!$A:$A,"Ag&amp;Horse")</f>
        <v>0</v>
      </c>
      <c r="L119" s="55">
        <f>SUMIFS('Awards Summary'!$H:$H,'Awards Summary'!$B:$B,$C119,'Awards Summary'!$J:$J,"ACAA")</f>
        <v>0</v>
      </c>
      <c r="M119" s="55">
        <f>SUMIFS('Disbursements Summary'!$E:$E,'Disbursements Summary'!$C:$C,$C119,'Disbursements Summary'!$A:$A,"ACAA")</f>
        <v>0</v>
      </c>
      <c r="N119" s="55">
        <f>SUMIFS('Awards Summary'!$H:$H,'Awards Summary'!$B:$B,$C119,'Awards Summary'!$J:$J,"PortAlbany")</f>
        <v>0</v>
      </c>
      <c r="O119" s="55">
        <f>SUMIFS('Disbursements Summary'!$E:$E,'Disbursements Summary'!$C:$C,$C119,'Disbursements Summary'!$A:$A,"PortAlbany")</f>
        <v>0</v>
      </c>
      <c r="P119" s="55">
        <f>SUMIFS('Awards Summary'!$H:$H,'Awards Summary'!$B:$B,$C119,'Awards Summary'!$J:$J,"SLA")</f>
        <v>0</v>
      </c>
      <c r="Q119" s="55">
        <f>SUMIFS('Disbursements Summary'!$E:$E,'Disbursements Summary'!$C:$C,$C119,'Disbursements Summary'!$A:$A,"SLA")</f>
        <v>0</v>
      </c>
      <c r="R119" s="55">
        <f>SUMIFS('Awards Summary'!$H:$H,'Awards Summary'!$B:$B,$C119,'Awards Summary'!$J:$J,"BPCA")</f>
        <v>0</v>
      </c>
      <c r="S119" s="55">
        <f>SUMIFS('Disbursements Summary'!$E:$E,'Disbursements Summary'!$C:$C,$C119,'Disbursements Summary'!$A:$A,"BPCA")</f>
        <v>0</v>
      </c>
      <c r="T119" s="55">
        <f>SUMIFS('Awards Summary'!$H:$H,'Awards Summary'!$B:$B,$C119,'Awards Summary'!$J:$J,"ELECTIONS")</f>
        <v>0</v>
      </c>
      <c r="U119" s="55">
        <f>SUMIFS('Disbursements Summary'!$E:$E,'Disbursements Summary'!$C:$C,$C119,'Disbursements Summary'!$A:$A,"ELECTIONS")</f>
        <v>0</v>
      </c>
      <c r="V119" s="55">
        <f>SUMIFS('Awards Summary'!$H:$H,'Awards Summary'!$B:$B,$C119,'Awards Summary'!$J:$J,"BFSA")</f>
        <v>0</v>
      </c>
      <c r="W119" s="55">
        <f>SUMIFS('Disbursements Summary'!$E:$E,'Disbursements Summary'!$C:$C,$C119,'Disbursements Summary'!$A:$A,"BFSA")</f>
        <v>0</v>
      </c>
      <c r="X119" s="55">
        <f>SUMIFS('Awards Summary'!$H:$H,'Awards Summary'!$B:$B,$C119,'Awards Summary'!$J:$J,"CDTA")</f>
        <v>0</v>
      </c>
      <c r="Y119" s="55">
        <f>SUMIFS('Disbursements Summary'!$E:$E,'Disbursements Summary'!$C:$C,$C119,'Disbursements Summary'!$A:$A,"CDTA")</f>
        <v>0</v>
      </c>
      <c r="Z119" s="55">
        <f>SUMIFS('Awards Summary'!$H:$H,'Awards Summary'!$B:$B,$C119,'Awards Summary'!$J:$J,"CCWSA")</f>
        <v>0</v>
      </c>
      <c r="AA119" s="55">
        <f>SUMIFS('Disbursements Summary'!$E:$E,'Disbursements Summary'!$C:$C,$C119,'Disbursements Summary'!$A:$A,"CCWSA")</f>
        <v>0</v>
      </c>
      <c r="AB119" s="55">
        <f>SUMIFS('Awards Summary'!$H:$H,'Awards Summary'!$B:$B,$C119,'Awards Summary'!$J:$J,"CNYRTA")</f>
        <v>0</v>
      </c>
      <c r="AC119" s="55">
        <f>SUMIFS('Disbursements Summary'!$E:$E,'Disbursements Summary'!$C:$C,$C119,'Disbursements Summary'!$A:$A,"CNYRTA")</f>
        <v>0</v>
      </c>
      <c r="AD119" s="55">
        <f>SUMIFS('Awards Summary'!$H:$H,'Awards Summary'!$B:$B,$C119,'Awards Summary'!$J:$J,"CUCF")</f>
        <v>0</v>
      </c>
      <c r="AE119" s="55">
        <f>SUMIFS('Disbursements Summary'!$E:$E,'Disbursements Summary'!$C:$C,$C119,'Disbursements Summary'!$A:$A,"CUCF")</f>
        <v>0</v>
      </c>
      <c r="AF119" s="55">
        <f>SUMIFS('Awards Summary'!$H:$H,'Awards Summary'!$B:$B,$C119,'Awards Summary'!$J:$J,"CUNY")</f>
        <v>0</v>
      </c>
      <c r="AG119" s="55">
        <f>SUMIFS('Disbursements Summary'!$E:$E,'Disbursements Summary'!$C:$C,$C119,'Disbursements Summary'!$A:$A,"CUNY")</f>
        <v>0</v>
      </c>
      <c r="AH119" s="55">
        <f>SUMIFS('Awards Summary'!$H:$H,'Awards Summary'!$B:$B,$C119,'Awards Summary'!$J:$J,"ARTS")</f>
        <v>0</v>
      </c>
      <c r="AI119" s="55">
        <f>SUMIFS('Disbursements Summary'!$E:$E,'Disbursements Summary'!$C:$C,$C119,'Disbursements Summary'!$A:$A,"ARTS")</f>
        <v>0</v>
      </c>
      <c r="AJ119" s="55">
        <f>SUMIFS('Awards Summary'!$H:$H,'Awards Summary'!$B:$B,$C119,'Awards Summary'!$J:$J,"AG&amp;MKTS")</f>
        <v>0</v>
      </c>
      <c r="AK119" s="55">
        <f>SUMIFS('Disbursements Summary'!$E:$E,'Disbursements Summary'!$C:$C,$C119,'Disbursements Summary'!$A:$A,"AG&amp;MKTS")</f>
        <v>0</v>
      </c>
      <c r="AL119" s="55">
        <f>SUMIFS('Awards Summary'!$H:$H,'Awards Summary'!$B:$B,$C119,'Awards Summary'!$J:$J,"CS")</f>
        <v>0</v>
      </c>
      <c r="AM119" s="55">
        <f>SUMIFS('Disbursements Summary'!$E:$E,'Disbursements Summary'!$C:$C,$C119,'Disbursements Summary'!$A:$A,"CS")</f>
        <v>0</v>
      </c>
      <c r="AN119" s="55">
        <f>SUMIFS('Awards Summary'!$H:$H,'Awards Summary'!$B:$B,$C119,'Awards Summary'!$J:$J,"DOCCS")</f>
        <v>0</v>
      </c>
      <c r="AO119" s="55">
        <f>SUMIFS('Disbursements Summary'!$E:$E,'Disbursements Summary'!$C:$C,$C119,'Disbursements Summary'!$A:$A,"DOCCS")</f>
        <v>0</v>
      </c>
      <c r="AP119" s="55">
        <f>SUMIFS('Awards Summary'!$H:$H,'Awards Summary'!$B:$B,$C119,'Awards Summary'!$J:$J,"DED")</f>
        <v>0</v>
      </c>
      <c r="AQ119" s="55">
        <f>SUMIFS('Disbursements Summary'!$E:$E,'Disbursements Summary'!$C:$C,$C119,'Disbursements Summary'!$A:$A,"DED")</f>
        <v>0</v>
      </c>
      <c r="AR119" s="55">
        <f>SUMIFS('Awards Summary'!$H:$H,'Awards Summary'!$B:$B,$C119,'Awards Summary'!$J:$J,"DEC")</f>
        <v>0</v>
      </c>
      <c r="AS119" s="55">
        <f>SUMIFS('Disbursements Summary'!$E:$E,'Disbursements Summary'!$C:$C,$C119,'Disbursements Summary'!$A:$A,"DEC")</f>
        <v>0</v>
      </c>
      <c r="AT119" s="55">
        <f>SUMIFS('Awards Summary'!$H:$H,'Awards Summary'!$B:$B,$C119,'Awards Summary'!$J:$J,"DFS")</f>
        <v>0</v>
      </c>
      <c r="AU119" s="55">
        <f>SUMIFS('Disbursements Summary'!$E:$E,'Disbursements Summary'!$C:$C,$C119,'Disbursements Summary'!$A:$A,"DFS")</f>
        <v>0</v>
      </c>
      <c r="AV119" s="55">
        <f>SUMIFS('Awards Summary'!$H:$H,'Awards Summary'!$B:$B,$C119,'Awards Summary'!$J:$J,"DOH")</f>
        <v>0</v>
      </c>
      <c r="AW119" s="55">
        <f>SUMIFS('Disbursements Summary'!$E:$E,'Disbursements Summary'!$C:$C,$C119,'Disbursements Summary'!$A:$A,"DOH")</f>
        <v>0</v>
      </c>
      <c r="AX119" s="55">
        <f>SUMIFS('Awards Summary'!$H:$H,'Awards Summary'!$B:$B,$C119,'Awards Summary'!$J:$J,"DOL")</f>
        <v>0</v>
      </c>
      <c r="AY119" s="55">
        <f>SUMIFS('Disbursements Summary'!$E:$E,'Disbursements Summary'!$C:$C,$C119,'Disbursements Summary'!$A:$A,"DOL")</f>
        <v>0</v>
      </c>
      <c r="AZ119" s="55">
        <f>SUMIFS('Awards Summary'!$H:$H,'Awards Summary'!$B:$B,$C119,'Awards Summary'!$J:$J,"DMV")</f>
        <v>0</v>
      </c>
      <c r="BA119" s="55">
        <f>SUMIFS('Disbursements Summary'!$E:$E,'Disbursements Summary'!$C:$C,$C119,'Disbursements Summary'!$A:$A,"DMV")</f>
        <v>0</v>
      </c>
      <c r="BB119" s="55">
        <f>SUMIFS('Awards Summary'!$H:$H,'Awards Summary'!$B:$B,$C119,'Awards Summary'!$J:$J,"DPS")</f>
        <v>0</v>
      </c>
      <c r="BC119" s="55">
        <f>SUMIFS('Disbursements Summary'!$E:$E,'Disbursements Summary'!$C:$C,$C119,'Disbursements Summary'!$A:$A,"DPS")</f>
        <v>0</v>
      </c>
      <c r="BD119" s="55">
        <f>SUMIFS('Awards Summary'!$H:$H,'Awards Summary'!$B:$B,$C119,'Awards Summary'!$J:$J,"DOS")</f>
        <v>0</v>
      </c>
      <c r="BE119" s="55">
        <f>SUMIFS('Disbursements Summary'!$E:$E,'Disbursements Summary'!$C:$C,$C119,'Disbursements Summary'!$A:$A,"DOS")</f>
        <v>0</v>
      </c>
      <c r="BF119" s="55">
        <f>SUMIFS('Awards Summary'!$H:$H,'Awards Summary'!$B:$B,$C119,'Awards Summary'!$J:$J,"TAX")</f>
        <v>0</v>
      </c>
      <c r="BG119" s="55">
        <f>SUMIFS('Disbursements Summary'!$E:$E,'Disbursements Summary'!$C:$C,$C119,'Disbursements Summary'!$A:$A,"TAX")</f>
        <v>0</v>
      </c>
      <c r="BH119" s="55">
        <f>SUMIFS('Awards Summary'!$H:$H,'Awards Summary'!$B:$B,$C119,'Awards Summary'!$J:$J,"DOT")</f>
        <v>0</v>
      </c>
      <c r="BI119" s="55">
        <f>SUMIFS('Disbursements Summary'!$E:$E,'Disbursements Summary'!$C:$C,$C119,'Disbursements Summary'!$A:$A,"DOT")</f>
        <v>0</v>
      </c>
      <c r="BJ119" s="55">
        <f>SUMIFS('Awards Summary'!$H:$H,'Awards Summary'!$B:$B,$C119,'Awards Summary'!$J:$J,"DANC")</f>
        <v>0</v>
      </c>
      <c r="BK119" s="55">
        <f>SUMIFS('Disbursements Summary'!$E:$E,'Disbursements Summary'!$C:$C,$C119,'Disbursements Summary'!$A:$A,"DANC")</f>
        <v>0</v>
      </c>
      <c r="BL119" s="55">
        <f>SUMIFS('Awards Summary'!$H:$H,'Awards Summary'!$B:$B,$C119,'Awards Summary'!$J:$J,"DOB")</f>
        <v>0</v>
      </c>
      <c r="BM119" s="55">
        <f>SUMIFS('Disbursements Summary'!$E:$E,'Disbursements Summary'!$C:$C,$C119,'Disbursements Summary'!$A:$A,"DOB")</f>
        <v>0</v>
      </c>
      <c r="BN119" s="55">
        <f>SUMIFS('Awards Summary'!$H:$H,'Awards Summary'!$B:$B,$C119,'Awards Summary'!$J:$J,"DCJS")</f>
        <v>0</v>
      </c>
      <c r="BO119" s="55">
        <f>SUMIFS('Disbursements Summary'!$E:$E,'Disbursements Summary'!$C:$C,$C119,'Disbursements Summary'!$A:$A,"DCJS")</f>
        <v>0</v>
      </c>
      <c r="BP119" s="55">
        <f>SUMIFS('Awards Summary'!$H:$H,'Awards Summary'!$B:$B,$C119,'Awards Summary'!$J:$J,"DHSES")</f>
        <v>0</v>
      </c>
      <c r="BQ119" s="55">
        <f>SUMIFS('Disbursements Summary'!$E:$E,'Disbursements Summary'!$C:$C,$C119,'Disbursements Summary'!$A:$A,"DHSES")</f>
        <v>0</v>
      </c>
      <c r="BR119" s="55">
        <f>SUMIFS('Awards Summary'!$H:$H,'Awards Summary'!$B:$B,$C119,'Awards Summary'!$J:$J,"DHR")</f>
        <v>0</v>
      </c>
      <c r="BS119" s="55">
        <f>SUMIFS('Disbursements Summary'!$E:$E,'Disbursements Summary'!$C:$C,$C119,'Disbursements Summary'!$A:$A,"DHR")</f>
        <v>0</v>
      </c>
      <c r="BT119" s="55">
        <f>SUMIFS('Awards Summary'!$H:$H,'Awards Summary'!$B:$B,$C119,'Awards Summary'!$J:$J,"DMNA")</f>
        <v>0</v>
      </c>
      <c r="BU119" s="55">
        <f>SUMIFS('Disbursements Summary'!$E:$E,'Disbursements Summary'!$C:$C,$C119,'Disbursements Summary'!$A:$A,"DMNA")</f>
        <v>0</v>
      </c>
      <c r="BV119" s="55">
        <f>SUMIFS('Awards Summary'!$H:$H,'Awards Summary'!$B:$B,$C119,'Awards Summary'!$J:$J,"TROOPERS")</f>
        <v>0</v>
      </c>
      <c r="BW119" s="55">
        <f>SUMIFS('Disbursements Summary'!$E:$E,'Disbursements Summary'!$C:$C,$C119,'Disbursements Summary'!$A:$A,"TROOPERS")</f>
        <v>0</v>
      </c>
      <c r="BX119" s="55">
        <f>SUMIFS('Awards Summary'!$H:$H,'Awards Summary'!$B:$B,$C119,'Awards Summary'!$J:$J,"DVA")</f>
        <v>0</v>
      </c>
      <c r="BY119" s="55">
        <f>SUMIFS('Disbursements Summary'!$E:$E,'Disbursements Summary'!$C:$C,$C119,'Disbursements Summary'!$A:$A,"DVA")</f>
        <v>0</v>
      </c>
      <c r="BZ119" s="55">
        <f>SUMIFS('Awards Summary'!$H:$H,'Awards Summary'!$B:$B,$C119,'Awards Summary'!$J:$J,"DASNY")</f>
        <v>0</v>
      </c>
      <c r="CA119" s="55">
        <f>SUMIFS('Disbursements Summary'!$E:$E,'Disbursements Summary'!$C:$C,$C119,'Disbursements Summary'!$A:$A,"DASNY")</f>
        <v>0</v>
      </c>
      <c r="CB119" s="55">
        <f>SUMIFS('Awards Summary'!$H:$H,'Awards Summary'!$B:$B,$C119,'Awards Summary'!$J:$J,"EGG")</f>
        <v>0</v>
      </c>
      <c r="CC119" s="55">
        <f>SUMIFS('Disbursements Summary'!$E:$E,'Disbursements Summary'!$C:$C,$C119,'Disbursements Summary'!$A:$A,"EGG")</f>
        <v>0</v>
      </c>
      <c r="CD119" s="55">
        <f>SUMIFS('Awards Summary'!$H:$H,'Awards Summary'!$B:$B,$C119,'Awards Summary'!$J:$J,"ESD")</f>
        <v>0</v>
      </c>
      <c r="CE119" s="55">
        <f>SUMIFS('Disbursements Summary'!$E:$E,'Disbursements Summary'!$C:$C,$C119,'Disbursements Summary'!$A:$A,"ESD")</f>
        <v>0</v>
      </c>
      <c r="CF119" s="55">
        <f>SUMIFS('Awards Summary'!$H:$H,'Awards Summary'!$B:$B,$C119,'Awards Summary'!$J:$J,"EFC")</f>
        <v>0</v>
      </c>
      <c r="CG119" s="55">
        <f>SUMIFS('Disbursements Summary'!$E:$E,'Disbursements Summary'!$C:$C,$C119,'Disbursements Summary'!$A:$A,"EFC")</f>
        <v>0</v>
      </c>
      <c r="CH119" s="55">
        <f>SUMIFS('Awards Summary'!$H:$H,'Awards Summary'!$B:$B,$C119,'Awards Summary'!$J:$J,"ECFSA")</f>
        <v>0</v>
      </c>
      <c r="CI119" s="55">
        <f>SUMIFS('Disbursements Summary'!$E:$E,'Disbursements Summary'!$C:$C,$C119,'Disbursements Summary'!$A:$A,"ECFSA")</f>
        <v>0</v>
      </c>
      <c r="CJ119" s="55">
        <f>SUMIFS('Awards Summary'!$H:$H,'Awards Summary'!$B:$B,$C119,'Awards Summary'!$J:$J,"ECMC")</f>
        <v>0</v>
      </c>
      <c r="CK119" s="55">
        <f>SUMIFS('Disbursements Summary'!$E:$E,'Disbursements Summary'!$C:$C,$C119,'Disbursements Summary'!$A:$A,"ECMC")</f>
        <v>0</v>
      </c>
      <c r="CL119" s="55">
        <f>SUMIFS('Awards Summary'!$H:$H,'Awards Summary'!$B:$B,$C119,'Awards Summary'!$J:$J,"CHAMBER")</f>
        <v>0</v>
      </c>
      <c r="CM119" s="55">
        <f>SUMIFS('Disbursements Summary'!$E:$E,'Disbursements Summary'!$C:$C,$C119,'Disbursements Summary'!$A:$A,"CHAMBER")</f>
        <v>0</v>
      </c>
      <c r="CN119" s="55">
        <f>SUMIFS('Awards Summary'!$H:$H,'Awards Summary'!$B:$B,$C119,'Awards Summary'!$J:$J,"GAMING")</f>
        <v>0</v>
      </c>
      <c r="CO119" s="55">
        <f>SUMIFS('Disbursements Summary'!$E:$E,'Disbursements Summary'!$C:$C,$C119,'Disbursements Summary'!$A:$A,"GAMING")</f>
        <v>0</v>
      </c>
      <c r="CP119" s="55">
        <f>SUMIFS('Awards Summary'!$H:$H,'Awards Summary'!$B:$B,$C119,'Awards Summary'!$J:$J,"GOER")</f>
        <v>0</v>
      </c>
      <c r="CQ119" s="55">
        <f>SUMIFS('Disbursements Summary'!$E:$E,'Disbursements Summary'!$C:$C,$C119,'Disbursements Summary'!$A:$A,"GOER")</f>
        <v>0</v>
      </c>
      <c r="CR119" s="55">
        <f>SUMIFS('Awards Summary'!$H:$H,'Awards Summary'!$B:$B,$C119,'Awards Summary'!$J:$J,"HESC")</f>
        <v>0</v>
      </c>
      <c r="CS119" s="55">
        <f>SUMIFS('Disbursements Summary'!$E:$E,'Disbursements Summary'!$C:$C,$C119,'Disbursements Summary'!$A:$A,"HESC")</f>
        <v>0</v>
      </c>
      <c r="CT119" s="55">
        <f>SUMIFS('Awards Summary'!$H:$H,'Awards Summary'!$B:$B,$C119,'Awards Summary'!$J:$J,"GOSR")</f>
        <v>0</v>
      </c>
      <c r="CU119" s="55">
        <f>SUMIFS('Disbursements Summary'!$E:$E,'Disbursements Summary'!$C:$C,$C119,'Disbursements Summary'!$A:$A,"GOSR")</f>
        <v>0</v>
      </c>
      <c r="CV119" s="55">
        <f>SUMIFS('Awards Summary'!$H:$H,'Awards Summary'!$B:$B,$C119,'Awards Summary'!$J:$J,"HRPT")</f>
        <v>0</v>
      </c>
      <c r="CW119" s="55">
        <f>SUMIFS('Disbursements Summary'!$E:$E,'Disbursements Summary'!$C:$C,$C119,'Disbursements Summary'!$A:$A,"HRPT")</f>
        <v>0</v>
      </c>
      <c r="CX119" s="55">
        <f>SUMIFS('Awards Summary'!$H:$H,'Awards Summary'!$B:$B,$C119,'Awards Summary'!$J:$J,"HRBRRD")</f>
        <v>0</v>
      </c>
      <c r="CY119" s="55">
        <f>SUMIFS('Disbursements Summary'!$E:$E,'Disbursements Summary'!$C:$C,$C119,'Disbursements Summary'!$A:$A,"HRBRRD")</f>
        <v>0</v>
      </c>
      <c r="CZ119" s="55">
        <f>SUMIFS('Awards Summary'!$H:$H,'Awards Summary'!$B:$B,$C119,'Awards Summary'!$J:$J,"ITS")</f>
        <v>0</v>
      </c>
      <c r="DA119" s="55">
        <f>SUMIFS('Disbursements Summary'!$E:$E,'Disbursements Summary'!$C:$C,$C119,'Disbursements Summary'!$A:$A,"ITS")</f>
        <v>0</v>
      </c>
      <c r="DB119" s="55">
        <f>SUMIFS('Awards Summary'!$H:$H,'Awards Summary'!$B:$B,$C119,'Awards Summary'!$J:$J,"JAVITS")</f>
        <v>0</v>
      </c>
      <c r="DC119" s="55">
        <f>SUMIFS('Disbursements Summary'!$E:$E,'Disbursements Summary'!$C:$C,$C119,'Disbursements Summary'!$A:$A,"JAVITS")</f>
        <v>0</v>
      </c>
      <c r="DD119" s="55">
        <f>SUMIFS('Awards Summary'!$H:$H,'Awards Summary'!$B:$B,$C119,'Awards Summary'!$J:$J,"JCOPE")</f>
        <v>0</v>
      </c>
      <c r="DE119" s="55">
        <f>SUMIFS('Disbursements Summary'!$E:$E,'Disbursements Summary'!$C:$C,$C119,'Disbursements Summary'!$A:$A,"JCOPE")</f>
        <v>0</v>
      </c>
      <c r="DF119" s="55">
        <f>SUMIFS('Awards Summary'!$H:$H,'Awards Summary'!$B:$B,$C119,'Awards Summary'!$J:$J,"JUSTICE")</f>
        <v>0</v>
      </c>
      <c r="DG119" s="55">
        <f>SUMIFS('Disbursements Summary'!$E:$E,'Disbursements Summary'!$C:$C,$C119,'Disbursements Summary'!$A:$A,"JUSTICE")</f>
        <v>0</v>
      </c>
      <c r="DH119" s="55">
        <f>SUMIFS('Awards Summary'!$H:$H,'Awards Summary'!$B:$B,$C119,'Awards Summary'!$J:$J,"LCWSA")</f>
        <v>0</v>
      </c>
      <c r="DI119" s="55">
        <f>SUMIFS('Disbursements Summary'!$E:$E,'Disbursements Summary'!$C:$C,$C119,'Disbursements Summary'!$A:$A,"LCWSA")</f>
        <v>0</v>
      </c>
      <c r="DJ119" s="55">
        <f>SUMIFS('Awards Summary'!$H:$H,'Awards Summary'!$B:$B,$C119,'Awards Summary'!$J:$J,"LIPA")</f>
        <v>0</v>
      </c>
      <c r="DK119" s="55">
        <f>SUMIFS('Disbursements Summary'!$E:$E,'Disbursements Summary'!$C:$C,$C119,'Disbursements Summary'!$A:$A,"LIPA")</f>
        <v>0</v>
      </c>
      <c r="DL119" s="55">
        <f>SUMIFS('Awards Summary'!$H:$H,'Awards Summary'!$B:$B,$C119,'Awards Summary'!$J:$J,"MTA")</f>
        <v>0</v>
      </c>
      <c r="DM119" s="55">
        <f>SUMIFS('Disbursements Summary'!$E:$E,'Disbursements Summary'!$C:$C,$C119,'Disbursements Summary'!$A:$A,"MTA")</f>
        <v>0</v>
      </c>
      <c r="DN119" s="55">
        <f>SUMIFS('Awards Summary'!$H:$H,'Awards Summary'!$B:$B,$C119,'Awards Summary'!$J:$J,"NIFA")</f>
        <v>0</v>
      </c>
      <c r="DO119" s="55">
        <f>SUMIFS('Disbursements Summary'!$E:$E,'Disbursements Summary'!$C:$C,$C119,'Disbursements Summary'!$A:$A,"NIFA")</f>
        <v>0</v>
      </c>
      <c r="DP119" s="55">
        <f>SUMIFS('Awards Summary'!$H:$H,'Awards Summary'!$B:$B,$C119,'Awards Summary'!$J:$J,"NHCC")</f>
        <v>0</v>
      </c>
      <c r="DQ119" s="55">
        <f>SUMIFS('Disbursements Summary'!$E:$E,'Disbursements Summary'!$C:$C,$C119,'Disbursements Summary'!$A:$A,"NHCC")</f>
        <v>0</v>
      </c>
      <c r="DR119" s="55">
        <f>SUMIFS('Awards Summary'!$H:$H,'Awards Summary'!$B:$B,$C119,'Awards Summary'!$J:$J,"NHT")</f>
        <v>0</v>
      </c>
      <c r="DS119" s="55">
        <f>SUMIFS('Disbursements Summary'!$E:$E,'Disbursements Summary'!$C:$C,$C119,'Disbursements Summary'!$A:$A,"NHT")</f>
        <v>0</v>
      </c>
      <c r="DT119" s="55">
        <f>SUMIFS('Awards Summary'!$H:$H,'Awards Summary'!$B:$B,$C119,'Awards Summary'!$J:$J,"NYPA")</f>
        <v>0</v>
      </c>
      <c r="DU119" s="55">
        <f>SUMIFS('Disbursements Summary'!$E:$E,'Disbursements Summary'!$C:$C,$C119,'Disbursements Summary'!$A:$A,"NYPA")</f>
        <v>0</v>
      </c>
      <c r="DV119" s="55">
        <f>SUMIFS('Awards Summary'!$H:$H,'Awards Summary'!$B:$B,$C119,'Awards Summary'!$J:$J,"NYSBA")</f>
        <v>0</v>
      </c>
      <c r="DW119" s="55">
        <f>SUMIFS('Disbursements Summary'!$E:$E,'Disbursements Summary'!$C:$C,$C119,'Disbursements Summary'!$A:$A,"NYSBA")</f>
        <v>0</v>
      </c>
      <c r="DX119" s="55">
        <f>SUMIFS('Awards Summary'!$H:$H,'Awards Summary'!$B:$B,$C119,'Awards Summary'!$J:$J,"NYSERDA")</f>
        <v>0</v>
      </c>
      <c r="DY119" s="55">
        <f>SUMIFS('Disbursements Summary'!$E:$E,'Disbursements Summary'!$C:$C,$C119,'Disbursements Summary'!$A:$A,"NYSERDA")</f>
        <v>0</v>
      </c>
      <c r="DZ119" s="55">
        <f>SUMIFS('Awards Summary'!$H:$H,'Awards Summary'!$B:$B,$C119,'Awards Summary'!$J:$J,"DHCR")</f>
        <v>0</v>
      </c>
      <c r="EA119" s="55">
        <f>SUMIFS('Disbursements Summary'!$E:$E,'Disbursements Summary'!$C:$C,$C119,'Disbursements Summary'!$A:$A,"DHCR")</f>
        <v>0</v>
      </c>
      <c r="EB119" s="55">
        <f>SUMIFS('Awards Summary'!$H:$H,'Awards Summary'!$B:$B,$C119,'Awards Summary'!$J:$J,"HFA")</f>
        <v>0</v>
      </c>
      <c r="EC119" s="55">
        <f>SUMIFS('Disbursements Summary'!$E:$E,'Disbursements Summary'!$C:$C,$C119,'Disbursements Summary'!$A:$A,"HFA")</f>
        <v>0</v>
      </c>
      <c r="ED119" s="55">
        <f>SUMIFS('Awards Summary'!$H:$H,'Awards Summary'!$B:$B,$C119,'Awards Summary'!$J:$J,"NYSIF")</f>
        <v>0</v>
      </c>
      <c r="EE119" s="55">
        <f>SUMIFS('Disbursements Summary'!$E:$E,'Disbursements Summary'!$C:$C,$C119,'Disbursements Summary'!$A:$A,"NYSIF")</f>
        <v>0</v>
      </c>
      <c r="EF119" s="55">
        <f>SUMIFS('Awards Summary'!$H:$H,'Awards Summary'!$B:$B,$C119,'Awards Summary'!$J:$J,"NYBREDS")</f>
        <v>0</v>
      </c>
      <c r="EG119" s="55">
        <f>SUMIFS('Disbursements Summary'!$E:$E,'Disbursements Summary'!$C:$C,$C119,'Disbursements Summary'!$A:$A,"NYBREDS")</f>
        <v>0</v>
      </c>
      <c r="EH119" s="55">
        <f>SUMIFS('Awards Summary'!$H:$H,'Awards Summary'!$B:$B,$C119,'Awards Summary'!$J:$J,"NYSTA")</f>
        <v>0</v>
      </c>
      <c r="EI119" s="55">
        <f>SUMIFS('Disbursements Summary'!$E:$E,'Disbursements Summary'!$C:$C,$C119,'Disbursements Summary'!$A:$A,"NYSTA")</f>
        <v>0</v>
      </c>
      <c r="EJ119" s="55">
        <f>SUMIFS('Awards Summary'!$H:$H,'Awards Summary'!$B:$B,$C119,'Awards Summary'!$J:$J,"NFWB")</f>
        <v>0</v>
      </c>
      <c r="EK119" s="55">
        <f>SUMIFS('Disbursements Summary'!$E:$E,'Disbursements Summary'!$C:$C,$C119,'Disbursements Summary'!$A:$A,"NFWB")</f>
        <v>0</v>
      </c>
      <c r="EL119" s="55">
        <f>SUMIFS('Awards Summary'!$H:$H,'Awards Summary'!$B:$B,$C119,'Awards Summary'!$J:$J,"NFTA")</f>
        <v>0</v>
      </c>
      <c r="EM119" s="55">
        <f>SUMIFS('Disbursements Summary'!$E:$E,'Disbursements Summary'!$C:$C,$C119,'Disbursements Summary'!$A:$A,"NFTA")</f>
        <v>0</v>
      </c>
      <c r="EN119" s="55">
        <f>SUMIFS('Awards Summary'!$H:$H,'Awards Summary'!$B:$B,$C119,'Awards Summary'!$J:$J,"OPWDD")</f>
        <v>0</v>
      </c>
      <c r="EO119" s="55">
        <f>SUMIFS('Disbursements Summary'!$E:$E,'Disbursements Summary'!$C:$C,$C119,'Disbursements Summary'!$A:$A,"OPWDD")</f>
        <v>0</v>
      </c>
      <c r="EP119" s="55">
        <f>SUMIFS('Awards Summary'!$H:$H,'Awards Summary'!$B:$B,$C119,'Awards Summary'!$J:$J,"AGING")</f>
        <v>0</v>
      </c>
      <c r="EQ119" s="55">
        <f>SUMIFS('Disbursements Summary'!$E:$E,'Disbursements Summary'!$C:$C,$C119,'Disbursements Summary'!$A:$A,"AGING")</f>
        <v>0</v>
      </c>
      <c r="ER119" s="55">
        <f>SUMIFS('Awards Summary'!$H:$H,'Awards Summary'!$B:$B,$C119,'Awards Summary'!$J:$J,"OPDV")</f>
        <v>0</v>
      </c>
      <c r="ES119" s="55">
        <f>SUMIFS('Disbursements Summary'!$E:$E,'Disbursements Summary'!$C:$C,$C119,'Disbursements Summary'!$A:$A,"OPDV")</f>
        <v>0</v>
      </c>
      <c r="ET119" s="55">
        <f>SUMIFS('Awards Summary'!$H:$H,'Awards Summary'!$B:$B,$C119,'Awards Summary'!$J:$J,"OVS")</f>
        <v>0</v>
      </c>
      <c r="EU119" s="55">
        <f>SUMIFS('Disbursements Summary'!$E:$E,'Disbursements Summary'!$C:$C,$C119,'Disbursements Summary'!$A:$A,"OVS")</f>
        <v>0</v>
      </c>
      <c r="EV119" s="55">
        <f>SUMIFS('Awards Summary'!$H:$H,'Awards Summary'!$B:$B,$C119,'Awards Summary'!$J:$J,"OASAS")</f>
        <v>0</v>
      </c>
      <c r="EW119" s="55">
        <f>SUMIFS('Disbursements Summary'!$E:$E,'Disbursements Summary'!$C:$C,$C119,'Disbursements Summary'!$A:$A,"OASAS")</f>
        <v>0</v>
      </c>
      <c r="EX119" s="55">
        <f>SUMIFS('Awards Summary'!$H:$H,'Awards Summary'!$B:$B,$C119,'Awards Summary'!$J:$J,"OCFS")</f>
        <v>0</v>
      </c>
      <c r="EY119" s="55">
        <f>SUMIFS('Disbursements Summary'!$E:$E,'Disbursements Summary'!$C:$C,$C119,'Disbursements Summary'!$A:$A,"OCFS")</f>
        <v>0</v>
      </c>
      <c r="EZ119" s="55">
        <f>SUMIFS('Awards Summary'!$H:$H,'Awards Summary'!$B:$B,$C119,'Awards Summary'!$J:$J,"OGS")</f>
        <v>0</v>
      </c>
      <c r="FA119" s="55">
        <f>SUMIFS('Disbursements Summary'!$E:$E,'Disbursements Summary'!$C:$C,$C119,'Disbursements Summary'!$A:$A,"OGS")</f>
        <v>0</v>
      </c>
      <c r="FB119" s="55">
        <f>SUMIFS('Awards Summary'!$H:$H,'Awards Summary'!$B:$B,$C119,'Awards Summary'!$J:$J,"OMH")</f>
        <v>0</v>
      </c>
      <c r="FC119" s="55">
        <f>SUMIFS('Disbursements Summary'!$E:$E,'Disbursements Summary'!$C:$C,$C119,'Disbursements Summary'!$A:$A,"OMH")</f>
        <v>0</v>
      </c>
      <c r="FD119" s="55">
        <f>SUMIFS('Awards Summary'!$H:$H,'Awards Summary'!$B:$B,$C119,'Awards Summary'!$J:$J,"PARKS")</f>
        <v>0</v>
      </c>
      <c r="FE119" s="55">
        <f>SUMIFS('Disbursements Summary'!$E:$E,'Disbursements Summary'!$C:$C,$C119,'Disbursements Summary'!$A:$A,"PARKS")</f>
        <v>0</v>
      </c>
      <c r="FF119" s="55">
        <f>SUMIFS('Awards Summary'!$H:$H,'Awards Summary'!$B:$B,$C119,'Awards Summary'!$J:$J,"OTDA")</f>
        <v>0</v>
      </c>
      <c r="FG119" s="55">
        <f>SUMIFS('Disbursements Summary'!$E:$E,'Disbursements Summary'!$C:$C,$C119,'Disbursements Summary'!$A:$A,"OTDA")</f>
        <v>0</v>
      </c>
      <c r="FH119" s="55">
        <f>SUMIFS('Awards Summary'!$H:$H,'Awards Summary'!$B:$B,$C119,'Awards Summary'!$J:$J,"OIG")</f>
        <v>0</v>
      </c>
      <c r="FI119" s="55">
        <f>SUMIFS('Disbursements Summary'!$E:$E,'Disbursements Summary'!$C:$C,$C119,'Disbursements Summary'!$A:$A,"OIG")</f>
        <v>0</v>
      </c>
      <c r="FJ119" s="55">
        <f>SUMIFS('Awards Summary'!$H:$H,'Awards Summary'!$B:$B,$C119,'Awards Summary'!$J:$J,"OMIG")</f>
        <v>0</v>
      </c>
      <c r="FK119" s="55">
        <f>SUMIFS('Disbursements Summary'!$E:$E,'Disbursements Summary'!$C:$C,$C119,'Disbursements Summary'!$A:$A,"OMIG")</f>
        <v>0</v>
      </c>
      <c r="FL119" s="55">
        <f>SUMIFS('Awards Summary'!$H:$H,'Awards Summary'!$B:$B,$C119,'Awards Summary'!$J:$J,"OSC")</f>
        <v>0</v>
      </c>
      <c r="FM119" s="55">
        <f>SUMIFS('Disbursements Summary'!$E:$E,'Disbursements Summary'!$C:$C,$C119,'Disbursements Summary'!$A:$A,"OSC")</f>
        <v>0</v>
      </c>
      <c r="FN119" s="55">
        <f>SUMIFS('Awards Summary'!$H:$H,'Awards Summary'!$B:$B,$C119,'Awards Summary'!$J:$J,"OWIG")</f>
        <v>0</v>
      </c>
      <c r="FO119" s="55">
        <f>SUMIFS('Disbursements Summary'!$E:$E,'Disbursements Summary'!$C:$C,$C119,'Disbursements Summary'!$A:$A,"OWIG")</f>
        <v>0</v>
      </c>
      <c r="FP119" s="55">
        <f>SUMIFS('Awards Summary'!$H:$H,'Awards Summary'!$B:$B,$C119,'Awards Summary'!$J:$J,"OGDEN")</f>
        <v>0</v>
      </c>
      <c r="FQ119" s="55">
        <f>SUMIFS('Disbursements Summary'!$E:$E,'Disbursements Summary'!$C:$C,$C119,'Disbursements Summary'!$A:$A,"OGDEN")</f>
        <v>0</v>
      </c>
      <c r="FR119" s="55">
        <f>SUMIFS('Awards Summary'!$H:$H,'Awards Summary'!$B:$B,$C119,'Awards Summary'!$J:$J,"ORDA")</f>
        <v>0</v>
      </c>
      <c r="FS119" s="55">
        <f>SUMIFS('Disbursements Summary'!$E:$E,'Disbursements Summary'!$C:$C,$C119,'Disbursements Summary'!$A:$A,"ORDA")</f>
        <v>0</v>
      </c>
      <c r="FT119" s="55">
        <f>SUMIFS('Awards Summary'!$H:$H,'Awards Summary'!$B:$B,$C119,'Awards Summary'!$J:$J,"OSWEGO")</f>
        <v>0</v>
      </c>
      <c r="FU119" s="55">
        <f>SUMIFS('Disbursements Summary'!$E:$E,'Disbursements Summary'!$C:$C,$C119,'Disbursements Summary'!$A:$A,"OSWEGO")</f>
        <v>0</v>
      </c>
      <c r="FV119" s="55">
        <f>SUMIFS('Awards Summary'!$H:$H,'Awards Summary'!$B:$B,$C119,'Awards Summary'!$J:$J,"PERB")</f>
        <v>0</v>
      </c>
      <c r="FW119" s="55">
        <f>SUMIFS('Disbursements Summary'!$E:$E,'Disbursements Summary'!$C:$C,$C119,'Disbursements Summary'!$A:$A,"PERB")</f>
        <v>0</v>
      </c>
      <c r="FX119" s="55">
        <f>SUMIFS('Awards Summary'!$H:$H,'Awards Summary'!$B:$B,$C119,'Awards Summary'!$J:$J,"RGRTA")</f>
        <v>0</v>
      </c>
      <c r="FY119" s="55">
        <f>SUMIFS('Disbursements Summary'!$E:$E,'Disbursements Summary'!$C:$C,$C119,'Disbursements Summary'!$A:$A,"RGRTA")</f>
        <v>0</v>
      </c>
      <c r="FZ119" s="55">
        <f>SUMIFS('Awards Summary'!$H:$H,'Awards Summary'!$B:$B,$C119,'Awards Summary'!$J:$J,"RIOC")</f>
        <v>0</v>
      </c>
      <c r="GA119" s="55">
        <f>SUMIFS('Disbursements Summary'!$E:$E,'Disbursements Summary'!$C:$C,$C119,'Disbursements Summary'!$A:$A,"RIOC")</f>
        <v>0</v>
      </c>
      <c r="GB119" s="55">
        <f>SUMIFS('Awards Summary'!$H:$H,'Awards Summary'!$B:$B,$C119,'Awards Summary'!$J:$J,"RPCI")</f>
        <v>0</v>
      </c>
      <c r="GC119" s="55">
        <f>SUMIFS('Disbursements Summary'!$E:$E,'Disbursements Summary'!$C:$C,$C119,'Disbursements Summary'!$A:$A,"RPCI")</f>
        <v>0</v>
      </c>
      <c r="GD119" s="55">
        <f>SUMIFS('Awards Summary'!$H:$H,'Awards Summary'!$B:$B,$C119,'Awards Summary'!$J:$J,"SMDA")</f>
        <v>0</v>
      </c>
      <c r="GE119" s="55">
        <f>SUMIFS('Disbursements Summary'!$E:$E,'Disbursements Summary'!$C:$C,$C119,'Disbursements Summary'!$A:$A,"SMDA")</f>
        <v>0</v>
      </c>
      <c r="GF119" s="55">
        <f>SUMIFS('Awards Summary'!$H:$H,'Awards Summary'!$B:$B,$C119,'Awards Summary'!$J:$J,"SCOC")</f>
        <v>0</v>
      </c>
      <c r="GG119" s="55">
        <f>SUMIFS('Disbursements Summary'!$E:$E,'Disbursements Summary'!$C:$C,$C119,'Disbursements Summary'!$A:$A,"SCOC")</f>
        <v>0</v>
      </c>
      <c r="GH119" s="55">
        <f>SUMIFS('Awards Summary'!$H:$H,'Awards Summary'!$B:$B,$C119,'Awards Summary'!$J:$J,"SUCF")</f>
        <v>0</v>
      </c>
      <c r="GI119" s="55">
        <f>SUMIFS('Disbursements Summary'!$E:$E,'Disbursements Summary'!$C:$C,$C119,'Disbursements Summary'!$A:$A,"SUCF")</f>
        <v>0</v>
      </c>
      <c r="GJ119" s="55">
        <f>SUMIFS('Awards Summary'!$H:$H,'Awards Summary'!$B:$B,$C119,'Awards Summary'!$J:$J,"SUNY")</f>
        <v>0</v>
      </c>
      <c r="GK119" s="55">
        <f>SUMIFS('Disbursements Summary'!$E:$E,'Disbursements Summary'!$C:$C,$C119,'Disbursements Summary'!$A:$A,"SUNY")</f>
        <v>0</v>
      </c>
      <c r="GL119" s="55">
        <f>SUMIFS('Awards Summary'!$H:$H,'Awards Summary'!$B:$B,$C119,'Awards Summary'!$J:$J,"SRAA")</f>
        <v>0</v>
      </c>
      <c r="GM119" s="55">
        <f>SUMIFS('Disbursements Summary'!$E:$E,'Disbursements Summary'!$C:$C,$C119,'Disbursements Summary'!$A:$A,"SRAA")</f>
        <v>0</v>
      </c>
      <c r="GN119" s="55">
        <f>SUMIFS('Awards Summary'!$H:$H,'Awards Summary'!$B:$B,$C119,'Awards Summary'!$J:$J,"UNDC")</f>
        <v>0</v>
      </c>
      <c r="GO119" s="55">
        <f>SUMIFS('Disbursements Summary'!$E:$E,'Disbursements Summary'!$C:$C,$C119,'Disbursements Summary'!$A:$A,"UNDC")</f>
        <v>0</v>
      </c>
      <c r="GP119" s="55">
        <f>SUMIFS('Awards Summary'!$H:$H,'Awards Summary'!$B:$B,$C119,'Awards Summary'!$J:$J,"MVWA")</f>
        <v>0</v>
      </c>
      <c r="GQ119" s="55">
        <f>SUMIFS('Disbursements Summary'!$E:$E,'Disbursements Summary'!$C:$C,$C119,'Disbursements Summary'!$A:$A,"MVWA")</f>
        <v>0</v>
      </c>
      <c r="GR119" s="55">
        <f>SUMIFS('Awards Summary'!$H:$H,'Awards Summary'!$B:$B,$C119,'Awards Summary'!$J:$J,"WMC")</f>
        <v>0</v>
      </c>
      <c r="GS119" s="55">
        <f>SUMIFS('Disbursements Summary'!$E:$E,'Disbursements Summary'!$C:$C,$C119,'Disbursements Summary'!$A:$A,"WMC")</f>
        <v>0</v>
      </c>
      <c r="GT119" s="55">
        <f>SUMIFS('Awards Summary'!$H:$H,'Awards Summary'!$B:$B,$C119,'Awards Summary'!$J:$J,"WCB")</f>
        <v>0</v>
      </c>
      <c r="GU119" s="55">
        <f>SUMIFS('Disbursements Summary'!$E:$E,'Disbursements Summary'!$C:$C,$C119,'Disbursements Summary'!$A:$A,"WCB")</f>
        <v>0</v>
      </c>
      <c r="GV119" s="32">
        <f t="shared" si="10"/>
        <v>0</v>
      </c>
      <c r="GW119" s="32">
        <f t="shared" si="11"/>
        <v>0</v>
      </c>
      <c r="GX119" s="30" t="b">
        <f t="shared" si="12"/>
        <v>1</v>
      </c>
      <c r="GY119" s="30" t="b">
        <f t="shared" si="13"/>
        <v>1</v>
      </c>
    </row>
    <row r="120" spans="1:207" s="30" customFormat="1">
      <c r="A120" s="22" t="str">
        <f t="shared" si="9"/>
        <v/>
      </c>
      <c r="B120" s="40" t="s">
        <v>138</v>
      </c>
      <c r="C120" s="16">
        <v>161300</v>
      </c>
      <c r="D120" s="26">
        <f>COUNTIF('Awards Summary'!B:B,"161300")</f>
        <v>0</v>
      </c>
      <c r="E120" s="45">
        <f>SUMIFS('Awards Summary'!H:H,'Awards Summary'!B:B,"161300")</f>
        <v>0</v>
      </c>
      <c r="F120" s="46">
        <f>SUMIFS('Disbursements Summary'!E:E,'Disbursements Summary'!C:C, "161300")</f>
        <v>0</v>
      </c>
      <c r="H120" s="55">
        <f>SUMIFS('Awards Summary'!$H:$H,'Awards Summary'!$B:$B,$C120,'Awards Summary'!$J:$J,"APA")</f>
        <v>0</v>
      </c>
      <c r="I120" s="55">
        <f>SUMIFS('Disbursements Summary'!$E:$E,'Disbursements Summary'!$C:$C,$C120,'Disbursements Summary'!$A:$A,"APA")</f>
        <v>0</v>
      </c>
      <c r="J120" s="55">
        <f>SUMIFS('Awards Summary'!$H:$H,'Awards Summary'!$B:$B,$C120,'Awards Summary'!$J:$J,"Ag&amp;Horse")</f>
        <v>0</v>
      </c>
      <c r="K120" s="55">
        <f>SUMIFS('Disbursements Summary'!$E:$E,'Disbursements Summary'!$C:$C,$C120,'Disbursements Summary'!$A:$A,"Ag&amp;Horse")</f>
        <v>0</v>
      </c>
      <c r="L120" s="55">
        <f>SUMIFS('Awards Summary'!$H:$H,'Awards Summary'!$B:$B,$C120,'Awards Summary'!$J:$J,"ACAA")</f>
        <v>0</v>
      </c>
      <c r="M120" s="55">
        <f>SUMIFS('Disbursements Summary'!$E:$E,'Disbursements Summary'!$C:$C,$C120,'Disbursements Summary'!$A:$A,"ACAA")</f>
        <v>0</v>
      </c>
      <c r="N120" s="55">
        <f>SUMIFS('Awards Summary'!$H:$H,'Awards Summary'!$B:$B,$C120,'Awards Summary'!$J:$J,"PortAlbany")</f>
        <v>0</v>
      </c>
      <c r="O120" s="55">
        <f>SUMIFS('Disbursements Summary'!$E:$E,'Disbursements Summary'!$C:$C,$C120,'Disbursements Summary'!$A:$A,"PortAlbany")</f>
        <v>0</v>
      </c>
      <c r="P120" s="55">
        <f>SUMIFS('Awards Summary'!$H:$H,'Awards Summary'!$B:$B,$C120,'Awards Summary'!$J:$J,"SLA")</f>
        <v>0</v>
      </c>
      <c r="Q120" s="55">
        <f>SUMIFS('Disbursements Summary'!$E:$E,'Disbursements Summary'!$C:$C,$C120,'Disbursements Summary'!$A:$A,"SLA")</f>
        <v>0</v>
      </c>
      <c r="R120" s="55">
        <f>SUMIFS('Awards Summary'!$H:$H,'Awards Summary'!$B:$B,$C120,'Awards Summary'!$J:$J,"BPCA")</f>
        <v>0</v>
      </c>
      <c r="S120" s="55">
        <f>SUMIFS('Disbursements Summary'!$E:$E,'Disbursements Summary'!$C:$C,$C120,'Disbursements Summary'!$A:$A,"BPCA")</f>
        <v>0</v>
      </c>
      <c r="T120" s="55">
        <f>SUMIFS('Awards Summary'!$H:$H,'Awards Summary'!$B:$B,$C120,'Awards Summary'!$J:$J,"ELECTIONS")</f>
        <v>0</v>
      </c>
      <c r="U120" s="55">
        <f>SUMIFS('Disbursements Summary'!$E:$E,'Disbursements Summary'!$C:$C,$C120,'Disbursements Summary'!$A:$A,"ELECTIONS")</f>
        <v>0</v>
      </c>
      <c r="V120" s="55">
        <f>SUMIFS('Awards Summary'!$H:$H,'Awards Summary'!$B:$B,$C120,'Awards Summary'!$J:$J,"BFSA")</f>
        <v>0</v>
      </c>
      <c r="W120" s="55">
        <f>SUMIFS('Disbursements Summary'!$E:$E,'Disbursements Summary'!$C:$C,$C120,'Disbursements Summary'!$A:$A,"BFSA")</f>
        <v>0</v>
      </c>
      <c r="X120" s="55">
        <f>SUMIFS('Awards Summary'!$H:$H,'Awards Summary'!$B:$B,$C120,'Awards Summary'!$J:$J,"CDTA")</f>
        <v>0</v>
      </c>
      <c r="Y120" s="55">
        <f>SUMIFS('Disbursements Summary'!$E:$E,'Disbursements Summary'!$C:$C,$C120,'Disbursements Summary'!$A:$A,"CDTA")</f>
        <v>0</v>
      </c>
      <c r="Z120" s="55">
        <f>SUMIFS('Awards Summary'!$H:$H,'Awards Summary'!$B:$B,$C120,'Awards Summary'!$J:$J,"CCWSA")</f>
        <v>0</v>
      </c>
      <c r="AA120" s="55">
        <f>SUMIFS('Disbursements Summary'!$E:$E,'Disbursements Summary'!$C:$C,$C120,'Disbursements Summary'!$A:$A,"CCWSA")</f>
        <v>0</v>
      </c>
      <c r="AB120" s="55">
        <f>SUMIFS('Awards Summary'!$H:$H,'Awards Summary'!$B:$B,$C120,'Awards Summary'!$J:$J,"CNYRTA")</f>
        <v>0</v>
      </c>
      <c r="AC120" s="55">
        <f>SUMIFS('Disbursements Summary'!$E:$E,'Disbursements Summary'!$C:$C,$C120,'Disbursements Summary'!$A:$A,"CNYRTA")</f>
        <v>0</v>
      </c>
      <c r="AD120" s="55">
        <f>SUMIFS('Awards Summary'!$H:$H,'Awards Summary'!$B:$B,$C120,'Awards Summary'!$J:$J,"CUCF")</f>
        <v>0</v>
      </c>
      <c r="AE120" s="55">
        <f>SUMIFS('Disbursements Summary'!$E:$E,'Disbursements Summary'!$C:$C,$C120,'Disbursements Summary'!$A:$A,"CUCF")</f>
        <v>0</v>
      </c>
      <c r="AF120" s="55">
        <f>SUMIFS('Awards Summary'!$H:$H,'Awards Summary'!$B:$B,$C120,'Awards Summary'!$J:$J,"CUNY")</f>
        <v>0</v>
      </c>
      <c r="AG120" s="55">
        <f>SUMIFS('Disbursements Summary'!$E:$E,'Disbursements Summary'!$C:$C,$C120,'Disbursements Summary'!$A:$A,"CUNY")</f>
        <v>0</v>
      </c>
      <c r="AH120" s="55">
        <f>SUMIFS('Awards Summary'!$H:$H,'Awards Summary'!$B:$B,$C120,'Awards Summary'!$J:$J,"ARTS")</f>
        <v>0</v>
      </c>
      <c r="AI120" s="55">
        <f>SUMIFS('Disbursements Summary'!$E:$E,'Disbursements Summary'!$C:$C,$C120,'Disbursements Summary'!$A:$A,"ARTS")</f>
        <v>0</v>
      </c>
      <c r="AJ120" s="55">
        <f>SUMIFS('Awards Summary'!$H:$H,'Awards Summary'!$B:$B,$C120,'Awards Summary'!$J:$J,"AG&amp;MKTS")</f>
        <v>0</v>
      </c>
      <c r="AK120" s="55">
        <f>SUMIFS('Disbursements Summary'!$E:$E,'Disbursements Summary'!$C:$C,$C120,'Disbursements Summary'!$A:$A,"AG&amp;MKTS")</f>
        <v>0</v>
      </c>
      <c r="AL120" s="55">
        <f>SUMIFS('Awards Summary'!$H:$H,'Awards Summary'!$B:$B,$C120,'Awards Summary'!$J:$J,"CS")</f>
        <v>0</v>
      </c>
      <c r="AM120" s="55">
        <f>SUMIFS('Disbursements Summary'!$E:$E,'Disbursements Summary'!$C:$C,$C120,'Disbursements Summary'!$A:$A,"CS")</f>
        <v>0</v>
      </c>
      <c r="AN120" s="55">
        <f>SUMIFS('Awards Summary'!$H:$H,'Awards Summary'!$B:$B,$C120,'Awards Summary'!$J:$J,"DOCCS")</f>
        <v>0</v>
      </c>
      <c r="AO120" s="55">
        <f>SUMIFS('Disbursements Summary'!$E:$E,'Disbursements Summary'!$C:$C,$C120,'Disbursements Summary'!$A:$A,"DOCCS")</f>
        <v>0</v>
      </c>
      <c r="AP120" s="55">
        <f>SUMIFS('Awards Summary'!$H:$H,'Awards Summary'!$B:$B,$C120,'Awards Summary'!$J:$J,"DED")</f>
        <v>0</v>
      </c>
      <c r="AQ120" s="55">
        <f>SUMIFS('Disbursements Summary'!$E:$E,'Disbursements Summary'!$C:$C,$C120,'Disbursements Summary'!$A:$A,"DED")</f>
        <v>0</v>
      </c>
      <c r="AR120" s="55">
        <f>SUMIFS('Awards Summary'!$H:$H,'Awards Summary'!$B:$B,$C120,'Awards Summary'!$J:$J,"DEC")</f>
        <v>0</v>
      </c>
      <c r="AS120" s="55">
        <f>SUMIFS('Disbursements Summary'!$E:$E,'Disbursements Summary'!$C:$C,$C120,'Disbursements Summary'!$A:$A,"DEC")</f>
        <v>0</v>
      </c>
      <c r="AT120" s="55">
        <f>SUMIFS('Awards Summary'!$H:$H,'Awards Summary'!$B:$B,$C120,'Awards Summary'!$J:$J,"DFS")</f>
        <v>0</v>
      </c>
      <c r="AU120" s="55">
        <f>SUMIFS('Disbursements Summary'!$E:$E,'Disbursements Summary'!$C:$C,$C120,'Disbursements Summary'!$A:$A,"DFS")</f>
        <v>0</v>
      </c>
      <c r="AV120" s="55">
        <f>SUMIFS('Awards Summary'!$H:$H,'Awards Summary'!$B:$B,$C120,'Awards Summary'!$J:$J,"DOH")</f>
        <v>0</v>
      </c>
      <c r="AW120" s="55">
        <f>SUMIFS('Disbursements Summary'!$E:$E,'Disbursements Summary'!$C:$C,$C120,'Disbursements Summary'!$A:$A,"DOH")</f>
        <v>0</v>
      </c>
      <c r="AX120" s="55">
        <f>SUMIFS('Awards Summary'!$H:$H,'Awards Summary'!$B:$B,$C120,'Awards Summary'!$J:$J,"DOL")</f>
        <v>0</v>
      </c>
      <c r="AY120" s="55">
        <f>SUMIFS('Disbursements Summary'!$E:$E,'Disbursements Summary'!$C:$C,$C120,'Disbursements Summary'!$A:$A,"DOL")</f>
        <v>0</v>
      </c>
      <c r="AZ120" s="55">
        <f>SUMIFS('Awards Summary'!$H:$H,'Awards Summary'!$B:$B,$C120,'Awards Summary'!$J:$J,"DMV")</f>
        <v>0</v>
      </c>
      <c r="BA120" s="55">
        <f>SUMIFS('Disbursements Summary'!$E:$E,'Disbursements Summary'!$C:$C,$C120,'Disbursements Summary'!$A:$A,"DMV")</f>
        <v>0</v>
      </c>
      <c r="BB120" s="55">
        <f>SUMIFS('Awards Summary'!$H:$H,'Awards Summary'!$B:$B,$C120,'Awards Summary'!$J:$J,"DPS")</f>
        <v>0</v>
      </c>
      <c r="BC120" s="55">
        <f>SUMIFS('Disbursements Summary'!$E:$E,'Disbursements Summary'!$C:$C,$C120,'Disbursements Summary'!$A:$A,"DPS")</f>
        <v>0</v>
      </c>
      <c r="BD120" s="55">
        <f>SUMIFS('Awards Summary'!$H:$H,'Awards Summary'!$B:$B,$C120,'Awards Summary'!$J:$J,"DOS")</f>
        <v>0</v>
      </c>
      <c r="BE120" s="55">
        <f>SUMIFS('Disbursements Summary'!$E:$E,'Disbursements Summary'!$C:$C,$C120,'Disbursements Summary'!$A:$A,"DOS")</f>
        <v>0</v>
      </c>
      <c r="BF120" s="55">
        <f>SUMIFS('Awards Summary'!$H:$H,'Awards Summary'!$B:$B,$C120,'Awards Summary'!$J:$J,"TAX")</f>
        <v>0</v>
      </c>
      <c r="BG120" s="55">
        <f>SUMIFS('Disbursements Summary'!$E:$E,'Disbursements Summary'!$C:$C,$C120,'Disbursements Summary'!$A:$A,"TAX")</f>
        <v>0</v>
      </c>
      <c r="BH120" s="55">
        <f>SUMIFS('Awards Summary'!$H:$H,'Awards Summary'!$B:$B,$C120,'Awards Summary'!$J:$J,"DOT")</f>
        <v>0</v>
      </c>
      <c r="BI120" s="55">
        <f>SUMIFS('Disbursements Summary'!$E:$E,'Disbursements Summary'!$C:$C,$C120,'Disbursements Summary'!$A:$A,"DOT")</f>
        <v>0</v>
      </c>
      <c r="BJ120" s="55">
        <f>SUMIFS('Awards Summary'!$H:$H,'Awards Summary'!$B:$B,$C120,'Awards Summary'!$J:$J,"DANC")</f>
        <v>0</v>
      </c>
      <c r="BK120" s="55">
        <f>SUMIFS('Disbursements Summary'!$E:$E,'Disbursements Summary'!$C:$C,$C120,'Disbursements Summary'!$A:$A,"DANC")</f>
        <v>0</v>
      </c>
      <c r="BL120" s="55">
        <f>SUMIFS('Awards Summary'!$H:$H,'Awards Summary'!$B:$B,$C120,'Awards Summary'!$J:$J,"DOB")</f>
        <v>0</v>
      </c>
      <c r="BM120" s="55">
        <f>SUMIFS('Disbursements Summary'!$E:$E,'Disbursements Summary'!$C:$C,$C120,'Disbursements Summary'!$A:$A,"DOB")</f>
        <v>0</v>
      </c>
      <c r="BN120" s="55">
        <f>SUMIFS('Awards Summary'!$H:$H,'Awards Summary'!$B:$B,$C120,'Awards Summary'!$J:$J,"DCJS")</f>
        <v>0</v>
      </c>
      <c r="BO120" s="55">
        <f>SUMIFS('Disbursements Summary'!$E:$E,'Disbursements Summary'!$C:$C,$C120,'Disbursements Summary'!$A:$A,"DCJS")</f>
        <v>0</v>
      </c>
      <c r="BP120" s="55">
        <f>SUMIFS('Awards Summary'!$H:$H,'Awards Summary'!$B:$B,$C120,'Awards Summary'!$J:$J,"DHSES")</f>
        <v>0</v>
      </c>
      <c r="BQ120" s="55">
        <f>SUMIFS('Disbursements Summary'!$E:$E,'Disbursements Summary'!$C:$C,$C120,'Disbursements Summary'!$A:$A,"DHSES")</f>
        <v>0</v>
      </c>
      <c r="BR120" s="55">
        <f>SUMIFS('Awards Summary'!$H:$H,'Awards Summary'!$B:$B,$C120,'Awards Summary'!$J:$J,"DHR")</f>
        <v>0</v>
      </c>
      <c r="BS120" s="55">
        <f>SUMIFS('Disbursements Summary'!$E:$E,'Disbursements Summary'!$C:$C,$C120,'Disbursements Summary'!$A:$A,"DHR")</f>
        <v>0</v>
      </c>
      <c r="BT120" s="55">
        <f>SUMIFS('Awards Summary'!$H:$H,'Awards Summary'!$B:$B,$C120,'Awards Summary'!$J:$J,"DMNA")</f>
        <v>0</v>
      </c>
      <c r="BU120" s="55">
        <f>SUMIFS('Disbursements Summary'!$E:$E,'Disbursements Summary'!$C:$C,$C120,'Disbursements Summary'!$A:$A,"DMNA")</f>
        <v>0</v>
      </c>
      <c r="BV120" s="55">
        <f>SUMIFS('Awards Summary'!$H:$H,'Awards Summary'!$B:$B,$C120,'Awards Summary'!$J:$J,"TROOPERS")</f>
        <v>0</v>
      </c>
      <c r="BW120" s="55">
        <f>SUMIFS('Disbursements Summary'!$E:$E,'Disbursements Summary'!$C:$C,$C120,'Disbursements Summary'!$A:$A,"TROOPERS")</f>
        <v>0</v>
      </c>
      <c r="BX120" s="55">
        <f>SUMIFS('Awards Summary'!$H:$H,'Awards Summary'!$B:$B,$C120,'Awards Summary'!$J:$J,"DVA")</f>
        <v>0</v>
      </c>
      <c r="BY120" s="55">
        <f>SUMIFS('Disbursements Summary'!$E:$E,'Disbursements Summary'!$C:$C,$C120,'Disbursements Summary'!$A:$A,"DVA")</f>
        <v>0</v>
      </c>
      <c r="BZ120" s="55">
        <f>SUMIFS('Awards Summary'!$H:$H,'Awards Summary'!$B:$B,$C120,'Awards Summary'!$J:$J,"DASNY")</f>
        <v>0</v>
      </c>
      <c r="CA120" s="55">
        <f>SUMIFS('Disbursements Summary'!$E:$E,'Disbursements Summary'!$C:$C,$C120,'Disbursements Summary'!$A:$A,"DASNY")</f>
        <v>0</v>
      </c>
      <c r="CB120" s="55">
        <f>SUMIFS('Awards Summary'!$H:$H,'Awards Summary'!$B:$B,$C120,'Awards Summary'!$J:$J,"EGG")</f>
        <v>0</v>
      </c>
      <c r="CC120" s="55">
        <f>SUMIFS('Disbursements Summary'!$E:$E,'Disbursements Summary'!$C:$C,$C120,'Disbursements Summary'!$A:$A,"EGG")</f>
        <v>0</v>
      </c>
      <c r="CD120" s="55">
        <f>SUMIFS('Awards Summary'!$H:$H,'Awards Summary'!$B:$B,$C120,'Awards Summary'!$J:$J,"ESD")</f>
        <v>0</v>
      </c>
      <c r="CE120" s="55">
        <f>SUMIFS('Disbursements Summary'!$E:$E,'Disbursements Summary'!$C:$C,$C120,'Disbursements Summary'!$A:$A,"ESD")</f>
        <v>0</v>
      </c>
      <c r="CF120" s="55">
        <f>SUMIFS('Awards Summary'!$H:$H,'Awards Summary'!$B:$B,$C120,'Awards Summary'!$J:$J,"EFC")</f>
        <v>0</v>
      </c>
      <c r="CG120" s="55">
        <f>SUMIFS('Disbursements Summary'!$E:$E,'Disbursements Summary'!$C:$C,$C120,'Disbursements Summary'!$A:$A,"EFC")</f>
        <v>0</v>
      </c>
      <c r="CH120" s="55">
        <f>SUMIFS('Awards Summary'!$H:$H,'Awards Summary'!$B:$B,$C120,'Awards Summary'!$J:$J,"ECFSA")</f>
        <v>0</v>
      </c>
      <c r="CI120" s="55">
        <f>SUMIFS('Disbursements Summary'!$E:$E,'Disbursements Summary'!$C:$C,$C120,'Disbursements Summary'!$A:$A,"ECFSA")</f>
        <v>0</v>
      </c>
      <c r="CJ120" s="55">
        <f>SUMIFS('Awards Summary'!$H:$H,'Awards Summary'!$B:$B,$C120,'Awards Summary'!$J:$J,"ECMC")</f>
        <v>0</v>
      </c>
      <c r="CK120" s="55">
        <f>SUMIFS('Disbursements Summary'!$E:$E,'Disbursements Summary'!$C:$C,$C120,'Disbursements Summary'!$A:$A,"ECMC")</f>
        <v>0</v>
      </c>
      <c r="CL120" s="55">
        <f>SUMIFS('Awards Summary'!$H:$H,'Awards Summary'!$B:$B,$C120,'Awards Summary'!$J:$J,"CHAMBER")</f>
        <v>0</v>
      </c>
      <c r="CM120" s="55">
        <f>SUMIFS('Disbursements Summary'!$E:$E,'Disbursements Summary'!$C:$C,$C120,'Disbursements Summary'!$A:$A,"CHAMBER")</f>
        <v>0</v>
      </c>
      <c r="CN120" s="55">
        <f>SUMIFS('Awards Summary'!$H:$H,'Awards Summary'!$B:$B,$C120,'Awards Summary'!$J:$J,"GAMING")</f>
        <v>0</v>
      </c>
      <c r="CO120" s="55">
        <f>SUMIFS('Disbursements Summary'!$E:$E,'Disbursements Summary'!$C:$C,$C120,'Disbursements Summary'!$A:$A,"GAMING")</f>
        <v>0</v>
      </c>
      <c r="CP120" s="55">
        <f>SUMIFS('Awards Summary'!$H:$H,'Awards Summary'!$B:$B,$C120,'Awards Summary'!$J:$J,"GOER")</f>
        <v>0</v>
      </c>
      <c r="CQ120" s="55">
        <f>SUMIFS('Disbursements Summary'!$E:$E,'Disbursements Summary'!$C:$C,$C120,'Disbursements Summary'!$A:$A,"GOER")</f>
        <v>0</v>
      </c>
      <c r="CR120" s="55">
        <f>SUMIFS('Awards Summary'!$H:$H,'Awards Summary'!$B:$B,$C120,'Awards Summary'!$J:$J,"HESC")</f>
        <v>0</v>
      </c>
      <c r="CS120" s="55">
        <f>SUMIFS('Disbursements Summary'!$E:$E,'Disbursements Summary'!$C:$C,$C120,'Disbursements Summary'!$A:$A,"HESC")</f>
        <v>0</v>
      </c>
      <c r="CT120" s="55">
        <f>SUMIFS('Awards Summary'!$H:$H,'Awards Summary'!$B:$B,$C120,'Awards Summary'!$J:$J,"GOSR")</f>
        <v>0</v>
      </c>
      <c r="CU120" s="55">
        <f>SUMIFS('Disbursements Summary'!$E:$E,'Disbursements Summary'!$C:$C,$C120,'Disbursements Summary'!$A:$A,"GOSR")</f>
        <v>0</v>
      </c>
      <c r="CV120" s="55">
        <f>SUMIFS('Awards Summary'!$H:$H,'Awards Summary'!$B:$B,$C120,'Awards Summary'!$J:$J,"HRPT")</f>
        <v>0</v>
      </c>
      <c r="CW120" s="55">
        <f>SUMIFS('Disbursements Summary'!$E:$E,'Disbursements Summary'!$C:$C,$C120,'Disbursements Summary'!$A:$A,"HRPT")</f>
        <v>0</v>
      </c>
      <c r="CX120" s="55">
        <f>SUMIFS('Awards Summary'!$H:$H,'Awards Summary'!$B:$B,$C120,'Awards Summary'!$J:$J,"HRBRRD")</f>
        <v>0</v>
      </c>
      <c r="CY120" s="55">
        <f>SUMIFS('Disbursements Summary'!$E:$E,'Disbursements Summary'!$C:$C,$C120,'Disbursements Summary'!$A:$A,"HRBRRD")</f>
        <v>0</v>
      </c>
      <c r="CZ120" s="55">
        <f>SUMIFS('Awards Summary'!$H:$H,'Awards Summary'!$B:$B,$C120,'Awards Summary'!$J:$J,"ITS")</f>
        <v>0</v>
      </c>
      <c r="DA120" s="55">
        <f>SUMIFS('Disbursements Summary'!$E:$E,'Disbursements Summary'!$C:$C,$C120,'Disbursements Summary'!$A:$A,"ITS")</f>
        <v>0</v>
      </c>
      <c r="DB120" s="55">
        <f>SUMIFS('Awards Summary'!$H:$H,'Awards Summary'!$B:$B,$C120,'Awards Summary'!$J:$J,"JAVITS")</f>
        <v>0</v>
      </c>
      <c r="DC120" s="55">
        <f>SUMIFS('Disbursements Summary'!$E:$E,'Disbursements Summary'!$C:$C,$C120,'Disbursements Summary'!$A:$A,"JAVITS")</f>
        <v>0</v>
      </c>
      <c r="DD120" s="55">
        <f>SUMIFS('Awards Summary'!$H:$H,'Awards Summary'!$B:$B,$C120,'Awards Summary'!$J:$J,"JCOPE")</f>
        <v>0</v>
      </c>
      <c r="DE120" s="55">
        <f>SUMIFS('Disbursements Summary'!$E:$E,'Disbursements Summary'!$C:$C,$C120,'Disbursements Summary'!$A:$A,"JCOPE")</f>
        <v>0</v>
      </c>
      <c r="DF120" s="55">
        <f>SUMIFS('Awards Summary'!$H:$H,'Awards Summary'!$B:$B,$C120,'Awards Summary'!$J:$J,"JUSTICE")</f>
        <v>0</v>
      </c>
      <c r="DG120" s="55">
        <f>SUMIFS('Disbursements Summary'!$E:$E,'Disbursements Summary'!$C:$C,$C120,'Disbursements Summary'!$A:$A,"JUSTICE")</f>
        <v>0</v>
      </c>
      <c r="DH120" s="55">
        <f>SUMIFS('Awards Summary'!$H:$H,'Awards Summary'!$B:$B,$C120,'Awards Summary'!$J:$J,"LCWSA")</f>
        <v>0</v>
      </c>
      <c r="DI120" s="55">
        <f>SUMIFS('Disbursements Summary'!$E:$E,'Disbursements Summary'!$C:$C,$C120,'Disbursements Summary'!$A:$A,"LCWSA")</f>
        <v>0</v>
      </c>
      <c r="DJ120" s="55">
        <f>SUMIFS('Awards Summary'!$H:$H,'Awards Summary'!$B:$B,$C120,'Awards Summary'!$J:$J,"LIPA")</f>
        <v>0</v>
      </c>
      <c r="DK120" s="55">
        <f>SUMIFS('Disbursements Summary'!$E:$E,'Disbursements Summary'!$C:$C,$C120,'Disbursements Summary'!$A:$A,"LIPA")</f>
        <v>0</v>
      </c>
      <c r="DL120" s="55">
        <f>SUMIFS('Awards Summary'!$H:$H,'Awards Summary'!$B:$B,$C120,'Awards Summary'!$J:$J,"MTA")</f>
        <v>0</v>
      </c>
      <c r="DM120" s="55">
        <f>SUMIFS('Disbursements Summary'!$E:$E,'Disbursements Summary'!$C:$C,$C120,'Disbursements Summary'!$A:$A,"MTA")</f>
        <v>0</v>
      </c>
      <c r="DN120" s="55">
        <f>SUMIFS('Awards Summary'!$H:$H,'Awards Summary'!$B:$B,$C120,'Awards Summary'!$J:$J,"NIFA")</f>
        <v>0</v>
      </c>
      <c r="DO120" s="55">
        <f>SUMIFS('Disbursements Summary'!$E:$E,'Disbursements Summary'!$C:$C,$C120,'Disbursements Summary'!$A:$A,"NIFA")</f>
        <v>0</v>
      </c>
      <c r="DP120" s="55">
        <f>SUMIFS('Awards Summary'!$H:$H,'Awards Summary'!$B:$B,$C120,'Awards Summary'!$J:$J,"NHCC")</f>
        <v>0</v>
      </c>
      <c r="DQ120" s="55">
        <f>SUMIFS('Disbursements Summary'!$E:$E,'Disbursements Summary'!$C:$C,$C120,'Disbursements Summary'!$A:$A,"NHCC")</f>
        <v>0</v>
      </c>
      <c r="DR120" s="55">
        <f>SUMIFS('Awards Summary'!$H:$H,'Awards Summary'!$B:$B,$C120,'Awards Summary'!$J:$J,"NHT")</f>
        <v>0</v>
      </c>
      <c r="DS120" s="55">
        <f>SUMIFS('Disbursements Summary'!$E:$E,'Disbursements Summary'!$C:$C,$C120,'Disbursements Summary'!$A:$A,"NHT")</f>
        <v>0</v>
      </c>
      <c r="DT120" s="55">
        <f>SUMIFS('Awards Summary'!$H:$H,'Awards Summary'!$B:$B,$C120,'Awards Summary'!$J:$J,"NYPA")</f>
        <v>0</v>
      </c>
      <c r="DU120" s="55">
        <f>SUMIFS('Disbursements Summary'!$E:$E,'Disbursements Summary'!$C:$C,$C120,'Disbursements Summary'!$A:$A,"NYPA")</f>
        <v>0</v>
      </c>
      <c r="DV120" s="55">
        <f>SUMIFS('Awards Summary'!$H:$H,'Awards Summary'!$B:$B,$C120,'Awards Summary'!$J:$J,"NYSBA")</f>
        <v>0</v>
      </c>
      <c r="DW120" s="55">
        <f>SUMIFS('Disbursements Summary'!$E:$E,'Disbursements Summary'!$C:$C,$C120,'Disbursements Summary'!$A:$A,"NYSBA")</f>
        <v>0</v>
      </c>
      <c r="DX120" s="55">
        <f>SUMIFS('Awards Summary'!$H:$H,'Awards Summary'!$B:$B,$C120,'Awards Summary'!$J:$J,"NYSERDA")</f>
        <v>0</v>
      </c>
      <c r="DY120" s="55">
        <f>SUMIFS('Disbursements Summary'!$E:$E,'Disbursements Summary'!$C:$C,$C120,'Disbursements Summary'!$A:$A,"NYSERDA")</f>
        <v>0</v>
      </c>
      <c r="DZ120" s="55">
        <f>SUMIFS('Awards Summary'!$H:$H,'Awards Summary'!$B:$B,$C120,'Awards Summary'!$J:$J,"DHCR")</f>
        <v>0</v>
      </c>
      <c r="EA120" s="55">
        <f>SUMIFS('Disbursements Summary'!$E:$E,'Disbursements Summary'!$C:$C,$C120,'Disbursements Summary'!$A:$A,"DHCR")</f>
        <v>0</v>
      </c>
      <c r="EB120" s="55">
        <f>SUMIFS('Awards Summary'!$H:$H,'Awards Summary'!$B:$B,$C120,'Awards Summary'!$J:$J,"HFA")</f>
        <v>0</v>
      </c>
      <c r="EC120" s="55">
        <f>SUMIFS('Disbursements Summary'!$E:$E,'Disbursements Summary'!$C:$C,$C120,'Disbursements Summary'!$A:$A,"HFA")</f>
        <v>0</v>
      </c>
      <c r="ED120" s="55">
        <f>SUMIFS('Awards Summary'!$H:$H,'Awards Summary'!$B:$B,$C120,'Awards Summary'!$J:$J,"NYSIF")</f>
        <v>0</v>
      </c>
      <c r="EE120" s="55">
        <f>SUMIFS('Disbursements Summary'!$E:$E,'Disbursements Summary'!$C:$C,$C120,'Disbursements Summary'!$A:$A,"NYSIF")</f>
        <v>0</v>
      </c>
      <c r="EF120" s="55">
        <f>SUMIFS('Awards Summary'!$H:$H,'Awards Summary'!$B:$B,$C120,'Awards Summary'!$J:$J,"NYBREDS")</f>
        <v>0</v>
      </c>
      <c r="EG120" s="55">
        <f>SUMIFS('Disbursements Summary'!$E:$E,'Disbursements Summary'!$C:$C,$C120,'Disbursements Summary'!$A:$A,"NYBREDS")</f>
        <v>0</v>
      </c>
      <c r="EH120" s="55">
        <f>SUMIFS('Awards Summary'!$H:$H,'Awards Summary'!$B:$B,$C120,'Awards Summary'!$J:$J,"NYSTA")</f>
        <v>0</v>
      </c>
      <c r="EI120" s="55">
        <f>SUMIFS('Disbursements Summary'!$E:$E,'Disbursements Summary'!$C:$C,$C120,'Disbursements Summary'!$A:$A,"NYSTA")</f>
        <v>0</v>
      </c>
      <c r="EJ120" s="55">
        <f>SUMIFS('Awards Summary'!$H:$H,'Awards Summary'!$B:$B,$C120,'Awards Summary'!$J:$J,"NFWB")</f>
        <v>0</v>
      </c>
      <c r="EK120" s="55">
        <f>SUMIFS('Disbursements Summary'!$E:$E,'Disbursements Summary'!$C:$C,$C120,'Disbursements Summary'!$A:$A,"NFWB")</f>
        <v>0</v>
      </c>
      <c r="EL120" s="55">
        <f>SUMIFS('Awards Summary'!$H:$H,'Awards Summary'!$B:$B,$C120,'Awards Summary'!$J:$J,"NFTA")</f>
        <v>0</v>
      </c>
      <c r="EM120" s="55">
        <f>SUMIFS('Disbursements Summary'!$E:$E,'Disbursements Summary'!$C:$C,$C120,'Disbursements Summary'!$A:$A,"NFTA")</f>
        <v>0</v>
      </c>
      <c r="EN120" s="55">
        <f>SUMIFS('Awards Summary'!$H:$H,'Awards Summary'!$B:$B,$C120,'Awards Summary'!$J:$J,"OPWDD")</f>
        <v>0</v>
      </c>
      <c r="EO120" s="55">
        <f>SUMIFS('Disbursements Summary'!$E:$E,'Disbursements Summary'!$C:$C,$C120,'Disbursements Summary'!$A:$A,"OPWDD")</f>
        <v>0</v>
      </c>
      <c r="EP120" s="55">
        <f>SUMIFS('Awards Summary'!$H:$H,'Awards Summary'!$B:$B,$C120,'Awards Summary'!$J:$J,"AGING")</f>
        <v>0</v>
      </c>
      <c r="EQ120" s="55">
        <f>SUMIFS('Disbursements Summary'!$E:$E,'Disbursements Summary'!$C:$C,$C120,'Disbursements Summary'!$A:$A,"AGING")</f>
        <v>0</v>
      </c>
      <c r="ER120" s="55">
        <f>SUMIFS('Awards Summary'!$H:$H,'Awards Summary'!$B:$B,$C120,'Awards Summary'!$J:$J,"OPDV")</f>
        <v>0</v>
      </c>
      <c r="ES120" s="55">
        <f>SUMIFS('Disbursements Summary'!$E:$E,'Disbursements Summary'!$C:$C,$C120,'Disbursements Summary'!$A:$A,"OPDV")</f>
        <v>0</v>
      </c>
      <c r="ET120" s="55">
        <f>SUMIFS('Awards Summary'!$H:$H,'Awards Summary'!$B:$B,$C120,'Awards Summary'!$J:$J,"OVS")</f>
        <v>0</v>
      </c>
      <c r="EU120" s="55">
        <f>SUMIFS('Disbursements Summary'!$E:$E,'Disbursements Summary'!$C:$C,$C120,'Disbursements Summary'!$A:$A,"OVS")</f>
        <v>0</v>
      </c>
      <c r="EV120" s="55">
        <f>SUMIFS('Awards Summary'!$H:$H,'Awards Summary'!$B:$B,$C120,'Awards Summary'!$J:$J,"OASAS")</f>
        <v>0</v>
      </c>
      <c r="EW120" s="55">
        <f>SUMIFS('Disbursements Summary'!$E:$E,'Disbursements Summary'!$C:$C,$C120,'Disbursements Summary'!$A:$A,"OASAS")</f>
        <v>0</v>
      </c>
      <c r="EX120" s="55">
        <f>SUMIFS('Awards Summary'!$H:$H,'Awards Summary'!$B:$B,$C120,'Awards Summary'!$J:$J,"OCFS")</f>
        <v>0</v>
      </c>
      <c r="EY120" s="55">
        <f>SUMIFS('Disbursements Summary'!$E:$E,'Disbursements Summary'!$C:$C,$C120,'Disbursements Summary'!$A:$A,"OCFS")</f>
        <v>0</v>
      </c>
      <c r="EZ120" s="55">
        <f>SUMIFS('Awards Summary'!$H:$H,'Awards Summary'!$B:$B,$C120,'Awards Summary'!$J:$J,"OGS")</f>
        <v>0</v>
      </c>
      <c r="FA120" s="55">
        <f>SUMIFS('Disbursements Summary'!$E:$E,'Disbursements Summary'!$C:$C,$C120,'Disbursements Summary'!$A:$A,"OGS")</f>
        <v>0</v>
      </c>
      <c r="FB120" s="55">
        <f>SUMIFS('Awards Summary'!$H:$H,'Awards Summary'!$B:$B,$C120,'Awards Summary'!$J:$J,"OMH")</f>
        <v>0</v>
      </c>
      <c r="FC120" s="55">
        <f>SUMIFS('Disbursements Summary'!$E:$E,'Disbursements Summary'!$C:$C,$C120,'Disbursements Summary'!$A:$A,"OMH")</f>
        <v>0</v>
      </c>
      <c r="FD120" s="55">
        <f>SUMIFS('Awards Summary'!$H:$H,'Awards Summary'!$B:$B,$C120,'Awards Summary'!$J:$J,"PARKS")</f>
        <v>0</v>
      </c>
      <c r="FE120" s="55">
        <f>SUMIFS('Disbursements Summary'!$E:$E,'Disbursements Summary'!$C:$C,$C120,'Disbursements Summary'!$A:$A,"PARKS")</f>
        <v>0</v>
      </c>
      <c r="FF120" s="55">
        <f>SUMIFS('Awards Summary'!$H:$H,'Awards Summary'!$B:$B,$C120,'Awards Summary'!$J:$J,"OTDA")</f>
        <v>0</v>
      </c>
      <c r="FG120" s="55">
        <f>SUMIFS('Disbursements Summary'!$E:$E,'Disbursements Summary'!$C:$C,$C120,'Disbursements Summary'!$A:$A,"OTDA")</f>
        <v>0</v>
      </c>
      <c r="FH120" s="55">
        <f>SUMIFS('Awards Summary'!$H:$H,'Awards Summary'!$B:$B,$C120,'Awards Summary'!$J:$J,"OIG")</f>
        <v>0</v>
      </c>
      <c r="FI120" s="55">
        <f>SUMIFS('Disbursements Summary'!$E:$E,'Disbursements Summary'!$C:$C,$C120,'Disbursements Summary'!$A:$A,"OIG")</f>
        <v>0</v>
      </c>
      <c r="FJ120" s="55">
        <f>SUMIFS('Awards Summary'!$H:$H,'Awards Summary'!$B:$B,$C120,'Awards Summary'!$J:$J,"OMIG")</f>
        <v>0</v>
      </c>
      <c r="FK120" s="55">
        <f>SUMIFS('Disbursements Summary'!$E:$E,'Disbursements Summary'!$C:$C,$C120,'Disbursements Summary'!$A:$A,"OMIG")</f>
        <v>0</v>
      </c>
      <c r="FL120" s="55">
        <f>SUMIFS('Awards Summary'!$H:$H,'Awards Summary'!$B:$B,$C120,'Awards Summary'!$J:$J,"OSC")</f>
        <v>0</v>
      </c>
      <c r="FM120" s="55">
        <f>SUMIFS('Disbursements Summary'!$E:$E,'Disbursements Summary'!$C:$C,$C120,'Disbursements Summary'!$A:$A,"OSC")</f>
        <v>0</v>
      </c>
      <c r="FN120" s="55">
        <f>SUMIFS('Awards Summary'!$H:$H,'Awards Summary'!$B:$B,$C120,'Awards Summary'!$J:$J,"OWIG")</f>
        <v>0</v>
      </c>
      <c r="FO120" s="55">
        <f>SUMIFS('Disbursements Summary'!$E:$E,'Disbursements Summary'!$C:$C,$C120,'Disbursements Summary'!$A:$A,"OWIG")</f>
        <v>0</v>
      </c>
      <c r="FP120" s="55">
        <f>SUMIFS('Awards Summary'!$H:$H,'Awards Summary'!$B:$B,$C120,'Awards Summary'!$J:$J,"OGDEN")</f>
        <v>0</v>
      </c>
      <c r="FQ120" s="55">
        <f>SUMIFS('Disbursements Summary'!$E:$E,'Disbursements Summary'!$C:$C,$C120,'Disbursements Summary'!$A:$A,"OGDEN")</f>
        <v>0</v>
      </c>
      <c r="FR120" s="55">
        <f>SUMIFS('Awards Summary'!$H:$H,'Awards Summary'!$B:$B,$C120,'Awards Summary'!$J:$J,"ORDA")</f>
        <v>0</v>
      </c>
      <c r="FS120" s="55">
        <f>SUMIFS('Disbursements Summary'!$E:$E,'Disbursements Summary'!$C:$C,$C120,'Disbursements Summary'!$A:$A,"ORDA")</f>
        <v>0</v>
      </c>
      <c r="FT120" s="55">
        <f>SUMIFS('Awards Summary'!$H:$H,'Awards Summary'!$B:$B,$C120,'Awards Summary'!$J:$J,"OSWEGO")</f>
        <v>0</v>
      </c>
      <c r="FU120" s="55">
        <f>SUMIFS('Disbursements Summary'!$E:$E,'Disbursements Summary'!$C:$C,$C120,'Disbursements Summary'!$A:$A,"OSWEGO")</f>
        <v>0</v>
      </c>
      <c r="FV120" s="55">
        <f>SUMIFS('Awards Summary'!$H:$H,'Awards Summary'!$B:$B,$C120,'Awards Summary'!$J:$J,"PERB")</f>
        <v>0</v>
      </c>
      <c r="FW120" s="55">
        <f>SUMIFS('Disbursements Summary'!$E:$E,'Disbursements Summary'!$C:$C,$C120,'Disbursements Summary'!$A:$A,"PERB")</f>
        <v>0</v>
      </c>
      <c r="FX120" s="55">
        <f>SUMIFS('Awards Summary'!$H:$H,'Awards Summary'!$B:$B,$C120,'Awards Summary'!$J:$J,"RGRTA")</f>
        <v>0</v>
      </c>
      <c r="FY120" s="55">
        <f>SUMIFS('Disbursements Summary'!$E:$E,'Disbursements Summary'!$C:$C,$C120,'Disbursements Summary'!$A:$A,"RGRTA")</f>
        <v>0</v>
      </c>
      <c r="FZ120" s="55">
        <f>SUMIFS('Awards Summary'!$H:$H,'Awards Summary'!$B:$B,$C120,'Awards Summary'!$J:$J,"RIOC")</f>
        <v>0</v>
      </c>
      <c r="GA120" s="55">
        <f>SUMIFS('Disbursements Summary'!$E:$E,'Disbursements Summary'!$C:$C,$C120,'Disbursements Summary'!$A:$A,"RIOC")</f>
        <v>0</v>
      </c>
      <c r="GB120" s="55">
        <f>SUMIFS('Awards Summary'!$H:$H,'Awards Summary'!$B:$B,$C120,'Awards Summary'!$J:$J,"RPCI")</f>
        <v>0</v>
      </c>
      <c r="GC120" s="55">
        <f>SUMIFS('Disbursements Summary'!$E:$E,'Disbursements Summary'!$C:$C,$C120,'Disbursements Summary'!$A:$A,"RPCI")</f>
        <v>0</v>
      </c>
      <c r="GD120" s="55">
        <f>SUMIFS('Awards Summary'!$H:$H,'Awards Summary'!$B:$B,$C120,'Awards Summary'!$J:$J,"SMDA")</f>
        <v>0</v>
      </c>
      <c r="GE120" s="55">
        <f>SUMIFS('Disbursements Summary'!$E:$E,'Disbursements Summary'!$C:$C,$C120,'Disbursements Summary'!$A:$A,"SMDA")</f>
        <v>0</v>
      </c>
      <c r="GF120" s="55">
        <f>SUMIFS('Awards Summary'!$H:$H,'Awards Summary'!$B:$B,$C120,'Awards Summary'!$J:$J,"SCOC")</f>
        <v>0</v>
      </c>
      <c r="GG120" s="55">
        <f>SUMIFS('Disbursements Summary'!$E:$E,'Disbursements Summary'!$C:$C,$C120,'Disbursements Summary'!$A:$A,"SCOC")</f>
        <v>0</v>
      </c>
      <c r="GH120" s="55">
        <f>SUMIFS('Awards Summary'!$H:$H,'Awards Summary'!$B:$B,$C120,'Awards Summary'!$J:$J,"SUCF")</f>
        <v>0</v>
      </c>
      <c r="GI120" s="55">
        <f>SUMIFS('Disbursements Summary'!$E:$E,'Disbursements Summary'!$C:$C,$C120,'Disbursements Summary'!$A:$A,"SUCF")</f>
        <v>0</v>
      </c>
      <c r="GJ120" s="55">
        <f>SUMIFS('Awards Summary'!$H:$H,'Awards Summary'!$B:$B,$C120,'Awards Summary'!$J:$J,"SUNY")</f>
        <v>0</v>
      </c>
      <c r="GK120" s="55">
        <f>SUMIFS('Disbursements Summary'!$E:$E,'Disbursements Summary'!$C:$C,$C120,'Disbursements Summary'!$A:$A,"SUNY")</f>
        <v>0</v>
      </c>
      <c r="GL120" s="55">
        <f>SUMIFS('Awards Summary'!$H:$H,'Awards Summary'!$B:$B,$C120,'Awards Summary'!$J:$J,"SRAA")</f>
        <v>0</v>
      </c>
      <c r="GM120" s="55">
        <f>SUMIFS('Disbursements Summary'!$E:$E,'Disbursements Summary'!$C:$C,$C120,'Disbursements Summary'!$A:$A,"SRAA")</f>
        <v>0</v>
      </c>
      <c r="GN120" s="55">
        <f>SUMIFS('Awards Summary'!$H:$H,'Awards Summary'!$B:$B,$C120,'Awards Summary'!$J:$J,"UNDC")</f>
        <v>0</v>
      </c>
      <c r="GO120" s="55">
        <f>SUMIFS('Disbursements Summary'!$E:$E,'Disbursements Summary'!$C:$C,$C120,'Disbursements Summary'!$A:$A,"UNDC")</f>
        <v>0</v>
      </c>
      <c r="GP120" s="55">
        <f>SUMIFS('Awards Summary'!$H:$H,'Awards Summary'!$B:$B,$C120,'Awards Summary'!$J:$J,"MVWA")</f>
        <v>0</v>
      </c>
      <c r="GQ120" s="55">
        <f>SUMIFS('Disbursements Summary'!$E:$E,'Disbursements Summary'!$C:$C,$C120,'Disbursements Summary'!$A:$A,"MVWA")</f>
        <v>0</v>
      </c>
      <c r="GR120" s="55">
        <f>SUMIFS('Awards Summary'!$H:$H,'Awards Summary'!$B:$B,$C120,'Awards Summary'!$J:$J,"WMC")</f>
        <v>0</v>
      </c>
      <c r="GS120" s="55">
        <f>SUMIFS('Disbursements Summary'!$E:$E,'Disbursements Summary'!$C:$C,$C120,'Disbursements Summary'!$A:$A,"WMC")</f>
        <v>0</v>
      </c>
      <c r="GT120" s="55">
        <f>SUMIFS('Awards Summary'!$H:$H,'Awards Summary'!$B:$B,$C120,'Awards Summary'!$J:$J,"WCB")</f>
        <v>0</v>
      </c>
      <c r="GU120" s="55">
        <f>SUMIFS('Disbursements Summary'!$E:$E,'Disbursements Summary'!$C:$C,$C120,'Disbursements Summary'!$A:$A,"WCB")</f>
        <v>0</v>
      </c>
      <c r="GV120" s="32">
        <f t="shared" si="10"/>
        <v>0</v>
      </c>
      <c r="GW120" s="32">
        <f t="shared" si="11"/>
        <v>0</v>
      </c>
      <c r="GX120" s="30" t="b">
        <f t="shared" si="12"/>
        <v>1</v>
      </c>
      <c r="GY120" s="30" t="b">
        <f t="shared" si="13"/>
        <v>1</v>
      </c>
    </row>
    <row r="121" spans="1:207" s="30" customFormat="1">
      <c r="A121" s="22" t="str">
        <f t="shared" si="9"/>
        <v/>
      </c>
      <c r="B121" s="25" t="s">
        <v>245</v>
      </c>
      <c r="C121" s="16">
        <v>161303</v>
      </c>
      <c r="D121" s="26">
        <f>COUNTIF('Awards Summary'!B:B,"161303")</f>
        <v>0</v>
      </c>
      <c r="E121" s="45">
        <f>SUMIFS('Awards Summary'!H:H,'Awards Summary'!B:B,"161303")</f>
        <v>0</v>
      </c>
      <c r="F121" s="46">
        <f>SUMIFS('Disbursements Summary'!E:E,'Disbursements Summary'!C:C, "161303")</f>
        <v>0</v>
      </c>
      <c r="H121" s="55">
        <f>SUMIFS('Awards Summary'!$H:$H,'Awards Summary'!$B:$B,$C121,'Awards Summary'!$J:$J,"APA")</f>
        <v>0</v>
      </c>
      <c r="I121" s="55">
        <f>SUMIFS('Disbursements Summary'!$E:$E,'Disbursements Summary'!$C:$C,$C121,'Disbursements Summary'!$A:$A,"APA")</f>
        <v>0</v>
      </c>
      <c r="J121" s="55">
        <f>SUMIFS('Awards Summary'!$H:$H,'Awards Summary'!$B:$B,$C121,'Awards Summary'!$J:$J,"Ag&amp;Horse")</f>
        <v>0</v>
      </c>
      <c r="K121" s="55">
        <f>SUMIFS('Disbursements Summary'!$E:$E,'Disbursements Summary'!$C:$C,$C121,'Disbursements Summary'!$A:$A,"Ag&amp;Horse")</f>
        <v>0</v>
      </c>
      <c r="L121" s="55">
        <f>SUMIFS('Awards Summary'!$H:$H,'Awards Summary'!$B:$B,$C121,'Awards Summary'!$J:$J,"ACAA")</f>
        <v>0</v>
      </c>
      <c r="M121" s="55">
        <f>SUMIFS('Disbursements Summary'!$E:$E,'Disbursements Summary'!$C:$C,$C121,'Disbursements Summary'!$A:$A,"ACAA")</f>
        <v>0</v>
      </c>
      <c r="N121" s="55">
        <f>SUMIFS('Awards Summary'!$H:$H,'Awards Summary'!$B:$B,$C121,'Awards Summary'!$J:$J,"PortAlbany")</f>
        <v>0</v>
      </c>
      <c r="O121" s="55">
        <f>SUMIFS('Disbursements Summary'!$E:$E,'Disbursements Summary'!$C:$C,$C121,'Disbursements Summary'!$A:$A,"PortAlbany")</f>
        <v>0</v>
      </c>
      <c r="P121" s="55">
        <f>SUMIFS('Awards Summary'!$H:$H,'Awards Summary'!$B:$B,$C121,'Awards Summary'!$J:$J,"SLA")</f>
        <v>0</v>
      </c>
      <c r="Q121" s="55">
        <f>SUMIFS('Disbursements Summary'!$E:$E,'Disbursements Summary'!$C:$C,$C121,'Disbursements Summary'!$A:$A,"SLA")</f>
        <v>0</v>
      </c>
      <c r="R121" s="55">
        <f>SUMIFS('Awards Summary'!$H:$H,'Awards Summary'!$B:$B,$C121,'Awards Summary'!$J:$J,"BPCA")</f>
        <v>0</v>
      </c>
      <c r="S121" s="55">
        <f>SUMIFS('Disbursements Summary'!$E:$E,'Disbursements Summary'!$C:$C,$C121,'Disbursements Summary'!$A:$A,"BPCA")</f>
        <v>0</v>
      </c>
      <c r="T121" s="55">
        <f>SUMIFS('Awards Summary'!$H:$H,'Awards Summary'!$B:$B,$C121,'Awards Summary'!$J:$J,"ELECTIONS")</f>
        <v>0</v>
      </c>
      <c r="U121" s="55">
        <f>SUMIFS('Disbursements Summary'!$E:$E,'Disbursements Summary'!$C:$C,$C121,'Disbursements Summary'!$A:$A,"ELECTIONS")</f>
        <v>0</v>
      </c>
      <c r="V121" s="55">
        <f>SUMIFS('Awards Summary'!$H:$H,'Awards Summary'!$B:$B,$C121,'Awards Summary'!$J:$J,"BFSA")</f>
        <v>0</v>
      </c>
      <c r="W121" s="55">
        <f>SUMIFS('Disbursements Summary'!$E:$E,'Disbursements Summary'!$C:$C,$C121,'Disbursements Summary'!$A:$A,"BFSA")</f>
        <v>0</v>
      </c>
      <c r="X121" s="55">
        <f>SUMIFS('Awards Summary'!$H:$H,'Awards Summary'!$B:$B,$C121,'Awards Summary'!$J:$J,"CDTA")</f>
        <v>0</v>
      </c>
      <c r="Y121" s="55">
        <f>SUMIFS('Disbursements Summary'!$E:$E,'Disbursements Summary'!$C:$C,$C121,'Disbursements Summary'!$A:$A,"CDTA")</f>
        <v>0</v>
      </c>
      <c r="Z121" s="55">
        <f>SUMIFS('Awards Summary'!$H:$H,'Awards Summary'!$B:$B,$C121,'Awards Summary'!$J:$J,"CCWSA")</f>
        <v>0</v>
      </c>
      <c r="AA121" s="55">
        <f>SUMIFS('Disbursements Summary'!$E:$E,'Disbursements Summary'!$C:$C,$C121,'Disbursements Summary'!$A:$A,"CCWSA")</f>
        <v>0</v>
      </c>
      <c r="AB121" s="55">
        <f>SUMIFS('Awards Summary'!$H:$H,'Awards Summary'!$B:$B,$C121,'Awards Summary'!$J:$J,"CNYRTA")</f>
        <v>0</v>
      </c>
      <c r="AC121" s="55">
        <f>SUMIFS('Disbursements Summary'!$E:$E,'Disbursements Summary'!$C:$C,$C121,'Disbursements Summary'!$A:$A,"CNYRTA")</f>
        <v>0</v>
      </c>
      <c r="AD121" s="55">
        <f>SUMIFS('Awards Summary'!$H:$H,'Awards Summary'!$B:$B,$C121,'Awards Summary'!$J:$J,"CUCF")</f>
        <v>0</v>
      </c>
      <c r="AE121" s="55">
        <f>SUMIFS('Disbursements Summary'!$E:$E,'Disbursements Summary'!$C:$C,$C121,'Disbursements Summary'!$A:$A,"CUCF")</f>
        <v>0</v>
      </c>
      <c r="AF121" s="55">
        <f>SUMIFS('Awards Summary'!$H:$H,'Awards Summary'!$B:$B,$C121,'Awards Summary'!$J:$J,"CUNY")</f>
        <v>0</v>
      </c>
      <c r="AG121" s="55">
        <f>SUMIFS('Disbursements Summary'!$E:$E,'Disbursements Summary'!$C:$C,$C121,'Disbursements Summary'!$A:$A,"CUNY")</f>
        <v>0</v>
      </c>
      <c r="AH121" s="55">
        <f>SUMIFS('Awards Summary'!$H:$H,'Awards Summary'!$B:$B,$C121,'Awards Summary'!$J:$J,"ARTS")</f>
        <v>0</v>
      </c>
      <c r="AI121" s="55">
        <f>SUMIFS('Disbursements Summary'!$E:$E,'Disbursements Summary'!$C:$C,$C121,'Disbursements Summary'!$A:$A,"ARTS")</f>
        <v>0</v>
      </c>
      <c r="AJ121" s="55">
        <f>SUMIFS('Awards Summary'!$H:$H,'Awards Summary'!$B:$B,$C121,'Awards Summary'!$J:$J,"AG&amp;MKTS")</f>
        <v>0</v>
      </c>
      <c r="AK121" s="55">
        <f>SUMIFS('Disbursements Summary'!$E:$E,'Disbursements Summary'!$C:$C,$C121,'Disbursements Summary'!$A:$A,"AG&amp;MKTS")</f>
        <v>0</v>
      </c>
      <c r="AL121" s="55">
        <f>SUMIFS('Awards Summary'!$H:$H,'Awards Summary'!$B:$B,$C121,'Awards Summary'!$J:$J,"CS")</f>
        <v>0</v>
      </c>
      <c r="AM121" s="55">
        <f>SUMIFS('Disbursements Summary'!$E:$E,'Disbursements Summary'!$C:$C,$C121,'Disbursements Summary'!$A:$A,"CS")</f>
        <v>0</v>
      </c>
      <c r="AN121" s="55">
        <f>SUMIFS('Awards Summary'!$H:$H,'Awards Summary'!$B:$B,$C121,'Awards Summary'!$J:$J,"DOCCS")</f>
        <v>0</v>
      </c>
      <c r="AO121" s="55">
        <f>SUMIFS('Disbursements Summary'!$E:$E,'Disbursements Summary'!$C:$C,$C121,'Disbursements Summary'!$A:$A,"DOCCS")</f>
        <v>0</v>
      </c>
      <c r="AP121" s="55">
        <f>SUMIFS('Awards Summary'!$H:$H,'Awards Summary'!$B:$B,$C121,'Awards Summary'!$J:$J,"DED")</f>
        <v>0</v>
      </c>
      <c r="AQ121" s="55">
        <f>SUMIFS('Disbursements Summary'!$E:$E,'Disbursements Summary'!$C:$C,$C121,'Disbursements Summary'!$A:$A,"DED")</f>
        <v>0</v>
      </c>
      <c r="AR121" s="55">
        <f>SUMIFS('Awards Summary'!$H:$H,'Awards Summary'!$B:$B,$C121,'Awards Summary'!$J:$J,"DEC")</f>
        <v>0</v>
      </c>
      <c r="AS121" s="55">
        <f>SUMIFS('Disbursements Summary'!$E:$E,'Disbursements Summary'!$C:$C,$C121,'Disbursements Summary'!$A:$A,"DEC")</f>
        <v>0</v>
      </c>
      <c r="AT121" s="55">
        <f>SUMIFS('Awards Summary'!$H:$H,'Awards Summary'!$B:$B,$C121,'Awards Summary'!$J:$J,"DFS")</f>
        <v>0</v>
      </c>
      <c r="AU121" s="55">
        <f>SUMIFS('Disbursements Summary'!$E:$E,'Disbursements Summary'!$C:$C,$C121,'Disbursements Summary'!$A:$A,"DFS")</f>
        <v>0</v>
      </c>
      <c r="AV121" s="55">
        <f>SUMIFS('Awards Summary'!$H:$H,'Awards Summary'!$B:$B,$C121,'Awards Summary'!$J:$J,"DOH")</f>
        <v>0</v>
      </c>
      <c r="AW121" s="55">
        <f>SUMIFS('Disbursements Summary'!$E:$E,'Disbursements Summary'!$C:$C,$C121,'Disbursements Summary'!$A:$A,"DOH")</f>
        <v>0</v>
      </c>
      <c r="AX121" s="55">
        <f>SUMIFS('Awards Summary'!$H:$H,'Awards Summary'!$B:$B,$C121,'Awards Summary'!$J:$J,"DOL")</f>
        <v>0</v>
      </c>
      <c r="AY121" s="55">
        <f>SUMIFS('Disbursements Summary'!$E:$E,'Disbursements Summary'!$C:$C,$C121,'Disbursements Summary'!$A:$A,"DOL")</f>
        <v>0</v>
      </c>
      <c r="AZ121" s="55">
        <f>SUMIFS('Awards Summary'!$H:$H,'Awards Summary'!$B:$B,$C121,'Awards Summary'!$J:$J,"DMV")</f>
        <v>0</v>
      </c>
      <c r="BA121" s="55">
        <f>SUMIFS('Disbursements Summary'!$E:$E,'Disbursements Summary'!$C:$C,$C121,'Disbursements Summary'!$A:$A,"DMV")</f>
        <v>0</v>
      </c>
      <c r="BB121" s="55">
        <f>SUMIFS('Awards Summary'!$H:$H,'Awards Summary'!$B:$B,$C121,'Awards Summary'!$J:$J,"DPS")</f>
        <v>0</v>
      </c>
      <c r="BC121" s="55">
        <f>SUMIFS('Disbursements Summary'!$E:$E,'Disbursements Summary'!$C:$C,$C121,'Disbursements Summary'!$A:$A,"DPS")</f>
        <v>0</v>
      </c>
      <c r="BD121" s="55">
        <f>SUMIFS('Awards Summary'!$H:$H,'Awards Summary'!$B:$B,$C121,'Awards Summary'!$J:$J,"DOS")</f>
        <v>0</v>
      </c>
      <c r="BE121" s="55">
        <f>SUMIFS('Disbursements Summary'!$E:$E,'Disbursements Summary'!$C:$C,$C121,'Disbursements Summary'!$A:$A,"DOS")</f>
        <v>0</v>
      </c>
      <c r="BF121" s="55">
        <f>SUMIFS('Awards Summary'!$H:$H,'Awards Summary'!$B:$B,$C121,'Awards Summary'!$J:$J,"TAX")</f>
        <v>0</v>
      </c>
      <c r="BG121" s="55">
        <f>SUMIFS('Disbursements Summary'!$E:$E,'Disbursements Summary'!$C:$C,$C121,'Disbursements Summary'!$A:$A,"TAX")</f>
        <v>0</v>
      </c>
      <c r="BH121" s="55">
        <f>SUMIFS('Awards Summary'!$H:$H,'Awards Summary'!$B:$B,$C121,'Awards Summary'!$J:$J,"DOT")</f>
        <v>0</v>
      </c>
      <c r="BI121" s="55">
        <f>SUMIFS('Disbursements Summary'!$E:$E,'Disbursements Summary'!$C:$C,$C121,'Disbursements Summary'!$A:$A,"DOT")</f>
        <v>0</v>
      </c>
      <c r="BJ121" s="55">
        <f>SUMIFS('Awards Summary'!$H:$H,'Awards Summary'!$B:$B,$C121,'Awards Summary'!$J:$J,"DANC")</f>
        <v>0</v>
      </c>
      <c r="BK121" s="55">
        <f>SUMIFS('Disbursements Summary'!$E:$E,'Disbursements Summary'!$C:$C,$C121,'Disbursements Summary'!$A:$A,"DANC")</f>
        <v>0</v>
      </c>
      <c r="BL121" s="55">
        <f>SUMIFS('Awards Summary'!$H:$H,'Awards Summary'!$B:$B,$C121,'Awards Summary'!$J:$J,"DOB")</f>
        <v>0</v>
      </c>
      <c r="BM121" s="55">
        <f>SUMIFS('Disbursements Summary'!$E:$E,'Disbursements Summary'!$C:$C,$C121,'Disbursements Summary'!$A:$A,"DOB")</f>
        <v>0</v>
      </c>
      <c r="BN121" s="55">
        <f>SUMIFS('Awards Summary'!$H:$H,'Awards Summary'!$B:$B,$C121,'Awards Summary'!$J:$J,"DCJS")</f>
        <v>0</v>
      </c>
      <c r="BO121" s="55">
        <f>SUMIFS('Disbursements Summary'!$E:$E,'Disbursements Summary'!$C:$C,$C121,'Disbursements Summary'!$A:$A,"DCJS")</f>
        <v>0</v>
      </c>
      <c r="BP121" s="55">
        <f>SUMIFS('Awards Summary'!$H:$H,'Awards Summary'!$B:$B,$C121,'Awards Summary'!$J:$J,"DHSES")</f>
        <v>0</v>
      </c>
      <c r="BQ121" s="55">
        <f>SUMIFS('Disbursements Summary'!$E:$E,'Disbursements Summary'!$C:$C,$C121,'Disbursements Summary'!$A:$A,"DHSES")</f>
        <v>0</v>
      </c>
      <c r="BR121" s="55">
        <f>SUMIFS('Awards Summary'!$H:$H,'Awards Summary'!$B:$B,$C121,'Awards Summary'!$J:$J,"DHR")</f>
        <v>0</v>
      </c>
      <c r="BS121" s="55">
        <f>SUMIFS('Disbursements Summary'!$E:$E,'Disbursements Summary'!$C:$C,$C121,'Disbursements Summary'!$A:$A,"DHR")</f>
        <v>0</v>
      </c>
      <c r="BT121" s="55">
        <f>SUMIFS('Awards Summary'!$H:$H,'Awards Summary'!$B:$B,$C121,'Awards Summary'!$J:$J,"DMNA")</f>
        <v>0</v>
      </c>
      <c r="BU121" s="55">
        <f>SUMIFS('Disbursements Summary'!$E:$E,'Disbursements Summary'!$C:$C,$C121,'Disbursements Summary'!$A:$A,"DMNA")</f>
        <v>0</v>
      </c>
      <c r="BV121" s="55">
        <f>SUMIFS('Awards Summary'!$H:$H,'Awards Summary'!$B:$B,$C121,'Awards Summary'!$J:$J,"TROOPERS")</f>
        <v>0</v>
      </c>
      <c r="BW121" s="55">
        <f>SUMIFS('Disbursements Summary'!$E:$E,'Disbursements Summary'!$C:$C,$C121,'Disbursements Summary'!$A:$A,"TROOPERS")</f>
        <v>0</v>
      </c>
      <c r="BX121" s="55">
        <f>SUMIFS('Awards Summary'!$H:$H,'Awards Summary'!$B:$B,$C121,'Awards Summary'!$J:$J,"DVA")</f>
        <v>0</v>
      </c>
      <c r="BY121" s="55">
        <f>SUMIFS('Disbursements Summary'!$E:$E,'Disbursements Summary'!$C:$C,$C121,'Disbursements Summary'!$A:$A,"DVA")</f>
        <v>0</v>
      </c>
      <c r="BZ121" s="55">
        <f>SUMIFS('Awards Summary'!$H:$H,'Awards Summary'!$B:$B,$C121,'Awards Summary'!$J:$J,"DASNY")</f>
        <v>0</v>
      </c>
      <c r="CA121" s="55">
        <f>SUMIFS('Disbursements Summary'!$E:$E,'Disbursements Summary'!$C:$C,$C121,'Disbursements Summary'!$A:$A,"DASNY")</f>
        <v>0</v>
      </c>
      <c r="CB121" s="55">
        <f>SUMIFS('Awards Summary'!$H:$H,'Awards Summary'!$B:$B,$C121,'Awards Summary'!$J:$J,"EGG")</f>
        <v>0</v>
      </c>
      <c r="CC121" s="55">
        <f>SUMIFS('Disbursements Summary'!$E:$E,'Disbursements Summary'!$C:$C,$C121,'Disbursements Summary'!$A:$A,"EGG")</f>
        <v>0</v>
      </c>
      <c r="CD121" s="55">
        <f>SUMIFS('Awards Summary'!$H:$H,'Awards Summary'!$B:$B,$C121,'Awards Summary'!$J:$J,"ESD")</f>
        <v>0</v>
      </c>
      <c r="CE121" s="55">
        <f>SUMIFS('Disbursements Summary'!$E:$E,'Disbursements Summary'!$C:$C,$C121,'Disbursements Summary'!$A:$A,"ESD")</f>
        <v>0</v>
      </c>
      <c r="CF121" s="55">
        <f>SUMIFS('Awards Summary'!$H:$H,'Awards Summary'!$B:$B,$C121,'Awards Summary'!$J:$J,"EFC")</f>
        <v>0</v>
      </c>
      <c r="CG121" s="55">
        <f>SUMIFS('Disbursements Summary'!$E:$E,'Disbursements Summary'!$C:$C,$C121,'Disbursements Summary'!$A:$A,"EFC")</f>
        <v>0</v>
      </c>
      <c r="CH121" s="55">
        <f>SUMIFS('Awards Summary'!$H:$H,'Awards Summary'!$B:$B,$C121,'Awards Summary'!$J:$J,"ECFSA")</f>
        <v>0</v>
      </c>
      <c r="CI121" s="55">
        <f>SUMIFS('Disbursements Summary'!$E:$E,'Disbursements Summary'!$C:$C,$C121,'Disbursements Summary'!$A:$A,"ECFSA")</f>
        <v>0</v>
      </c>
      <c r="CJ121" s="55">
        <f>SUMIFS('Awards Summary'!$H:$H,'Awards Summary'!$B:$B,$C121,'Awards Summary'!$J:$J,"ECMC")</f>
        <v>0</v>
      </c>
      <c r="CK121" s="55">
        <f>SUMIFS('Disbursements Summary'!$E:$E,'Disbursements Summary'!$C:$C,$C121,'Disbursements Summary'!$A:$A,"ECMC")</f>
        <v>0</v>
      </c>
      <c r="CL121" s="55">
        <f>SUMIFS('Awards Summary'!$H:$H,'Awards Summary'!$B:$B,$C121,'Awards Summary'!$J:$J,"CHAMBER")</f>
        <v>0</v>
      </c>
      <c r="CM121" s="55">
        <f>SUMIFS('Disbursements Summary'!$E:$E,'Disbursements Summary'!$C:$C,$C121,'Disbursements Summary'!$A:$A,"CHAMBER")</f>
        <v>0</v>
      </c>
      <c r="CN121" s="55">
        <f>SUMIFS('Awards Summary'!$H:$H,'Awards Summary'!$B:$B,$C121,'Awards Summary'!$J:$J,"GAMING")</f>
        <v>0</v>
      </c>
      <c r="CO121" s="55">
        <f>SUMIFS('Disbursements Summary'!$E:$E,'Disbursements Summary'!$C:$C,$C121,'Disbursements Summary'!$A:$A,"GAMING")</f>
        <v>0</v>
      </c>
      <c r="CP121" s="55">
        <f>SUMIFS('Awards Summary'!$H:$H,'Awards Summary'!$B:$B,$C121,'Awards Summary'!$J:$J,"GOER")</f>
        <v>0</v>
      </c>
      <c r="CQ121" s="55">
        <f>SUMIFS('Disbursements Summary'!$E:$E,'Disbursements Summary'!$C:$C,$C121,'Disbursements Summary'!$A:$A,"GOER")</f>
        <v>0</v>
      </c>
      <c r="CR121" s="55">
        <f>SUMIFS('Awards Summary'!$H:$H,'Awards Summary'!$B:$B,$C121,'Awards Summary'!$J:$J,"HESC")</f>
        <v>0</v>
      </c>
      <c r="CS121" s="55">
        <f>SUMIFS('Disbursements Summary'!$E:$E,'Disbursements Summary'!$C:$C,$C121,'Disbursements Summary'!$A:$A,"HESC")</f>
        <v>0</v>
      </c>
      <c r="CT121" s="55">
        <f>SUMIFS('Awards Summary'!$H:$H,'Awards Summary'!$B:$B,$C121,'Awards Summary'!$J:$J,"GOSR")</f>
        <v>0</v>
      </c>
      <c r="CU121" s="55">
        <f>SUMIFS('Disbursements Summary'!$E:$E,'Disbursements Summary'!$C:$C,$C121,'Disbursements Summary'!$A:$A,"GOSR")</f>
        <v>0</v>
      </c>
      <c r="CV121" s="55">
        <f>SUMIFS('Awards Summary'!$H:$H,'Awards Summary'!$B:$B,$C121,'Awards Summary'!$J:$J,"HRPT")</f>
        <v>0</v>
      </c>
      <c r="CW121" s="55">
        <f>SUMIFS('Disbursements Summary'!$E:$E,'Disbursements Summary'!$C:$C,$C121,'Disbursements Summary'!$A:$A,"HRPT")</f>
        <v>0</v>
      </c>
      <c r="CX121" s="55">
        <f>SUMIFS('Awards Summary'!$H:$H,'Awards Summary'!$B:$B,$C121,'Awards Summary'!$J:$J,"HRBRRD")</f>
        <v>0</v>
      </c>
      <c r="CY121" s="55">
        <f>SUMIFS('Disbursements Summary'!$E:$E,'Disbursements Summary'!$C:$C,$C121,'Disbursements Summary'!$A:$A,"HRBRRD")</f>
        <v>0</v>
      </c>
      <c r="CZ121" s="55">
        <f>SUMIFS('Awards Summary'!$H:$H,'Awards Summary'!$B:$B,$C121,'Awards Summary'!$J:$J,"ITS")</f>
        <v>0</v>
      </c>
      <c r="DA121" s="55">
        <f>SUMIFS('Disbursements Summary'!$E:$E,'Disbursements Summary'!$C:$C,$C121,'Disbursements Summary'!$A:$A,"ITS")</f>
        <v>0</v>
      </c>
      <c r="DB121" s="55">
        <f>SUMIFS('Awards Summary'!$H:$H,'Awards Summary'!$B:$B,$C121,'Awards Summary'!$J:$J,"JAVITS")</f>
        <v>0</v>
      </c>
      <c r="DC121" s="55">
        <f>SUMIFS('Disbursements Summary'!$E:$E,'Disbursements Summary'!$C:$C,$C121,'Disbursements Summary'!$A:$A,"JAVITS")</f>
        <v>0</v>
      </c>
      <c r="DD121" s="55">
        <f>SUMIFS('Awards Summary'!$H:$H,'Awards Summary'!$B:$B,$C121,'Awards Summary'!$J:$J,"JCOPE")</f>
        <v>0</v>
      </c>
      <c r="DE121" s="55">
        <f>SUMIFS('Disbursements Summary'!$E:$E,'Disbursements Summary'!$C:$C,$C121,'Disbursements Summary'!$A:$A,"JCOPE")</f>
        <v>0</v>
      </c>
      <c r="DF121" s="55">
        <f>SUMIFS('Awards Summary'!$H:$H,'Awards Summary'!$B:$B,$C121,'Awards Summary'!$J:$J,"JUSTICE")</f>
        <v>0</v>
      </c>
      <c r="DG121" s="55">
        <f>SUMIFS('Disbursements Summary'!$E:$E,'Disbursements Summary'!$C:$C,$C121,'Disbursements Summary'!$A:$A,"JUSTICE")</f>
        <v>0</v>
      </c>
      <c r="DH121" s="55">
        <f>SUMIFS('Awards Summary'!$H:$H,'Awards Summary'!$B:$B,$C121,'Awards Summary'!$J:$J,"LCWSA")</f>
        <v>0</v>
      </c>
      <c r="DI121" s="55">
        <f>SUMIFS('Disbursements Summary'!$E:$E,'Disbursements Summary'!$C:$C,$C121,'Disbursements Summary'!$A:$A,"LCWSA")</f>
        <v>0</v>
      </c>
      <c r="DJ121" s="55">
        <f>SUMIFS('Awards Summary'!$H:$H,'Awards Summary'!$B:$B,$C121,'Awards Summary'!$J:$J,"LIPA")</f>
        <v>0</v>
      </c>
      <c r="DK121" s="55">
        <f>SUMIFS('Disbursements Summary'!$E:$E,'Disbursements Summary'!$C:$C,$C121,'Disbursements Summary'!$A:$A,"LIPA")</f>
        <v>0</v>
      </c>
      <c r="DL121" s="55">
        <f>SUMIFS('Awards Summary'!$H:$H,'Awards Summary'!$B:$B,$C121,'Awards Summary'!$J:$J,"MTA")</f>
        <v>0</v>
      </c>
      <c r="DM121" s="55">
        <f>SUMIFS('Disbursements Summary'!$E:$E,'Disbursements Summary'!$C:$C,$C121,'Disbursements Summary'!$A:$A,"MTA")</f>
        <v>0</v>
      </c>
      <c r="DN121" s="55">
        <f>SUMIFS('Awards Summary'!$H:$H,'Awards Summary'!$B:$B,$C121,'Awards Summary'!$J:$J,"NIFA")</f>
        <v>0</v>
      </c>
      <c r="DO121" s="55">
        <f>SUMIFS('Disbursements Summary'!$E:$E,'Disbursements Summary'!$C:$C,$C121,'Disbursements Summary'!$A:$A,"NIFA")</f>
        <v>0</v>
      </c>
      <c r="DP121" s="55">
        <f>SUMIFS('Awards Summary'!$H:$H,'Awards Summary'!$B:$B,$C121,'Awards Summary'!$J:$J,"NHCC")</f>
        <v>0</v>
      </c>
      <c r="DQ121" s="55">
        <f>SUMIFS('Disbursements Summary'!$E:$E,'Disbursements Summary'!$C:$C,$C121,'Disbursements Summary'!$A:$A,"NHCC")</f>
        <v>0</v>
      </c>
      <c r="DR121" s="55">
        <f>SUMIFS('Awards Summary'!$H:$H,'Awards Summary'!$B:$B,$C121,'Awards Summary'!$J:$J,"NHT")</f>
        <v>0</v>
      </c>
      <c r="DS121" s="55">
        <f>SUMIFS('Disbursements Summary'!$E:$E,'Disbursements Summary'!$C:$C,$C121,'Disbursements Summary'!$A:$A,"NHT")</f>
        <v>0</v>
      </c>
      <c r="DT121" s="55">
        <f>SUMIFS('Awards Summary'!$H:$H,'Awards Summary'!$B:$B,$C121,'Awards Summary'!$J:$J,"NYPA")</f>
        <v>0</v>
      </c>
      <c r="DU121" s="55">
        <f>SUMIFS('Disbursements Summary'!$E:$E,'Disbursements Summary'!$C:$C,$C121,'Disbursements Summary'!$A:$A,"NYPA")</f>
        <v>0</v>
      </c>
      <c r="DV121" s="55">
        <f>SUMIFS('Awards Summary'!$H:$H,'Awards Summary'!$B:$B,$C121,'Awards Summary'!$J:$J,"NYSBA")</f>
        <v>0</v>
      </c>
      <c r="DW121" s="55">
        <f>SUMIFS('Disbursements Summary'!$E:$E,'Disbursements Summary'!$C:$C,$C121,'Disbursements Summary'!$A:$A,"NYSBA")</f>
        <v>0</v>
      </c>
      <c r="DX121" s="55">
        <f>SUMIFS('Awards Summary'!$H:$H,'Awards Summary'!$B:$B,$C121,'Awards Summary'!$J:$J,"NYSERDA")</f>
        <v>0</v>
      </c>
      <c r="DY121" s="55">
        <f>SUMIFS('Disbursements Summary'!$E:$E,'Disbursements Summary'!$C:$C,$C121,'Disbursements Summary'!$A:$A,"NYSERDA")</f>
        <v>0</v>
      </c>
      <c r="DZ121" s="55">
        <f>SUMIFS('Awards Summary'!$H:$H,'Awards Summary'!$B:$B,$C121,'Awards Summary'!$J:$J,"DHCR")</f>
        <v>0</v>
      </c>
      <c r="EA121" s="55">
        <f>SUMIFS('Disbursements Summary'!$E:$E,'Disbursements Summary'!$C:$C,$C121,'Disbursements Summary'!$A:$A,"DHCR")</f>
        <v>0</v>
      </c>
      <c r="EB121" s="55">
        <f>SUMIFS('Awards Summary'!$H:$H,'Awards Summary'!$B:$B,$C121,'Awards Summary'!$J:$J,"HFA")</f>
        <v>0</v>
      </c>
      <c r="EC121" s="55">
        <f>SUMIFS('Disbursements Summary'!$E:$E,'Disbursements Summary'!$C:$C,$C121,'Disbursements Summary'!$A:$A,"HFA")</f>
        <v>0</v>
      </c>
      <c r="ED121" s="55">
        <f>SUMIFS('Awards Summary'!$H:$H,'Awards Summary'!$B:$B,$C121,'Awards Summary'!$J:$J,"NYSIF")</f>
        <v>0</v>
      </c>
      <c r="EE121" s="55">
        <f>SUMIFS('Disbursements Summary'!$E:$E,'Disbursements Summary'!$C:$C,$C121,'Disbursements Summary'!$A:$A,"NYSIF")</f>
        <v>0</v>
      </c>
      <c r="EF121" s="55">
        <f>SUMIFS('Awards Summary'!$H:$H,'Awards Summary'!$B:$B,$C121,'Awards Summary'!$J:$J,"NYBREDS")</f>
        <v>0</v>
      </c>
      <c r="EG121" s="55">
        <f>SUMIFS('Disbursements Summary'!$E:$E,'Disbursements Summary'!$C:$C,$C121,'Disbursements Summary'!$A:$A,"NYBREDS")</f>
        <v>0</v>
      </c>
      <c r="EH121" s="55">
        <f>SUMIFS('Awards Summary'!$H:$H,'Awards Summary'!$B:$B,$C121,'Awards Summary'!$J:$J,"NYSTA")</f>
        <v>0</v>
      </c>
      <c r="EI121" s="55">
        <f>SUMIFS('Disbursements Summary'!$E:$E,'Disbursements Summary'!$C:$C,$C121,'Disbursements Summary'!$A:$A,"NYSTA")</f>
        <v>0</v>
      </c>
      <c r="EJ121" s="55">
        <f>SUMIFS('Awards Summary'!$H:$H,'Awards Summary'!$B:$B,$C121,'Awards Summary'!$J:$J,"NFWB")</f>
        <v>0</v>
      </c>
      <c r="EK121" s="55">
        <f>SUMIFS('Disbursements Summary'!$E:$E,'Disbursements Summary'!$C:$C,$C121,'Disbursements Summary'!$A:$A,"NFWB")</f>
        <v>0</v>
      </c>
      <c r="EL121" s="55">
        <f>SUMIFS('Awards Summary'!$H:$H,'Awards Summary'!$B:$B,$C121,'Awards Summary'!$J:$J,"NFTA")</f>
        <v>0</v>
      </c>
      <c r="EM121" s="55">
        <f>SUMIFS('Disbursements Summary'!$E:$E,'Disbursements Summary'!$C:$C,$C121,'Disbursements Summary'!$A:$A,"NFTA")</f>
        <v>0</v>
      </c>
      <c r="EN121" s="55">
        <f>SUMIFS('Awards Summary'!$H:$H,'Awards Summary'!$B:$B,$C121,'Awards Summary'!$J:$J,"OPWDD")</f>
        <v>0</v>
      </c>
      <c r="EO121" s="55">
        <f>SUMIFS('Disbursements Summary'!$E:$E,'Disbursements Summary'!$C:$C,$C121,'Disbursements Summary'!$A:$A,"OPWDD")</f>
        <v>0</v>
      </c>
      <c r="EP121" s="55">
        <f>SUMIFS('Awards Summary'!$H:$H,'Awards Summary'!$B:$B,$C121,'Awards Summary'!$J:$J,"AGING")</f>
        <v>0</v>
      </c>
      <c r="EQ121" s="55">
        <f>SUMIFS('Disbursements Summary'!$E:$E,'Disbursements Summary'!$C:$C,$C121,'Disbursements Summary'!$A:$A,"AGING")</f>
        <v>0</v>
      </c>
      <c r="ER121" s="55">
        <f>SUMIFS('Awards Summary'!$H:$H,'Awards Summary'!$B:$B,$C121,'Awards Summary'!$J:$J,"OPDV")</f>
        <v>0</v>
      </c>
      <c r="ES121" s="55">
        <f>SUMIFS('Disbursements Summary'!$E:$E,'Disbursements Summary'!$C:$C,$C121,'Disbursements Summary'!$A:$A,"OPDV")</f>
        <v>0</v>
      </c>
      <c r="ET121" s="55">
        <f>SUMIFS('Awards Summary'!$H:$H,'Awards Summary'!$B:$B,$C121,'Awards Summary'!$J:$J,"OVS")</f>
        <v>0</v>
      </c>
      <c r="EU121" s="55">
        <f>SUMIFS('Disbursements Summary'!$E:$E,'Disbursements Summary'!$C:$C,$C121,'Disbursements Summary'!$A:$A,"OVS")</f>
        <v>0</v>
      </c>
      <c r="EV121" s="55">
        <f>SUMIFS('Awards Summary'!$H:$H,'Awards Summary'!$B:$B,$C121,'Awards Summary'!$J:$J,"OASAS")</f>
        <v>0</v>
      </c>
      <c r="EW121" s="55">
        <f>SUMIFS('Disbursements Summary'!$E:$E,'Disbursements Summary'!$C:$C,$C121,'Disbursements Summary'!$A:$A,"OASAS")</f>
        <v>0</v>
      </c>
      <c r="EX121" s="55">
        <f>SUMIFS('Awards Summary'!$H:$H,'Awards Summary'!$B:$B,$C121,'Awards Summary'!$J:$J,"OCFS")</f>
        <v>0</v>
      </c>
      <c r="EY121" s="55">
        <f>SUMIFS('Disbursements Summary'!$E:$E,'Disbursements Summary'!$C:$C,$C121,'Disbursements Summary'!$A:$A,"OCFS")</f>
        <v>0</v>
      </c>
      <c r="EZ121" s="55">
        <f>SUMIFS('Awards Summary'!$H:$H,'Awards Summary'!$B:$B,$C121,'Awards Summary'!$J:$J,"OGS")</f>
        <v>0</v>
      </c>
      <c r="FA121" s="55">
        <f>SUMIFS('Disbursements Summary'!$E:$E,'Disbursements Summary'!$C:$C,$C121,'Disbursements Summary'!$A:$A,"OGS")</f>
        <v>0</v>
      </c>
      <c r="FB121" s="55">
        <f>SUMIFS('Awards Summary'!$H:$H,'Awards Summary'!$B:$B,$C121,'Awards Summary'!$J:$J,"OMH")</f>
        <v>0</v>
      </c>
      <c r="FC121" s="55">
        <f>SUMIFS('Disbursements Summary'!$E:$E,'Disbursements Summary'!$C:$C,$C121,'Disbursements Summary'!$A:$A,"OMH")</f>
        <v>0</v>
      </c>
      <c r="FD121" s="55">
        <f>SUMIFS('Awards Summary'!$H:$H,'Awards Summary'!$B:$B,$C121,'Awards Summary'!$J:$J,"PARKS")</f>
        <v>0</v>
      </c>
      <c r="FE121" s="55">
        <f>SUMIFS('Disbursements Summary'!$E:$E,'Disbursements Summary'!$C:$C,$C121,'Disbursements Summary'!$A:$A,"PARKS")</f>
        <v>0</v>
      </c>
      <c r="FF121" s="55">
        <f>SUMIFS('Awards Summary'!$H:$H,'Awards Summary'!$B:$B,$C121,'Awards Summary'!$J:$J,"OTDA")</f>
        <v>0</v>
      </c>
      <c r="FG121" s="55">
        <f>SUMIFS('Disbursements Summary'!$E:$E,'Disbursements Summary'!$C:$C,$C121,'Disbursements Summary'!$A:$A,"OTDA")</f>
        <v>0</v>
      </c>
      <c r="FH121" s="55">
        <f>SUMIFS('Awards Summary'!$H:$H,'Awards Summary'!$B:$B,$C121,'Awards Summary'!$J:$J,"OIG")</f>
        <v>0</v>
      </c>
      <c r="FI121" s="55">
        <f>SUMIFS('Disbursements Summary'!$E:$E,'Disbursements Summary'!$C:$C,$C121,'Disbursements Summary'!$A:$A,"OIG")</f>
        <v>0</v>
      </c>
      <c r="FJ121" s="55">
        <f>SUMIFS('Awards Summary'!$H:$H,'Awards Summary'!$B:$B,$C121,'Awards Summary'!$J:$J,"OMIG")</f>
        <v>0</v>
      </c>
      <c r="FK121" s="55">
        <f>SUMIFS('Disbursements Summary'!$E:$E,'Disbursements Summary'!$C:$C,$C121,'Disbursements Summary'!$A:$A,"OMIG")</f>
        <v>0</v>
      </c>
      <c r="FL121" s="55">
        <f>SUMIFS('Awards Summary'!$H:$H,'Awards Summary'!$B:$B,$C121,'Awards Summary'!$J:$J,"OSC")</f>
        <v>0</v>
      </c>
      <c r="FM121" s="55">
        <f>SUMIFS('Disbursements Summary'!$E:$E,'Disbursements Summary'!$C:$C,$C121,'Disbursements Summary'!$A:$A,"OSC")</f>
        <v>0</v>
      </c>
      <c r="FN121" s="55">
        <f>SUMIFS('Awards Summary'!$H:$H,'Awards Summary'!$B:$B,$C121,'Awards Summary'!$J:$J,"OWIG")</f>
        <v>0</v>
      </c>
      <c r="FO121" s="55">
        <f>SUMIFS('Disbursements Summary'!$E:$E,'Disbursements Summary'!$C:$C,$C121,'Disbursements Summary'!$A:$A,"OWIG")</f>
        <v>0</v>
      </c>
      <c r="FP121" s="55">
        <f>SUMIFS('Awards Summary'!$H:$H,'Awards Summary'!$B:$B,$C121,'Awards Summary'!$J:$J,"OGDEN")</f>
        <v>0</v>
      </c>
      <c r="FQ121" s="55">
        <f>SUMIFS('Disbursements Summary'!$E:$E,'Disbursements Summary'!$C:$C,$C121,'Disbursements Summary'!$A:$A,"OGDEN")</f>
        <v>0</v>
      </c>
      <c r="FR121" s="55">
        <f>SUMIFS('Awards Summary'!$H:$H,'Awards Summary'!$B:$B,$C121,'Awards Summary'!$J:$J,"ORDA")</f>
        <v>0</v>
      </c>
      <c r="FS121" s="55">
        <f>SUMIFS('Disbursements Summary'!$E:$E,'Disbursements Summary'!$C:$C,$C121,'Disbursements Summary'!$A:$A,"ORDA")</f>
        <v>0</v>
      </c>
      <c r="FT121" s="55">
        <f>SUMIFS('Awards Summary'!$H:$H,'Awards Summary'!$B:$B,$C121,'Awards Summary'!$J:$J,"OSWEGO")</f>
        <v>0</v>
      </c>
      <c r="FU121" s="55">
        <f>SUMIFS('Disbursements Summary'!$E:$E,'Disbursements Summary'!$C:$C,$C121,'Disbursements Summary'!$A:$A,"OSWEGO")</f>
        <v>0</v>
      </c>
      <c r="FV121" s="55">
        <f>SUMIFS('Awards Summary'!$H:$H,'Awards Summary'!$B:$B,$C121,'Awards Summary'!$J:$J,"PERB")</f>
        <v>0</v>
      </c>
      <c r="FW121" s="55">
        <f>SUMIFS('Disbursements Summary'!$E:$E,'Disbursements Summary'!$C:$C,$C121,'Disbursements Summary'!$A:$A,"PERB")</f>
        <v>0</v>
      </c>
      <c r="FX121" s="55">
        <f>SUMIFS('Awards Summary'!$H:$H,'Awards Summary'!$B:$B,$C121,'Awards Summary'!$J:$J,"RGRTA")</f>
        <v>0</v>
      </c>
      <c r="FY121" s="55">
        <f>SUMIFS('Disbursements Summary'!$E:$E,'Disbursements Summary'!$C:$C,$C121,'Disbursements Summary'!$A:$A,"RGRTA")</f>
        <v>0</v>
      </c>
      <c r="FZ121" s="55">
        <f>SUMIFS('Awards Summary'!$H:$H,'Awards Summary'!$B:$B,$C121,'Awards Summary'!$J:$J,"RIOC")</f>
        <v>0</v>
      </c>
      <c r="GA121" s="55">
        <f>SUMIFS('Disbursements Summary'!$E:$E,'Disbursements Summary'!$C:$C,$C121,'Disbursements Summary'!$A:$A,"RIOC")</f>
        <v>0</v>
      </c>
      <c r="GB121" s="55">
        <f>SUMIFS('Awards Summary'!$H:$H,'Awards Summary'!$B:$B,$C121,'Awards Summary'!$J:$J,"RPCI")</f>
        <v>0</v>
      </c>
      <c r="GC121" s="55">
        <f>SUMIFS('Disbursements Summary'!$E:$E,'Disbursements Summary'!$C:$C,$C121,'Disbursements Summary'!$A:$A,"RPCI")</f>
        <v>0</v>
      </c>
      <c r="GD121" s="55">
        <f>SUMIFS('Awards Summary'!$H:$H,'Awards Summary'!$B:$B,$C121,'Awards Summary'!$J:$J,"SMDA")</f>
        <v>0</v>
      </c>
      <c r="GE121" s="55">
        <f>SUMIFS('Disbursements Summary'!$E:$E,'Disbursements Summary'!$C:$C,$C121,'Disbursements Summary'!$A:$A,"SMDA")</f>
        <v>0</v>
      </c>
      <c r="GF121" s="55">
        <f>SUMIFS('Awards Summary'!$H:$H,'Awards Summary'!$B:$B,$C121,'Awards Summary'!$J:$J,"SCOC")</f>
        <v>0</v>
      </c>
      <c r="GG121" s="55">
        <f>SUMIFS('Disbursements Summary'!$E:$E,'Disbursements Summary'!$C:$C,$C121,'Disbursements Summary'!$A:$A,"SCOC")</f>
        <v>0</v>
      </c>
      <c r="GH121" s="55">
        <f>SUMIFS('Awards Summary'!$H:$H,'Awards Summary'!$B:$B,$C121,'Awards Summary'!$J:$J,"SUCF")</f>
        <v>0</v>
      </c>
      <c r="GI121" s="55">
        <f>SUMIFS('Disbursements Summary'!$E:$E,'Disbursements Summary'!$C:$C,$C121,'Disbursements Summary'!$A:$A,"SUCF")</f>
        <v>0</v>
      </c>
      <c r="GJ121" s="55">
        <f>SUMIFS('Awards Summary'!$H:$H,'Awards Summary'!$B:$B,$C121,'Awards Summary'!$J:$J,"SUNY")</f>
        <v>0</v>
      </c>
      <c r="GK121" s="55">
        <f>SUMIFS('Disbursements Summary'!$E:$E,'Disbursements Summary'!$C:$C,$C121,'Disbursements Summary'!$A:$A,"SUNY")</f>
        <v>0</v>
      </c>
      <c r="GL121" s="55">
        <f>SUMIFS('Awards Summary'!$H:$H,'Awards Summary'!$B:$B,$C121,'Awards Summary'!$J:$J,"SRAA")</f>
        <v>0</v>
      </c>
      <c r="GM121" s="55">
        <f>SUMIFS('Disbursements Summary'!$E:$E,'Disbursements Summary'!$C:$C,$C121,'Disbursements Summary'!$A:$A,"SRAA")</f>
        <v>0</v>
      </c>
      <c r="GN121" s="55">
        <f>SUMIFS('Awards Summary'!$H:$H,'Awards Summary'!$B:$B,$C121,'Awards Summary'!$J:$J,"UNDC")</f>
        <v>0</v>
      </c>
      <c r="GO121" s="55">
        <f>SUMIFS('Disbursements Summary'!$E:$E,'Disbursements Summary'!$C:$C,$C121,'Disbursements Summary'!$A:$A,"UNDC")</f>
        <v>0</v>
      </c>
      <c r="GP121" s="55">
        <f>SUMIFS('Awards Summary'!$H:$H,'Awards Summary'!$B:$B,$C121,'Awards Summary'!$J:$J,"MVWA")</f>
        <v>0</v>
      </c>
      <c r="GQ121" s="55">
        <f>SUMIFS('Disbursements Summary'!$E:$E,'Disbursements Summary'!$C:$C,$C121,'Disbursements Summary'!$A:$A,"MVWA")</f>
        <v>0</v>
      </c>
      <c r="GR121" s="55">
        <f>SUMIFS('Awards Summary'!$H:$H,'Awards Summary'!$B:$B,$C121,'Awards Summary'!$J:$J,"WMC")</f>
        <v>0</v>
      </c>
      <c r="GS121" s="55">
        <f>SUMIFS('Disbursements Summary'!$E:$E,'Disbursements Summary'!$C:$C,$C121,'Disbursements Summary'!$A:$A,"WMC")</f>
        <v>0</v>
      </c>
      <c r="GT121" s="55">
        <f>SUMIFS('Awards Summary'!$H:$H,'Awards Summary'!$B:$B,$C121,'Awards Summary'!$J:$J,"WCB")</f>
        <v>0</v>
      </c>
      <c r="GU121" s="55">
        <f>SUMIFS('Disbursements Summary'!$E:$E,'Disbursements Summary'!$C:$C,$C121,'Disbursements Summary'!$A:$A,"WCB")</f>
        <v>0</v>
      </c>
      <c r="GV121" s="32">
        <f t="shared" si="10"/>
        <v>0</v>
      </c>
      <c r="GW121" s="32">
        <f t="shared" si="11"/>
        <v>0</v>
      </c>
      <c r="GX121" s="30" t="b">
        <f t="shared" si="12"/>
        <v>1</v>
      </c>
      <c r="GY121" s="30" t="b">
        <f t="shared" si="13"/>
        <v>1</v>
      </c>
    </row>
    <row r="122" spans="1:207" s="30" customFormat="1">
      <c r="A122" s="22" t="str">
        <f t="shared" si="9"/>
        <v/>
      </c>
      <c r="B122" s="25" t="s">
        <v>252</v>
      </c>
      <c r="C122" s="16">
        <v>161305</v>
      </c>
      <c r="D122" s="26">
        <f>COUNTIF('Awards Summary'!B:B,"161305")</f>
        <v>0</v>
      </c>
      <c r="E122" s="45">
        <f>SUMIFS('Awards Summary'!H:H,'Awards Summary'!B:B,"161305")</f>
        <v>0</v>
      </c>
      <c r="F122" s="46">
        <f>SUMIFS('Disbursements Summary'!E:E,'Disbursements Summary'!C:C, "161305")</f>
        <v>0</v>
      </c>
      <c r="H122" s="55">
        <f>SUMIFS('Awards Summary'!$H:$H,'Awards Summary'!$B:$B,$C122,'Awards Summary'!$J:$J,"APA")</f>
        <v>0</v>
      </c>
      <c r="I122" s="55">
        <f>SUMIFS('Disbursements Summary'!$E:$E,'Disbursements Summary'!$C:$C,$C122,'Disbursements Summary'!$A:$A,"APA")</f>
        <v>0</v>
      </c>
      <c r="J122" s="55">
        <f>SUMIFS('Awards Summary'!$H:$H,'Awards Summary'!$B:$B,$C122,'Awards Summary'!$J:$J,"Ag&amp;Horse")</f>
        <v>0</v>
      </c>
      <c r="K122" s="55">
        <f>SUMIFS('Disbursements Summary'!$E:$E,'Disbursements Summary'!$C:$C,$C122,'Disbursements Summary'!$A:$A,"Ag&amp;Horse")</f>
        <v>0</v>
      </c>
      <c r="L122" s="55">
        <f>SUMIFS('Awards Summary'!$H:$H,'Awards Summary'!$B:$B,$C122,'Awards Summary'!$J:$J,"ACAA")</f>
        <v>0</v>
      </c>
      <c r="M122" s="55">
        <f>SUMIFS('Disbursements Summary'!$E:$E,'Disbursements Summary'!$C:$C,$C122,'Disbursements Summary'!$A:$A,"ACAA")</f>
        <v>0</v>
      </c>
      <c r="N122" s="55">
        <f>SUMIFS('Awards Summary'!$H:$H,'Awards Summary'!$B:$B,$C122,'Awards Summary'!$J:$J,"PortAlbany")</f>
        <v>0</v>
      </c>
      <c r="O122" s="55">
        <f>SUMIFS('Disbursements Summary'!$E:$E,'Disbursements Summary'!$C:$C,$C122,'Disbursements Summary'!$A:$A,"PortAlbany")</f>
        <v>0</v>
      </c>
      <c r="P122" s="55">
        <f>SUMIFS('Awards Summary'!$H:$H,'Awards Summary'!$B:$B,$C122,'Awards Summary'!$J:$J,"SLA")</f>
        <v>0</v>
      </c>
      <c r="Q122" s="55">
        <f>SUMIFS('Disbursements Summary'!$E:$E,'Disbursements Summary'!$C:$C,$C122,'Disbursements Summary'!$A:$A,"SLA")</f>
        <v>0</v>
      </c>
      <c r="R122" s="55">
        <f>SUMIFS('Awards Summary'!$H:$H,'Awards Summary'!$B:$B,$C122,'Awards Summary'!$J:$J,"BPCA")</f>
        <v>0</v>
      </c>
      <c r="S122" s="55">
        <f>SUMIFS('Disbursements Summary'!$E:$E,'Disbursements Summary'!$C:$C,$C122,'Disbursements Summary'!$A:$A,"BPCA")</f>
        <v>0</v>
      </c>
      <c r="T122" s="55">
        <f>SUMIFS('Awards Summary'!$H:$H,'Awards Summary'!$B:$B,$C122,'Awards Summary'!$J:$J,"ELECTIONS")</f>
        <v>0</v>
      </c>
      <c r="U122" s="55">
        <f>SUMIFS('Disbursements Summary'!$E:$E,'Disbursements Summary'!$C:$C,$C122,'Disbursements Summary'!$A:$A,"ELECTIONS")</f>
        <v>0</v>
      </c>
      <c r="V122" s="55">
        <f>SUMIFS('Awards Summary'!$H:$H,'Awards Summary'!$B:$B,$C122,'Awards Summary'!$J:$J,"BFSA")</f>
        <v>0</v>
      </c>
      <c r="W122" s="55">
        <f>SUMIFS('Disbursements Summary'!$E:$E,'Disbursements Summary'!$C:$C,$C122,'Disbursements Summary'!$A:$A,"BFSA")</f>
        <v>0</v>
      </c>
      <c r="X122" s="55">
        <f>SUMIFS('Awards Summary'!$H:$H,'Awards Summary'!$B:$B,$C122,'Awards Summary'!$J:$J,"CDTA")</f>
        <v>0</v>
      </c>
      <c r="Y122" s="55">
        <f>SUMIFS('Disbursements Summary'!$E:$E,'Disbursements Summary'!$C:$C,$C122,'Disbursements Summary'!$A:$A,"CDTA")</f>
        <v>0</v>
      </c>
      <c r="Z122" s="55">
        <f>SUMIFS('Awards Summary'!$H:$H,'Awards Summary'!$B:$B,$C122,'Awards Summary'!$J:$J,"CCWSA")</f>
        <v>0</v>
      </c>
      <c r="AA122" s="55">
        <f>SUMIFS('Disbursements Summary'!$E:$E,'Disbursements Summary'!$C:$C,$C122,'Disbursements Summary'!$A:$A,"CCWSA")</f>
        <v>0</v>
      </c>
      <c r="AB122" s="55">
        <f>SUMIFS('Awards Summary'!$H:$H,'Awards Summary'!$B:$B,$C122,'Awards Summary'!$J:$J,"CNYRTA")</f>
        <v>0</v>
      </c>
      <c r="AC122" s="55">
        <f>SUMIFS('Disbursements Summary'!$E:$E,'Disbursements Summary'!$C:$C,$C122,'Disbursements Summary'!$A:$A,"CNYRTA")</f>
        <v>0</v>
      </c>
      <c r="AD122" s="55">
        <f>SUMIFS('Awards Summary'!$H:$H,'Awards Summary'!$B:$B,$C122,'Awards Summary'!$J:$J,"CUCF")</f>
        <v>0</v>
      </c>
      <c r="AE122" s="55">
        <f>SUMIFS('Disbursements Summary'!$E:$E,'Disbursements Summary'!$C:$C,$C122,'Disbursements Summary'!$A:$A,"CUCF")</f>
        <v>0</v>
      </c>
      <c r="AF122" s="55">
        <f>SUMIFS('Awards Summary'!$H:$H,'Awards Summary'!$B:$B,$C122,'Awards Summary'!$J:$J,"CUNY")</f>
        <v>0</v>
      </c>
      <c r="AG122" s="55">
        <f>SUMIFS('Disbursements Summary'!$E:$E,'Disbursements Summary'!$C:$C,$C122,'Disbursements Summary'!$A:$A,"CUNY")</f>
        <v>0</v>
      </c>
      <c r="AH122" s="55">
        <f>SUMIFS('Awards Summary'!$H:$H,'Awards Summary'!$B:$B,$C122,'Awards Summary'!$J:$J,"ARTS")</f>
        <v>0</v>
      </c>
      <c r="AI122" s="55">
        <f>SUMIFS('Disbursements Summary'!$E:$E,'Disbursements Summary'!$C:$C,$C122,'Disbursements Summary'!$A:$A,"ARTS")</f>
        <v>0</v>
      </c>
      <c r="AJ122" s="55">
        <f>SUMIFS('Awards Summary'!$H:$H,'Awards Summary'!$B:$B,$C122,'Awards Summary'!$J:$J,"AG&amp;MKTS")</f>
        <v>0</v>
      </c>
      <c r="AK122" s="55">
        <f>SUMIFS('Disbursements Summary'!$E:$E,'Disbursements Summary'!$C:$C,$C122,'Disbursements Summary'!$A:$A,"AG&amp;MKTS")</f>
        <v>0</v>
      </c>
      <c r="AL122" s="55">
        <f>SUMIFS('Awards Summary'!$H:$H,'Awards Summary'!$B:$B,$C122,'Awards Summary'!$J:$J,"CS")</f>
        <v>0</v>
      </c>
      <c r="AM122" s="55">
        <f>SUMIFS('Disbursements Summary'!$E:$E,'Disbursements Summary'!$C:$C,$C122,'Disbursements Summary'!$A:$A,"CS")</f>
        <v>0</v>
      </c>
      <c r="AN122" s="55">
        <f>SUMIFS('Awards Summary'!$H:$H,'Awards Summary'!$B:$B,$C122,'Awards Summary'!$J:$J,"DOCCS")</f>
        <v>0</v>
      </c>
      <c r="AO122" s="55">
        <f>SUMIFS('Disbursements Summary'!$E:$E,'Disbursements Summary'!$C:$C,$C122,'Disbursements Summary'!$A:$A,"DOCCS")</f>
        <v>0</v>
      </c>
      <c r="AP122" s="55">
        <f>SUMIFS('Awards Summary'!$H:$H,'Awards Summary'!$B:$B,$C122,'Awards Summary'!$J:$J,"DED")</f>
        <v>0</v>
      </c>
      <c r="AQ122" s="55">
        <f>SUMIFS('Disbursements Summary'!$E:$E,'Disbursements Summary'!$C:$C,$C122,'Disbursements Summary'!$A:$A,"DED")</f>
        <v>0</v>
      </c>
      <c r="AR122" s="55">
        <f>SUMIFS('Awards Summary'!$H:$H,'Awards Summary'!$B:$B,$C122,'Awards Summary'!$J:$J,"DEC")</f>
        <v>0</v>
      </c>
      <c r="AS122" s="55">
        <f>SUMIFS('Disbursements Summary'!$E:$E,'Disbursements Summary'!$C:$C,$C122,'Disbursements Summary'!$A:$A,"DEC")</f>
        <v>0</v>
      </c>
      <c r="AT122" s="55">
        <f>SUMIFS('Awards Summary'!$H:$H,'Awards Summary'!$B:$B,$C122,'Awards Summary'!$J:$J,"DFS")</f>
        <v>0</v>
      </c>
      <c r="AU122" s="55">
        <f>SUMIFS('Disbursements Summary'!$E:$E,'Disbursements Summary'!$C:$C,$C122,'Disbursements Summary'!$A:$A,"DFS")</f>
        <v>0</v>
      </c>
      <c r="AV122" s="55">
        <f>SUMIFS('Awards Summary'!$H:$H,'Awards Summary'!$B:$B,$C122,'Awards Summary'!$J:$J,"DOH")</f>
        <v>0</v>
      </c>
      <c r="AW122" s="55">
        <f>SUMIFS('Disbursements Summary'!$E:$E,'Disbursements Summary'!$C:$C,$C122,'Disbursements Summary'!$A:$A,"DOH")</f>
        <v>0</v>
      </c>
      <c r="AX122" s="55">
        <f>SUMIFS('Awards Summary'!$H:$H,'Awards Summary'!$B:$B,$C122,'Awards Summary'!$J:$J,"DOL")</f>
        <v>0</v>
      </c>
      <c r="AY122" s="55">
        <f>SUMIFS('Disbursements Summary'!$E:$E,'Disbursements Summary'!$C:$C,$C122,'Disbursements Summary'!$A:$A,"DOL")</f>
        <v>0</v>
      </c>
      <c r="AZ122" s="55">
        <f>SUMIFS('Awards Summary'!$H:$H,'Awards Summary'!$B:$B,$C122,'Awards Summary'!$J:$J,"DMV")</f>
        <v>0</v>
      </c>
      <c r="BA122" s="55">
        <f>SUMIFS('Disbursements Summary'!$E:$E,'Disbursements Summary'!$C:$C,$C122,'Disbursements Summary'!$A:$A,"DMV")</f>
        <v>0</v>
      </c>
      <c r="BB122" s="55">
        <f>SUMIFS('Awards Summary'!$H:$H,'Awards Summary'!$B:$B,$C122,'Awards Summary'!$J:$J,"DPS")</f>
        <v>0</v>
      </c>
      <c r="BC122" s="55">
        <f>SUMIFS('Disbursements Summary'!$E:$E,'Disbursements Summary'!$C:$C,$C122,'Disbursements Summary'!$A:$A,"DPS")</f>
        <v>0</v>
      </c>
      <c r="BD122" s="55">
        <f>SUMIFS('Awards Summary'!$H:$H,'Awards Summary'!$B:$B,$C122,'Awards Summary'!$J:$J,"DOS")</f>
        <v>0</v>
      </c>
      <c r="BE122" s="55">
        <f>SUMIFS('Disbursements Summary'!$E:$E,'Disbursements Summary'!$C:$C,$C122,'Disbursements Summary'!$A:$A,"DOS")</f>
        <v>0</v>
      </c>
      <c r="BF122" s="55">
        <f>SUMIFS('Awards Summary'!$H:$H,'Awards Summary'!$B:$B,$C122,'Awards Summary'!$J:$J,"TAX")</f>
        <v>0</v>
      </c>
      <c r="BG122" s="55">
        <f>SUMIFS('Disbursements Summary'!$E:$E,'Disbursements Summary'!$C:$C,$C122,'Disbursements Summary'!$A:$A,"TAX")</f>
        <v>0</v>
      </c>
      <c r="BH122" s="55">
        <f>SUMIFS('Awards Summary'!$H:$H,'Awards Summary'!$B:$B,$C122,'Awards Summary'!$J:$J,"DOT")</f>
        <v>0</v>
      </c>
      <c r="BI122" s="55">
        <f>SUMIFS('Disbursements Summary'!$E:$E,'Disbursements Summary'!$C:$C,$C122,'Disbursements Summary'!$A:$A,"DOT")</f>
        <v>0</v>
      </c>
      <c r="BJ122" s="55">
        <f>SUMIFS('Awards Summary'!$H:$H,'Awards Summary'!$B:$B,$C122,'Awards Summary'!$J:$J,"DANC")</f>
        <v>0</v>
      </c>
      <c r="BK122" s="55">
        <f>SUMIFS('Disbursements Summary'!$E:$E,'Disbursements Summary'!$C:$C,$C122,'Disbursements Summary'!$A:$A,"DANC")</f>
        <v>0</v>
      </c>
      <c r="BL122" s="55">
        <f>SUMIFS('Awards Summary'!$H:$H,'Awards Summary'!$B:$B,$C122,'Awards Summary'!$J:$J,"DOB")</f>
        <v>0</v>
      </c>
      <c r="BM122" s="55">
        <f>SUMIFS('Disbursements Summary'!$E:$E,'Disbursements Summary'!$C:$C,$C122,'Disbursements Summary'!$A:$A,"DOB")</f>
        <v>0</v>
      </c>
      <c r="BN122" s="55">
        <f>SUMIFS('Awards Summary'!$H:$H,'Awards Summary'!$B:$B,$C122,'Awards Summary'!$J:$J,"DCJS")</f>
        <v>0</v>
      </c>
      <c r="BO122" s="55">
        <f>SUMIFS('Disbursements Summary'!$E:$E,'Disbursements Summary'!$C:$C,$C122,'Disbursements Summary'!$A:$A,"DCJS")</f>
        <v>0</v>
      </c>
      <c r="BP122" s="55">
        <f>SUMIFS('Awards Summary'!$H:$H,'Awards Summary'!$B:$B,$C122,'Awards Summary'!$J:$J,"DHSES")</f>
        <v>0</v>
      </c>
      <c r="BQ122" s="55">
        <f>SUMIFS('Disbursements Summary'!$E:$E,'Disbursements Summary'!$C:$C,$C122,'Disbursements Summary'!$A:$A,"DHSES")</f>
        <v>0</v>
      </c>
      <c r="BR122" s="55">
        <f>SUMIFS('Awards Summary'!$H:$H,'Awards Summary'!$B:$B,$C122,'Awards Summary'!$J:$J,"DHR")</f>
        <v>0</v>
      </c>
      <c r="BS122" s="55">
        <f>SUMIFS('Disbursements Summary'!$E:$E,'Disbursements Summary'!$C:$C,$C122,'Disbursements Summary'!$A:$A,"DHR")</f>
        <v>0</v>
      </c>
      <c r="BT122" s="55">
        <f>SUMIFS('Awards Summary'!$H:$H,'Awards Summary'!$B:$B,$C122,'Awards Summary'!$J:$J,"DMNA")</f>
        <v>0</v>
      </c>
      <c r="BU122" s="55">
        <f>SUMIFS('Disbursements Summary'!$E:$E,'Disbursements Summary'!$C:$C,$C122,'Disbursements Summary'!$A:$A,"DMNA")</f>
        <v>0</v>
      </c>
      <c r="BV122" s="55">
        <f>SUMIFS('Awards Summary'!$H:$H,'Awards Summary'!$B:$B,$C122,'Awards Summary'!$J:$J,"TROOPERS")</f>
        <v>0</v>
      </c>
      <c r="BW122" s="55">
        <f>SUMIFS('Disbursements Summary'!$E:$E,'Disbursements Summary'!$C:$C,$C122,'Disbursements Summary'!$A:$A,"TROOPERS")</f>
        <v>0</v>
      </c>
      <c r="BX122" s="55">
        <f>SUMIFS('Awards Summary'!$H:$H,'Awards Summary'!$B:$B,$C122,'Awards Summary'!$J:$J,"DVA")</f>
        <v>0</v>
      </c>
      <c r="BY122" s="55">
        <f>SUMIFS('Disbursements Summary'!$E:$E,'Disbursements Summary'!$C:$C,$C122,'Disbursements Summary'!$A:$A,"DVA")</f>
        <v>0</v>
      </c>
      <c r="BZ122" s="55">
        <f>SUMIFS('Awards Summary'!$H:$H,'Awards Summary'!$B:$B,$C122,'Awards Summary'!$J:$J,"DASNY")</f>
        <v>0</v>
      </c>
      <c r="CA122" s="55">
        <f>SUMIFS('Disbursements Summary'!$E:$E,'Disbursements Summary'!$C:$C,$C122,'Disbursements Summary'!$A:$A,"DASNY")</f>
        <v>0</v>
      </c>
      <c r="CB122" s="55">
        <f>SUMIFS('Awards Summary'!$H:$H,'Awards Summary'!$B:$B,$C122,'Awards Summary'!$J:$J,"EGG")</f>
        <v>0</v>
      </c>
      <c r="CC122" s="55">
        <f>SUMIFS('Disbursements Summary'!$E:$E,'Disbursements Summary'!$C:$C,$C122,'Disbursements Summary'!$A:$A,"EGG")</f>
        <v>0</v>
      </c>
      <c r="CD122" s="55">
        <f>SUMIFS('Awards Summary'!$H:$H,'Awards Summary'!$B:$B,$C122,'Awards Summary'!$J:$J,"ESD")</f>
        <v>0</v>
      </c>
      <c r="CE122" s="55">
        <f>SUMIFS('Disbursements Summary'!$E:$E,'Disbursements Summary'!$C:$C,$C122,'Disbursements Summary'!$A:$A,"ESD")</f>
        <v>0</v>
      </c>
      <c r="CF122" s="55">
        <f>SUMIFS('Awards Summary'!$H:$H,'Awards Summary'!$B:$B,$C122,'Awards Summary'!$J:$J,"EFC")</f>
        <v>0</v>
      </c>
      <c r="CG122" s="55">
        <f>SUMIFS('Disbursements Summary'!$E:$E,'Disbursements Summary'!$C:$C,$C122,'Disbursements Summary'!$A:$A,"EFC")</f>
        <v>0</v>
      </c>
      <c r="CH122" s="55">
        <f>SUMIFS('Awards Summary'!$H:$H,'Awards Summary'!$B:$B,$C122,'Awards Summary'!$J:$J,"ECFSA")</f>
        <v>0</v>
      </c>
      <c r="CI122" s="55">
        <f>SUMIFS('Disbursements Summary'!$E:$E,'Disbursements Summary'!$C:$C,$C122,'Disbursements Summary'!$A:$A,"ECFSA")</f>
        <v>0</v>
      </c>
      <c r="CJ122" s="55">
        <f>SUMIFS('Awards Summary'!$H:$H,'Awards Summary'!$B:$B,$C122,'Awards Summary'!$J:$J,"ECMC")</f>
        <v>0</v>
      </c>
      <c r="CK122" s="55">
        <f>SUMIFS('Disbursements Summary'!$E:$E,'Disbursements Summary'!$C:$C,$C122,'Disbursements Summary'!$A:$A,"ECMC")</f>
        <v>0</v>
      </c>
      <c r="CL122" s="55">
        <f>SUMIFS('Awards Summary'!$H:$H,'Awards Summary'!$B:$B,$C122,'Awards Summary'!$J:$J,"CHAMBER")</f>
        <v>0</v>
      </c>
      <c r="CM122" s="55">
        <f>SUMIFS('Disbursements Summary'!$E:$E,'Disbursements Summary'!$C:$C,$C122,'Disbursements Summary'!$A:$A,"CHAMBER")</f>
        <v>0</v>
      </c>
      <c r="CN122" s="55">
        <f>SUMIFS('Awards Summary'!$H:$H,'Awards Summary'!$B:$B,$C122,'Awards Summary'!$J:$J,"GAMING")</f>
        <v>0</v>
      </c>
      <c r="CO122" s="55">
        <f>SUMIFS('Disbursements Summary'!$E:$E,'Disbursements Summary'!$C:$C,$C122,'Disbursements Summary'!$A:$A,"GAMING")</f>
        <v>0</v>
      </c>
      <c r="CP122" s="55">
        <f>SUMIFS('Awards Summary'!$H:$H,'Awards Summary'!$B:$B,$C122,'Awards Summary'!$J:$J,"GOER")</f>
        <v>0</v>
      </c>
      <c r="CQ122" s="55">
        <f>SUMIFS('Disbursements Summary'!$E:$E,'Disbursements Summary'!$C:$C,$C122,'Disbursements Summary'!$A:$A,"GOER")</f>
        <v>0</v>
      </c>
      <c r="CR122" s="55">
        <f>SUMIFS('Awards Summary'!$H:$H,'Awards Summary'!$B:$B,$C122,'Awards Summary'!$J:$J,"HESC")</f>
        <v>0</v>
      </c>
      <c r="CS122" s="55">
        <f>SUMIFS('Disbursements Summary'!$E:$E,'Disbursements Summary'!$C:$C,$C122,'Disbursements Summary'!$A:$A,"HESC")</f>
        <v>0</v>
      </c>
      <c r="CT122" s="55">
        <f>SUMIFS('Awards Summary'!$H:$H,'Awards Summary'!$B:$B,$C122,'Awards Summary'!$J:$J,"GOSR")</f>
        <v>0</v>
      </c>
      <c r="CU122" s="55">
        <f>SUMIFS('Disbursements Summary'!$E:$E,'Disbursements Summary'!$C:$C,$C122,'Disbursements Summary'!$A:$A,"GOSR")</f>
        <v>0</v>
      </c>
      <c r="CV122" s="55">
        <f>SUMIFS('Awards Summary'!$H:$H,'Awards Summary'!$B:$B,$C122,'Awards Summary'!$J:$J,"HRPT")</f>
        <v>0</v>
      </c>
      <c r="CW122" s="55">
        <f>SUMIFS('Disbursements Summary'!$E:$E,'Disbursements Summary'!$C:$C,$C122,'Disbursements Summary'!$A:$A,"HRPT")</f>
        <v>0</v>
      </c>
      <c r="CX122" s="55">
        <f>SUMIFS('Awards Summary'!$H:$H,'Awards Summary'!$B:$B,$C122,'Awards Summary'!$J:$J,"HRBRRD")</f>
        <v>0</v>
      </c>
      <c r="CY122" s="55">
        <f>SUMIFS('Disbursements Summary'!$E:$E,'Disbursements Summary'!$C:$C,$C122,'Disbursements Summary'!$A:$A,"HRBRRD")</f>
        <v>0</v>
      </c>
      <c r="CZ122" s="55">
        <f>SUMIFS('Awards Summary'!$H:$H,'Awards Summary'!$B:$B,$C122,'Awards Summary'!$J:$J,"ITS")</f>
        <v>0</v>
      </c>
      <c r="DA122" s="55">
        <f>SUMIFS('Disbursements Summary'!$E:$E,'Disbursements Summary'!$C:$C,$C122,'Disbursements Summary'!$A:$A,"ITS")</f>
        <v>0</v>
      </c>
      <c r="DB122" s="55">
        <f>SUMIFS('Awards Summary'!$H:$H,'Awards Summary'!$B:$B,$C122,'Awards Summary'!$J:$J,"JAVITS")</f>
        <v>0</v>
      </c>
      <c r="DC122" s="55">
        <f>SUMIFS('Disbursements Summary'!$E:$E,'Disbursements Summary'!$C:$C,$C122,'Disbursements Summary'!$A:$A,"JAVITS")</f>
        <v>0</v>
      </c>
      <c r="DD122" s="55">
        <f>SUMIFS('Awards Summary'!$H:$H,'Awards Summary'!$B:$B,$C122,'Awards Summary'!$J:$J,"JCOPE")</f>
        <v>0</v>
      </c>
      <c r="DE122" s="55">
        <f>SUMIFS('Disbursements Summary'!$E:$E,'Disbursements Summary'!$C:$C,$C122,'Disbursements Summary'!$A:$A,"JCOPE")</f>
        <v>0</v>
      </c>
      <c r="DF122" s="55">
        <f>SUMIFS('Awards Summary'!$H:$H,'Awards Summary'!$B:$B,$C122,'Awards Summary'!$J:$J,"JUSTICE")</f>
        <v>0</v>
      </c>
      <c r="DG122" s="55">
        <f>SUMIFS('Disbursements Summary'!$E:$E,'Disbursements Summary'!$C:$C,$C122,'Disbursements Summary'!$A:$A,"JUSTICE")</f>
        <v>0</v>
      </c>
      <c r="DH122" s="55">
        <f>SUMIFS('Awards Summary'!$H:$H,'Awards Summary'!$B:$B,$C122,'Awards Summary'!$J:$J,"LCWSA")</f>
        <v>0</v>
      </c>
      <c r="DI122" s="55">
        <f>SUMIFS('Disbursements Summary'!$E:$E,'Disbursements Summary'!$C:$C,$C122,'Disbursements Summary'!$A:$A,"LCWSA")</f>
        <v>0</v>
      </c>
      <c r="DJ122" s="55">
        <f>SUMIFS('Awards Summary'!$H:$H,'Awards Summary'!$B:$B,$C122,'Awards Summary'!$J:$J,"LIPA")</f>
        <v>0</v>
      </c>
      <c r="DK122" s="55">
        <f>SUMIFS('Disbursements Summary'!$E:$E,'Disbursements Summary'!$C:$C,$C122,'Disbursements Summary'!$A:$A,"LIPA")</f>
        <v>0</v>
      </c>
      <c r="DL122" s="55">
        <f>SUMIFS('Awards Summary'!$H:$H,'Awards Summary'!$B:$B,$C122,'Awards Summary'!$J:$J,"MTA")</f>
        <v>0</v>
      </c>
      <c r="DM122" s="55">
        <f>SUMIFS('Disbursements Summary'!$E:$E,'Disbursements Summary'!$C:$C,$C122,'Disbursements Summary'!$A:$A,"MTA")</f>
        <v>0</v>
      </c>
      <c r="DN122" s="55">
        <f>SUMIFS('Awards Summary'!$H:$H,'Awards Summary'!$B:$B,$C122,'Awards Summary'!$J:$J,"NIFA")</f>
        <v>0</v>
      </c>
      <c r="DO122" s="55">
        <f>SUMIFS('Disbursements Summary'!$E:$E,'Disbursements Summary'!$C:$C,$C122,'Disbursements Summary'!$A:$A,"NIFA")</f>
        <v>0</v>
      </c>
      <c r="DP122" s="55">
        <f>SUMIFS('Awards Summary'!$H:$H,'Awards Summary'!$B:$B,$C122,'Awards Summary'!$J:$J,"NHCC")</f>
        <v>0</v>
      </c>
      <c r="DQ122" s="55">
        <f>SUMIFS('Disbursements Summary'!$E:$E,'Disbursements Summary'!$C:$C,$C122,'Disbursements Summary'!$A:$A,"NHCC")</f>
        <v>0</v>
      </c>
      <c r="DR122" s="55">
        <f>SUMIFS('Awards Summary'!$H:$H,'Awards Summary'!$B:$B,$C122,'Awards Summary'!$J:$J,"NHT")</f>
        <v>0</v>
      </c>
      <c r="DS122" s="55">
        <f>SUMIFS('Disbursements Summary'!$E:$E,'Disbursements Summary'!$C:$C,$C122,'Disbursements Summary'!$A:$A,"NHT")</f>
        <v>0</v>
      </c>
      <c r="DT122" s="55">
        <f>SUMIFS('Awards Summary'!$H:$H,'Awards Summary'!$B:$B,$C122,'Awards Summary'!$J:$J,"NYPA")</f>
        <v>0</v>
      </c>
      <c r="DU122" s="55">
        <f>SUMIFS('Disbursements Summary'!$E:$E,'Disbursements Summary'!$C:$C,$C122,'Disbursements Summary'!$A:$A,"NYPA")</f>
        <v>0</v>
      </c>
      <c r="DV122" s="55">
        <f>SUMIFS('Awards Summary'!$H:$H,'Awards Summary'!$B:$B,$C122,'Awards Summary'!$J:$J,"NYSBA")</f>
        <v>0</v>
      </c>
      <c r="DW122" s="55">
        <f>SUMIFS('Disbursements Summary'!$E:$E,'Disbursements Summary'!$C:$C,$C122,'Disbursements Summary'!$A:$A,"NYSBA")</f>
        <v>0</v>
      </c>
      <c r="DX122" s="55">
        <f>SUMIFS('Awards Summary'!$H:$H,'Awards Summary'!$B:$B,$C122,'Awards Summary'!$J:$J,"NYSERDA")</f>
        <v>0</v>
      </c>
      <c r="DY122" s="55">
        <f>SUMIFS('Disbursements Summary'!$E:$E,'Disbursements Summary'!$C:$C,$C122,'Disbursements Summary'!$A:$A,"NYSERDA")</f>
        <v>0</v>
      </c>
      <c r="DZ122" s="55">
        <f>SUMIFS('Awards Summary'!$H:$H,'Awards Summary'!$B:$B,$C122,'Awards Summary'!$J:$J,"DHCR")</f>
        <v>0</v>
      </c>
      <c r="EA122" s="55">
        <f>SUMIFS('Disbursements Summary'!$E:$E,'Disbursements Summary'!$C:$C,$C122,'Disbursements Summary'!$A:$A,"DHCR")</f>
        <v>0</v>
      </c>
      <c r="EB122" s="55">
        <f>SUMIFS('Awards Summary'!$H:$H,'Awards Summary'!$B:$B,$C122,'Awards Summary'!$J:$J,"HFA")</f>
        <v>0</v>
      </c>
      <c r="EC122" s="55">
        <f>SUMIFS('Disbursements Summary'!$E:$E,'Disbursements Summary'!$C:$C,$C122,'Disbursements Summary'!$A:$A,"HFA")</f>
        <v>0</v>
      </c>
      <c r="ED122" s="55">
        <f>SUMIFS('Awards Summary'!$H:$H,'Awards Summary'!$B:$B,$C122,'Awards Summary'!$J:$J,"NYSIF")</f>
        <v>0</v>
      </c>
      <c r="EE122" s="55">
        <f>SUMIFS('Disbursements Summary'!$E:$E,'Disbursements Summary'!$C:$C,$C122,'Disbursements Summary'!$A:$A,"NYSIF")</f>
        <v>0</v>
      </c>
      <c r="EF122" s="55">
        <f>SUMIFS('Awards Summary'!$H:$H,'Awards Summary'!$B:$B,$C122,'Awards Summary'!$J:$J,"NYBREDS")</f>
        <v>0</v>
      </c>
      <c r="EG122" s="55">
        <f>SUMIFS('Disbursements Summary'!$E:$E,'Disbursements Summary'!$C:$C,$C122,'Disbursements Summary'!$A:$A,"NYBREDS")</f>
        <v>0</v>
      </c>
      <c r="EH122" s="55">
        <f>SUMIFS('Awards Summary'!$H:$H,'Awards Summary'!$B:$B,$C122,'Awards Summary'!$J:$J,"NYSTA")</f>
        <v>0</v>
      </c>
      <c r="EI122" s="55">
        <f>SUMIFS('Disbursements Summary'!$E:$E,'Disbursements Summary'!$C:$C,$C122,'Disbursements Summary'!$A:$A,"NYSTA")</f>
        <v>0</v>
      </c>
      <c r="EJ122" s="55">
        <f>SUMIFS('Awards Summary'!$H:$H,'Awards Summary'!$B:$B,$C122,'Awards Summary'!$J:$J,"NFWB")</f>
        <v>0</v>
      </c>
      <c r="EK122" s="55">
        <f>SUMIFS('Disbursements Summary'!$E:$E,'Disbursements Summary'!$C:$C,$C122,'Disbursements Summary'!$A:$A,"NFWB")</f>
        <v>0</v>
      </c>
      <c r="EL122" s="55">
        <f>SUMIFS('Awards Summary'!$H:$H,'Awards Summary'!$B:$B,$C122,'Awards Summary'!$J:$J,"NFTA")</f>
        <v>0</v>
      </c>
      <c r="EM122" s="55">
        <f>SUMIFS('Disbursements Summary'!$E:$E,'Disbursements Summary'!$C:$C,$C122,'Disbursements Summary'!$A:$A,"NFTA")</f>
        <v>0</v>
      </c>
      <c r="EN122" s="55">
        <f>SUMIFS('Awards Summary'!$H:$H,'Awards Summary'!$B:$B,$C122,'Awards Summary'!$J:$J,"OPWDD")</f>
        <v>0</v>
      </c>
      <c r="EO122" s="55">
        <f>SUMIFS('Disbursements Summary'!$E:$E,'Disbursements Summary'!$C:$C,$C122,'Disbursements Summary'!$A:$A,"OPWDD")</f>
        <v>0</v>
      </c>
      <c r="EP122" s="55">
        <f>SUMIFS('Awards Summary'!$H:$H,'Awards Summary'!$B:$B,$C122,'Awards Summary'!$J:$J,"AGING")</f>
        <v>0</v>
      </c>
      <c r="EQ122" s="55">
        <f>SUMIFS('Disbursements Summary'!$E:$E,'Disbursements Summary'!$C:$C,$C122,'Disbursements Summary'!$A:$A,"AGING")</f>
        <v>0</v>
      </c>
      <c r="ER122" s="55">
        <f>SUMIFS('Awards Summary'!$H:$H,'Awards Summary'!$B:$B,$C122,'Awards Summary'!$J:$J,"OPDV")</f>
        <v>0</v>
      </c>
      <c r="ES122" s="55">
        <f>SUMIFS('Disbursements Summary'!$E:$E,'Disbursements Summary'!$C:$C,$C122,'Disbursements Summary'!$A:$A,"OPDV")</f>
        <v>0</v>
      </c>
      <c r="ET122" s="55">
        <f>SUMIFS('Awards Summary'!$H:$H,'Awards Summary'!$B:$B,$C122,'Awards Summary'!$J:$J,"OVS")</f>
        <v>0</v>
      </c>
      <c r="EU122" s="55">
        <f>SUMIFS('Disbursements Summary'!$E:$E,'Disbursements Summary'!$C:$C,$C122,'Disbursements Summary'!$A:$A,"OVS")</f>
        <v>0</v>
      </c>
      <c r="EV122" s="55">
        <f>SUMIFS('Awards Summary'!$H:$H,'Awards Summary'!$B:$B,$C122,'Awards Summary'!$J:$J,"OASAS")</f>
        <v>0</v>
      </c>
      <c r="EW122" s="55">
        <f>SUMIFS('Disbursements Summary'!$E:$E,'Disbursements Summary'!$C:$C,$C122,'Disbursements Summary'!$A:$A,"OASAS")</f>
        <v>0</v>
      </c>
      <c r="EX122" s="55">
        <f>SUMIFS('Awards Summary'!$H:$H,'Awards Summary'!$B:$B,$C122,'Awards Summary'!$J:$J,"OCFS")</f>
        <v>0</v>
      </c>
      <c r="EY122" s="55">
        <f>SUMIFS('Disbursements Summary'!$E:$E,'Disbursements Summary'!$C:$C,$C122,'Disbursements Summary'!$A:$A,"OCFS")</f>
        <v>0</v>
      </c>
      <c r="EZ122" s="55">
        <f>SUMIFS('Awards Summary'!$H:$H,'Awards Summary'!$B:$B,$C122,'Awards Summary'!$J:$J,"OGS")</f>
        <v>0</v>
      </c>
      <c r="FA122" s="55">
        <f>SUMIFS('Disbursements Summary'!$E:$E,'Disbursements Summary'!$C:$C,$C122,'Disbursements Summary'!$A:$A,"OGS")</f>
        <v>0</v>
      </c>
      <c r="FB122" s="55">
        <f>SUMIFS('Awards Summary'!$H:$H,'Awards Summary'!$B:$B,$C122,'Awards Summary'!$J:$J,"OMH")</f>
        <v>0</v>
      </c>
      <c r="FC122" s="55">
        <f>SUMIFS('Disbursements Summary'!$E:$E,'Disbursements Summary'!$C:$C,$C122,'Disbursements Summary'!$A:$A,"OMH")</f>
        <v>0</v>
      </c>
      <c r="FD122" s="55">
        <f>SUMIFS('Awards Summary'!$H:$H,'Awards Summary'!$B:$B,$C122,'Awards Summary'!$J:$J,"PARKS")</f>
        <v>0</v>
      </c>
      <c r="FE122" s="55">
        <f>SUMIFS('Disbursements Summary'!$E:$E,'Disbursements Summary'!$C:$C,$C122,'Disbursements Summary'!$A:$A,"PARKS")</f>
        <v>0</v>
      </c>
      <c r="FF122" s="55">
        <f>SUMIFS('Awards Summary'!$H:$H,'Awards Summary'!$B:$B,$C122,'Awards Summary'!$J:$J,"OTDA")</f>
        <v>0</v>
      </c>
      <c r="FG122" s="55">
        <f>SUMIFS('Disbursements Summary'!$E:$E,'Disbursements Summary'!$C:$C,$C122,'Disbursements Summary'!$A:$A,"OTDA")</f>
        <v>0</v>
      </c>
      <c r="FH122" s="55">
        <f>SUMIFS('Awards Summary'!$H:$H,'Awards Summary'!$B:$B,$C122,'Awards Summary'!$J:$J,"OIG")</f>
        <v>0</v>
      </c>
      <c r="FI122" s="55">
        <f>SUMIFS('Disbursements Summary'!$E:$E,'Disbursements Summary'!$C:$C,$C122,'Disbursements Summary'!$A:$A,"OIG")</f>
        <v>0</v>
      </c>
      <c r="FJ122" s="55">
        <f>SUMIFS('Awards Summary'!$H:$H,'Awards Summary'!$B:$B,$C122,'Awards Summary'!$J:$J,"OMIG")</f>
        <v>0</v>
      </c>
      <c r="FK122" s="55">
        <f>SUMIFS('Disbursements Summary'!$E:$E,'Disbursements Summary'!$C:$C,$C122,'Disbursements Summary'!$A:$A,"OMIG")</f>
        <v>0</v>
      </c>
      <c r="FL122" s="55">
        <f>SUMIFS('Awards Summary'!$H:$H,'Awards Summary'!$B:$B,$C122,'Awards Summary'!$J:$J,"OSC")</f>
        <v>0</v>
      </c>
      <c r="FM122" s="55">
        <f>SUMIFS('Disbursements Summary'!$E:$E,'Disbursements Summary'!$C:$C,$C122,'Disbursements Summary'!$A:$A,"OSC")</f>
        <v>0</v>
      </c>
      <c r="FN122" s="55">
        <f>SUMIFS('Awards Summary'!$H:$H,'Awards Summary'!$B:$B,$C122,'Awards Summary'!$J:$J,"OWIG")</f>
        <v>0</v>
      </c>
      <c r="FO122" s="55">
        <f>SUMIFS('Disbursements Summary'!$E:$E,'Disbursements Summary'!$C:$C,$C122,'Disbursements Summary'!$A:$A,"OWIG")</f>
        <v>0</v>
      </c>
      <c r="FP122" s="55">
        <f>SUMIFS('Awards Summary'!$H:$H,'Awards Summary'!$B:$B,$C122,'Awards Summary'!$J:$J,"OGDEN")</f>
        <v>0</v>
      </c>
      <c r="FQ122" s="55">
        <f>SUMIFS('Disbursements Summary'!$E:$E,'Disbursements Summary'!$C:$C,$C122,'Disbursements Summary'!$A:$A,"OGDEN")</f>
        <v>0</v>
      </c>
      <c r="FR122" s="55">
        <f>SUMIFS('Awards Summary'!$H:$H,'Awards Summary'!$B:$B,$C122,'Awards Summary'!$J:$J,"ORDA")</f>
        <v>0</v>
      </c>
      <c r="FS122" s="55">
        <f>SUMIFS('Disbursements Summary'!$E:$E,'Disbursements Summary'!$C:$C,$C122,'Disbursements Summary'!$A:$A,"ORDA")</f>
        <v>0</v>
      </c>
      <c r="FT122" s="55">
        <f>SUMIFS('Awards Summary'!$H:$H,'Awards Summary'!$B:$B,$C122,'Awards Summary'!$J:$J,"OSWEGO")</f>
        <v>0</v>
      </c>
      <c r="FU122" s="55">
        <f>SUMIFS('Disbursements Summary'!$E:$E,'Disbursements Summary'!$C:$C,$C122,'Disbursements Summary'!$A:$A,"OSWEGO")</f>
        <v>0</v>
      </c>
      <c r="FV122" s="55">
        <f>SUMIFS('Awards Summary'!$H:$H,'Awards Summary'!$B:$B,$C122,'Awards Summary'!$J:$J,"PERB")</f>
        <v>0</v>
      </c>
      <c r="FW122" s="55">
        <f>SUMIFS('Disbursements Summary'!$E:$E,'Disbursements Summary'!$C:$C,$C122,'Disbursements Summary'!$A:$A,"PERB")</f>
        <v>0</v>
      </c>
      <c r="FX122" s="55">
        <f>SUMIFS('Awards Summary'!$H:$H,'Awards Summary'!$B:$B,$C122,'Awards Summary'!$J:$J,"RGRTA")</f>
        <v>0</v>
      </c>
      <c r="FY122" s="55">
        <f>SUMIFS('Disbursements Summary'!$E:$E,'Disbursements Summary'!$C:$C,$C122,'Disbursements Summary'!$A:$A,"RGRTA")</f>
        <v>0</v>
      </c>
      <c r="FZ122" s="55">
        <f>SUMIFS('Awards Summary'!$H:$H,'Awards Summary'!$B:$B,$C122,'Awards Summary'!$J:$J,"RIOC")</f>
        <v>0</v>
      </c>
      <c r="GA122" s="55">
        <f>SUMIFS('Disbursements Summary'!$E:$E,'Disbursements Summary'!$C:$C,$C122,'Disbursements Summary'!$A:$A,"RIOC")</f>
        <v>0</v>
      </c>
      <c r="GB122" s="55">
        <f>SUMIFS('Awards Summary'!$H:$H,'Awards Summary'!$B:$B,$C122,'Awards Summary'!$J:$J,"RPCI")</f>
        <v>0</v>
      </c>
      <c r="GC122" s="55">
        <f>SUMIFS('Disbursements Summary'!$E:$E,'Disbursements Summary'!$C:$C,$C122,'Disbursements Summary'!$A:$A,"RPCI")</f>
        <v>0</v>
      </c>
      <c r="GD122" s="55">
        <f>SUMIFS('Awards Summary'!$H:$H,'Awards Summary'!$B:$B,$C122,'Awards Summary'!$J:$J,"SMDA")</f>
        <v>0</v>
      </c>
      <c r="GE122" s="55">
        <f>SUMIFS('Disbursements Summary'!$E:$E,'Disbursements Summary'!$C:$C,$C122,'Disbursements Summary'!$A:$A,"SMDA")</f>
        <v>0</v>
      </c>
      <c r="GF122" s="55">
        <f>SUMIFS('Awards Summary'!$H:$H,'Awards Summary'!$B:$B,$C122,'Awards Summary'!$J:$J,"SCOC")</f>
        <v>0</v>
      </c>
      <c r="GG122" s="55">
        <f>SUMIFS('Disbursements Summary'!$E:$E,'Disbursements Summary'!$C:$C,$C122,'Disbursements Summary'!$A:$A,"SCOC")</f>
        <v>0</v>
      </c>
      <c r="GH122" s="55">
        <f>SUMIFS('Awards Summary'!$H:$H,'Awards Summary'!$B:$B,$C122,'Awards Summary'!$J:$J,"SUCF")</f>
        <v>0</v>
      </c>
      <c r="GI122" s="55">
        <f>SUMIFS('Disbursements Summary'!$E:$E,'Disbursements Summary'!$C:$C,$C122,'Disbursements Summary'!$A:$A,"SUCF")</f>
        <v>0</v>
      </c>
      <c r="GJ122" s="55">
        <f>SUMIFS('Awards Summary'!$H:$H,'Awards Summary'!$B:$B,$C122,'Awards Summary'!$J:$J,"SUNY")</f>
        <v>0</v>
      </c>
      <c r="GK122" s="55">
        <f>SUMIFS('Disbursements Summary'!$E:$E,'Disbursements Summary'!$C:$C,$C122,'Disbursements Summary'!$A:$A,"SUNY")</f>
        <v>0</v>
      </c>
      <c r="GL122" s="55">
        <f>SUMIFS('Awards Summary'!$H:$H,'Awards Summary'!$B:$B,$C122,'Awards Summary'!$J:$J,"SRAA")</f>
        <v>0</v>
      </c>
      <c r="GM122" s="55">
        <f>SUMIFS('Disbursements Summary'!$E:$E,'Disbursements Summary'!$C:$C,$C122,'Disbursements Summary'!$A:$A,"SRAA")</f>
        <v>0</v>
      </c>
      <c r="GN122" s="55">
        <f>SUMIFS('Awards Summary'!$H:$H,'Awards Summary'!$B:$B,$C122,'Awards Summary'!$J:$J,"UNDC")</f>
        <v>0</v>
      </c>
      <c r="GO122" s="55">
        <f>SUMIFS('Disbursements Summary'!$E:$E,'Disbursements Summary'!$C:$C,$C122,'Disbursements Summary'!$A:$A,"UNDC")</f>
        <v>0</v>
      </c>
      <c r="GP122" s="55">
        <f>SUMIFS('Awards Summary'!$H:$H,'Awards Summary'!$B:$B,$C122,'Awards Summary'!$J:$J,"MVWA")</f>
        <v>0</v>
      </c>
      <c r="GQ122" s="55">
        <f>SUMIFS('Disbursements Summary'!$E:$E,'Disbursements Summary'!$C:$C,$C122,'Disbursements Summary'!$A:$A,"MVWA")</f>
        <v>0</v>
      </c>
      <c r="GR122" s="55">
        <f>SUMIFS('Awards Summary'!$H:$H,'Awards Summary'!$B:$B,$C122,'Awards Summary'!$J:$J,"WMC")</f>
        <v>0</v>
      </c>
      <c r="GS122" s="55">
        <f>SUMIFS('Disbursements Summary'!$E:$E,'Disbursements Summary'!$C:$C,$C122,'Disbursements Summary'!$A:$A,"WMC")</f>
        <v>0</v>
      </c>
      <c r="GT122" s="55">
        <f>SUMIFS('Awards Summary'!$H:$H,'Awards Summary'!$B:$B,$C122,'Awards Summary'!$J:$J,"WCB")</f>
        <v>0</v>
      </c>
      <c r="GU122" s="55">
        <f>SUMIFS('Disbursements Summary'!$E:$E,'Disbursements Summary'!$C:$C,$C122,'Disbursements Summary'!$A:$A,"WCB")</f>
        <v>0</v>
      </c>
      <c r="GV122" s="32">
        <f t="shared" si="10"/>
        <v>0</v>
      </c>
      <c r="GW122" s="32">
        <f t="shared" si="11"/>
        <v>0</v>
      </c>
      <c r="GX122" s="30" t="b">
        <f t="shared" si="12"/>
        <v>1</v>
      </c>
      <c r="GY122" s="30" t="b">
        <f t="shared" si="13"/>
        <v>1</v>
      </c>
    </row>
    <row r="123" spans="1:207" s="30" customFormat="1">
      <c r="A123" s="22" t="str">
        <f t="shared" si="9"/>
        <v/>
      </c>
      <c r="B123" s="20" t="s">
        <v>237</v>
      </c>
      <c r="C123" s="16">
        <v>161306</v>
      </c>
      <c r="D123" s="26">
        <f>COUNTIF('Awards Summary'!B:B,"161306")</f>
        <v>0</v>
      </c>
      <c r="E123" s="45">
        <f>SUMIFS('Awards Summary'!H:H,'Awards Summary'!B:B,"161306")</f>
        <v>0</v>
      </c>
      <c r="F123" s="46">
        <f>SUMIFS('Disbursements Summary'!E:E,'Disbursements Summary'!C:C, "161306")</f>
        <v>0</v>
      </c>
      <c r="H123" s="55">
        <f>SUMIFS('Awards Summary'!$H:$H,'Awards Summary'!$B:$B,$C123,'Awards Summary'!$J:$J,"APA")</f>
        <v>0</v>
      </c>
      <c r="I123" s="55">
        <f>SUMIFS('Disbursements Summary'!$E:$E,'Disbursements Summary'!$C:$C,$C123,'Disbursements Summary'!$A:$A,"APA")</f>
        <v>0</v>
      </c>
      <c r="J123" s="55">
        <f>SUMIFS('Awards Summary'!$H:$H,'Awards Summary'!$B:$B,$C123,'Awards Summary'!$J:$J,"Ag&amp;Horse")</f>
        <v>0</v>
      </c>
      <c r="K123" s="55">
        <f>SUMIFS('Disbursements Summary'!$E:$E,'Disbursements Summary'!$C:$C,$C123,'Disbursements Summary'!$A:$A,"Ag&amp;Horse")</f>
        <v>0</v>
      </c>
      <c r="L123" s="55">
        <f>SUMIFS('Awards Summary'!$H:$H,'Awards Summary'!$B:$B,$C123,'Awards Summary'!$J:$J,"ACAA")</f>
        <v>0</v>
      </c>
      <c r="M123" s="55">
        <f>SUMIFS('Disbursements Summary'!$E:$E,'Disbursements Summary'!$C:$C,$C123,'Disbursements Summary'!$A:$A,"ACAA")</f>
        <v>0</v>
      </c>
      <c r="N123" s="55">
        <f>SUMIFS('Awards Summary'!$H:$H,'Awards Summary'!$B:$B,$C123,'Awards Summary'!$J:$J,"PortAlbany")</f>
        <v>0</v>
      </c>
      <c r="O123" s="55">
        <f>SUMIFS('Disbursements Summary'!$E:$E,'Disbursements Summary'!$C:$C,$C123,'Disbursements Summary'!$A:$A,"PortAlbany")</f>
        <v>0</v>
      </c>
      <c r="P123" s="55">
        <f>SUMIFS('Awards Summary'!$H:$H,'Awards Summary'!$B:$B,$C123,'Awards Summary'!$J:$J,"SLA")</f>
        <v>0</v>
      </c>
      <c r="Q123" s="55">
        <f>SUMIFS('Disbursements Summary'!$E:$E,'Disbursements Summary'!$C:$C,$C123,'Disbursements Summary'!$A:$A,"SLA")</f>
        <v>0</v>
      </c>
      <c r="R123" s="55">
        <f>SUMIFS('Awards Summary'!$H:$H,'Awards Summary'!$B:$B,$C123,'Awards Summary'!$J:$J,"BPCA")</f>
        <v>0</v>
      </c>
      <c r="S123" s="55">
        <f>SUMIFS('Disbursements Summary'!$E:$E,'Disbursements Summary'!$C:$C,$C123,'Disbursements Summary'!$A:$A,"BPCA")</f>
        <v>0</v>
      </c>
      <c r="T123" s="55">
        <f>SUMIFS('Awards Summary'!$H:$H,'Awards Summary'!$B:$B,$C123,'Awards Summary'!$J:$J,"ELECTIONS")</f>
        <v>0</v>
      </c>
      <c r="U123" s="55">
        <f>SUMIFS('Disbursements Summary'!$E:$E,'Disbursements Summary'!$C:$C,$C123,'Disbursements Summary'!$A:$A,"ELECTIONS")</f>
        <v>0</v>
      </c>
      <c r="V123" s="55">
        <f>SUMIFS('Awards Summary'!$H:$H,'Awards Summary'!$B:$B,$C123,'Awards Summary'!$J:$J,"BFSA")</f>
        <v>0</v>
      </c>
      <c r="W123" s="55">
        <f>SUMIFS('Disbursements Summary'!$E:$E,'Disbursements Summary'!$C:$C,$C123,'Disbursements Summary'!$A:$A,"BFSA")</f>
        <v>0</v>
      </c>
      <c r="X123" s="55">
        <f>SUMIFS('Awards Summary'!$H:$H,'Awards Summary'!$B:$B,$C123,'Awards Summary'!$J:$J,"CDTA")</f>
        <v>0</v>
      </c>
      <c r="Y123" s="55">
        <f>SUMIFS('Disbursements Summary'!$E:$E,'Disbursements Summary'!$C:$C,$C123,'Disbursements Summary'!$A:$A,"CDTA")</f>
        <v>0</v>
      </c>
      <c r="Z123" s="55">
        <f>SUMIFS('Awards Summary'!$H:$H,'Awards Summary'!$B:$B,$C123,'Awards Summary'!$J:$J,"CCWSA")</f>
        <v>0</v>
      </c>
      <c r="AA123" s="55">
        <f>SUMIFS('Disbursements Summary'!$E:$E,'Disbursements Summary'!$C:$C,$C123,'Disbursements Summary'!$A:$A,"CCWSA")</f>
        <v>0</v>
      </c>
      <c r="AB123" s="55">
        <f>SUMIFS('Awards Summary'!$H:$H,'Awards Summary'!$B:$B,$C123,'Awards Summary'!$J:$J,"CNYRTA")</f>
        <v>0</v>
      </c>
      <c r="AC123" s="55">
        <f>SUMIFS('Disbursements Summary'!$E:$E,'Disbursements Summary'!$C:$C,$C123,'Disbursements Summary'!$A:$A,"CNYRTA")</f>
        <v>0</v>
      </c>
      <c r="AD123" s="55">
        <f>SUMIFS('Awards Summary'!$H:$H,'Awards Summary'!$B:$B,$C123,'Awards Summary'!$J:$J,"CUCF")</f>
        <v>0</v>
      </c>
      <c r="AE123" s="55">
        <f>SUMIFS('Disbursements Summary'!$E:$E,'Disbursements Summary'!$C:$C,$C123,'Disbursements Summary'!$A:$A,"CUCF")</f>
        <v>0</v>
      </c>
      <c r="AF123" s="55">
        <f>SUMIFS('Awards Summary'!$H:$H,'Awards Summary'!$B:$B,$C123,'Awards Summary'!$J:$J,"CUNY")</f>
        <v>0</v>
      </c>
      <c r="AG123" s="55">
        <f>SUMIFS('Disbursements Summary'!$E:$E,'Disbursements Summary'!$C:$C,$C123,'Disbursements Summary'!$A:$A,"CUNY")</f>
        <v>0</v>
      </c>
      <c r="AH123" s="55">
        <f>SUMIFS('Awards Summary'!$H:$H,'Awards Summary'!$B:$B,$C123,'Awards Summary'!$J:$J,"ARTS")</f>
        <v>0</v>
      </c>
      <c r="AI123" s="55">
        <f>SUMIFS('Disbursements Summary'!$E:$E,'Disbursements Summary'!$C:$C,$C123,'Disbursements Summary'!$A:$A,"ARTS")</f>
        <v>0</v>
      </c>
      <c r="AJ123" s="55">
        <f>SUMIFS('Awards Summary'!$H:$H,'Awards Summary'!$B:$B,$C123,'Awards Summary'!$J:$J,"AG&amp;MKTS")</f>
        <v>0</v>
      </c>
      <c r="AK123" s="55">
        <f>SUMIFS('Disbursements Summary'!$E:$E,'Disbursements Summary'!$C:$C,$C123,'Disbursements Summary'!$A:$A,"AG&amp;MKTS")</f>
        <v>0</v>
      </c>
      <c r="AL123" s="55">
        <f>SUMIFS('Awards Summary'!$H:$H,'Awards Summary'!$B:$B,$C123,'Awards Summary'!$J:$J,"CS")</f>
        <v>0</v>
      </c>
      <c r="AM123" s="55">
        <f>SUMIFS('Disbursements Summary'!$E:$E,'Disbursements Summary'!$C:$C,$C123,'Disbursements Summary'!$A:$A,"CS")</f>
        <v>0</v>
      </c>
      <c r="AN123" s="55">
        <f>SUMIFS('Awards Summary'!$H:$H,'Awards Summary'!$B:$B,$C123,'Awards Summary'!$J:$J,"DOCCS")</f>
        <v>0</v>
      </c>
      <c r="AO123" s="55">
        <f>SUMIFS('Disbursements Summary'!$E:$E,'Disbursements Summary'!$C:$C,$C123,'Disbursements Summary'!$A:$A,"DOCCS")</f>
        <v>0</v>
      </c>
      <c r="AP123" s="55">
        <f>SUMIFS('Awards Summary'!$H:$H,'Awards Summary'!$B:$B,$C123,'Awards Summary'!$J:$J,"DED")</f>
        <v>0</v>
      </c>
      <c r="AQ123" s="55">
        <f>SUMIFS('Disbursements Summary'!$E:$E,'Disbursements Summary'!$C:$C,$C123,'Disbursements Summary'!$A:$A,"DED")</f>
        <v>0</v>
      </c>
      <c r="AR123" s="55">
        <f>SUMIFS('Awards Summary'!$H:$H,'Awards Summary'!$B:$B,$C123,'Awards Summary'!$J:$J,"DEC")</f>
        <v>0</v>
      </c>
      <c r="AS123" s="55">
        <f>SUMIFS('Disbursements Summary'!$E:$E,'Disbursements Summary'!$C:$C,$C123,'Disbursements Summary'!$A:$A,"DEC")</f>
        <v>0</v>
      </c>
      <c r="AT123" s="55">
        <f>SUMIFS('Awards Summary'!$H:$H,'Awards Summary'!$B:$B,$C123,'Awards Summary'!$J:$J,"DFS")</f>
        <v>0</v>
      </c>
      <c r="AU123" s="55">
        <f>SUMIFS('Disbursements Summary'!$E:$E,'Disbursements Summary'!$C:$C,$C123,'Disbursements Summary'!$A:$A,"DFS")</f>
        <v>0</v>
      </c>
      <c r="AV123" s="55">
        <f>SUMIFS('Awards Summary'!$H:$H,'Awards Summary'!$B:$B,$C123,'Awards Summary'!$J:$J,"DOH")</f>
        <v>0</v>
      </c>
      <c r="AW123" s="55">
        <f>SUMIFS('Disbursements Summary'!$E:$E,'Disbursements Summary'!$C:$C,$C123,'Disbursements Summary'!$A:$A,"DOH")</f>
        <v>0</v>
      </c>
      <c r="AX123" s="55">
        <f>SUMIFS('Awards Summary'!$H:$H,'Awards Summary'!$B:$B,$C123,'Awards Summary'!$J:$J,"DOL")</f>
        <v>0</v>
      </c>
      <c r="AY123" s="55">
        <f>SUMIFS('Disbursements Summary'!$E:$E,'Disbursements Summary'!$C:$C,$C123,'Disbursements Summary'!$A:$A,"DOL")</f>
        <v>0</v>
      </c>
      <c r="AZ123" s="55">
        <f>SUMIFS('Awards Summary'!$H:$H,'Awards Summary'!$B:$B,$C123,'Awards Summary'!$J:$J,"DMV")</f>
        <v>0</v>
      </c>
      <c r="BA123" s="55">
        <f>SUMIFS('Disbursements Summary'!$E:$E,'Disbursements Summary'!$C:$C,$C123,'Disbursements Summary'!$A:$A,"DMV")</f>
        <v>0</v>
      </c>
      <c r="BB123" s="55">
        <f>SUMIFS('Awards Summary'!$H:$H,'Awards Summary'!$B:$B,$C123,'Awards Summary'!$J:$J,"DPS")</f>
        <v>0</v>
      </c>
      <c r="BC123" s="55">
        <f>SUMIFS('Disbursements Summary'!$E:$E,'Disbursements Summary'!$C:$C,$C123,'Disbursements Summary'!$A:$A,"DPS")</f>
        <v>0</v>
      </c>
      <c r="BD123" s="55">
        <f>SUMIFS('Awards Summary'!$H:$H,'Awards Summary'!$B:$B,$C123,'Awards Summary'!$J:$J,"DOS")</f>
        <v>0</v>
      </c>
      <c r="BE123" s="55">
        <f>SUMIFS('Disbursements Summary'!$E:$E,'Disbursements Summary'!$C:$C,$C123,'Disbursements Summary'!$A:$A,"DOS")</f>
        <v>0</v>
      </c>
      <c r="BF123" s="55">
        <f>SUMIFS('Awards Summary'!$H:$H,'Awards Summary'!$B:$B,$C123,'Awards Summary'!$J:$J,"TAX")</f>
        <v>0</v>
      </c>
      <c r="BG123" s="55">
        <f>SUMIFS('Disbursements Summary'!$E:$E,'Disbursements Summary'!$C:$C,$C123,'Disbursements Summary'!$A:$A,"TAX")</f>
        <v>0</v>
      </c>
      <c r="BH123" s="55">
        <f>SUMIFS('Awards Summary'!$H:$H,'Awards Summary'!$B:$B,$C123,'Awards Summary'!$J:$J,"DOT")</f>
        <v>0</v>
      </c>
      <c r="BI123" s="55">
        <f>SUMIFS('Disbursements Summary'!$E:$E,'Disbursements Summary'!$C:$C,$C123,'Disbursements Summary'!$A:$A,"DOT")</f>
        <v>0</v>
      </c>
      <c r="BJ123" s="55">
        <f>SUMIFS('Awards Summary'!$H:$H,'Awards Summary'!$B:$B,$C123,'Awards Summary'!$J:$J,"DANC")</f>
        <v>0</v>
      </c>
      <c r="BK123" s="55">
        <f>SUMIFS('Disbursements Summary'!$E:$E,'Disbursements Summary'!$C:$C,$C123,'Disbursements Summary'!$A:$A,"DANC")</f>
        <v>0</v>
      </c>
      <c r="BL123" s="55">
        <f>SUMIFS('Awards Summary'!$H:$H,'Awards Summary'!$B:$B,$C123,'Awards Summary'!$J:$J,"DOB")</f>
        <v>0</v>
      </c>
      <c r="BM123" s="55">
        <f>SUMIFS('Disbursements Summary'!$E:$E,'Disbursements Summary'!$C:$C,$C123,'Disbursements Summary'!$A:$A,"DOB")</f>
        <v>0</v>
      </c>
      <c r="BN123" s="55">
        <f>SUMIFS('Awards Summary'!$H:$H,'Awards Summary'!$B:$B,$C123,'Awards Summary'!$J:$J,"DCJS")</f>
        <v>0</v>
      </c>
      <c r="BO123" s="55">
        <f>SUMIFS('Disbursements Summary'!$E:$E,'Disbursements Summary'!$C:$C,$C123,'Disbursements Summary'!$A:$A,"DCJS")</f>
        <v>0</v>
      </c>
      <c r="BP123" s="55">
        <f>SUMIFS('Awards Summary'!$H:$H,'Awards Summary'!$B:$B,$C123,'Awards Summary'!$J:$J,"DHSES")</f>
        <v>0</v>
      </c>
      <c r="BQ123" s="55">
        <f>SUMIFS('Disbursements Summary'!$E:$E,'Disbursements Summary'!$C:$C,$C123,'Disbursements Summary'!$A:$A,"DHSES")</f>
        <v>0</v>
      </c>
      <c r="BR123" s="55">
        <f>SUMIFS('Awards Summary'!$H:$H,'Awards Summary'!$B:$B,$C123,'Awards Summary'!$J:$J,"DHR")</f>
        <v>0</v>
      </c>
      <c r="BS123" s="55">
        <f>SUMIFS('Disbursements Summary'!$E:$E,'Disbursements Summary'!$C:$C,$C123,'Disbursements Summary'!$A:$A,"DHR")</f>
        <v>0</v>
      </c>
      <c r="BT123" s="55">
        <f>SUMIFS('Awards Summary'!$H:$H,'Awards Summary'!$B:$B,$C123,'Awards Summary'!$J:$J,"DMNA")</f>
        <v>0</v>
      </c>
      <c r="BU123" s="55">
        <f>SUMIFS('Disbursements Summary'!$E:$E,'Disbursements Summary'!$C:$C,$C123,'Disbursements Summary'!$A:$A,"DMNA")</f>
        <v>0</v>
      </c>
      <c r="BV123" s="55">
        <f>SUMIFS('Awards Summary'!$H:$H,'Awards Summary'!$B:$B,$C123,'Awards Summary'!$J:$J,"TROOPERS")</f>
        <v>0</v>
      </c>
      <c r="BW123" s="55">
        <f>SUMIFS('Disbursements Summary'!$E:$E,'Disbursements Summary'!$C:$C,$C123,'Disbursements Summary'!$A:$A,"TROOPERS")</f>
        <v>0</v>
      </c>
      <c r="BX123" s="55">
        <f>SUMIFS('Awards Summary'!$H:$H,'Awards Summary'!$B:$B,$C123,'Awards Summary'!$J:$J,"DVA")</f>
        <v>0</v>
      </c>
      <c r="BY123" s="55">
        <f>SUMIFS('Disbursements Summary'!$E:$E,'Disbursements Summary'!$C:$C,$C123,'Disbursements Summary'!$A:$A,"DVA")</f>
        <v>0</v>
      </c>
      <c r="BZ123" s="55">
        <f>SUMIFS('Awards Summary'!$H:$H,'Awards Summary'!$B:$B,$C123,'Awards Summary'!$J:$J,"DASNY")</f>
        <v>0</v>
      </c>
      <c r="CA123" s="55">
        <f>SUMIFS('Disbursements Summary'!$E:$E,'Disbursements Summary'!$C:$C,$C123,'Disbursements Summary'!$A:$A,"DASNY")</f>
        <v>0</v>
      </c>
      <c r="CB123" s="55">
        <f>SUMIFS('Awards Summary'!$H:$H,'Awards Summary'!$B:$B,$C123,'Awards Summary'!$J:$J,"EGG")</f>
        <v>0</v>
      </c>
      <c r="CC123" s="55">
        <f>SUMIFS('Disbursements Summary'!$E:$E,'Disbursements Summary'!$C:$C,$C123,'Disbursements Summary'!$A:$A,"EGG")</f>
        <v>0</v>
      </c>
      <c r="CD123" s="55">
        <f>SUMIFS('Awards Summary'!$H:$H,'Awards Summary'!$B:$B,$C123,'Awards Summary'!$J:$J,"ESD")</f>
        <v>0</v>
      </c>
      <c r="CE123" s="55">
        <f>SUMIFS('Disbursements Summary'!$E:$E,'Disbursements Summary'!$C:$C,$C123,'Disbursements Summary'!$A:$A,"ESD")</f>
        <v>0</v>
      </c>
      <c r="CF123" s="55">
        <f>SUMIFS('Awards Summary'!$H:$H,'Awards Summary'!$B:$B,$C123,'Awards Summary'!$J:$J,"EFC")</f>
        <v>0</v>
      </c>
      <c r="CG123" s="55">
        <f>SUMIFS('Disbursements Summary'!$E:$E,'Disbursements Summary'!$C:$C,$C123,'Disbursements Summary'!$A:$A,"EFC")</f>
        <v>0</v>
      </c>
      <c r="CH123" s="55">
        <f>SUMIFS('Awards Summary'!$H:$H,'Awards Summary'!$B:$B,$C123,'Awards Summary'!$J:$J,"ECFSA")</f>
        <v>0</v>
      </c>
      <c r="CI123" s="55">
        <f>SUMIFS('Disbursements Summary'!$E:$E,'Disbursements Summary'!$C:$C,$C123,'Disbursements Summary'!$A:$A,"ECFSA")</f>
        <v>0</v>
      </c>
      <c r="CJ123" s="55">
        <f>SUMIFS('Awards Summary'!$H:$H,'Awards Summary'!$B:$B,$C123,'Awards Summary'!$J:$J,"ECMC")</f>
        <v>0</v>
      </c>
      <c r="CK123" s="55">
        <f>SUMIFS('Disbursements Summary'!$E:$E,'Disbursements Summary'!$C:$C,$C123,'Disbursements Summary'!$A:$A,"ECMC")</f>
        <v>0</v>
      </c>
      <c r="CL123" s="55">
        <f>SUMIFS('Awards Summary'!$H:$H,'Awards Summary'!$B:$B,$C123,'Awards Summary'!$J:$J,"CHAMBER")</f>
        <v>0</v>
      </c>
      <c r="CM123" s="55">
        <f>SUMIFS('Disbursements Summary'!$E:$E,'Disbursements Summary'!$C:$C,$C123,'Disbursements Summary'!$A:$A,"CHAMBER")</f>
        <v>0</v>
      </c>
      <c r="CN123" s="55">
        <f>SUMIFS('Awards Summary'!$H:$H,'Awards Summary'!$B:$B,$C123,'Awards Summary'!$J:$J,"GAMING")</f>
        <v>0</v>
      </c>
      <c r="CO123" s="55">
        <f>SUMIFS('Disbursements Summary'!$E:$E,'Disbursements Summary'!$C:$C,$C123,'Disbursements Summary'!$A:$A,"GAMING")</f>
        <v>0</v>
      </c>
      <c r="CP123" s="55">
        <f>SUMIFS('Awards Summary'!$H:$H,'Awards Summary'!$B:$B,$C123,'Awards Summary'!$J:$J,"GOER")</f>
        <v>0</v>
      </c>
      <c r="CQ123" s="55">
        <f>SUMIFS('Disbursements Summary'!$E:$E,'Disbursements Summary'!$C:$C,$C123,'Disbursements Summary'!$A:$A,"GOER")</f>
        <v>0</v>
      </c>
      <c r="CR123" s="55">
        <f>SUMIFS('Awards Summary'!$H:$H,'Awards Summary'!$B:$B,$C123,'Awards Summary'!$J:$J,"HESC")</f>
        <v>0</v>
      </c>
      <c r="CS123" s="55">
        <f>SUMIFS('Disbursements Summary'!$E:$E,'Disbursements Summary'!$C:$C,$C123,'Disbursements Summary'!$A:$A,"HESC")</f>
        <v>0</v>
      </c>
      <c r="CT123" s="55">
        <f>SUMIFS('Awards Summary'!$H:$H,'Awards Summary'!$B:$B,$C123,'Awards Summary'!$J:$J,"GOSR")</f>
        <v>0</v>
      </c>
      <c r="CU123" s="55">
        <f>SUMIFS('Disbursements Summary'!$E:$E,'Disbursements Summary'!$C:$C,$C123,'Disbursements Summary'!$A:$A,"GOSR")</f>
        <v>0</v>
      </c>
      <c r="CV123" s="55">
        <f>SUMIFS('Awards Summary'!$H:$H,'Awards Summary'!$B:$B,$C123,'Awards Summary'!$J:$J,"HRPT")</f>
        <v>0</v>
      </c>
      <c r="CW123" s="55">
        <f>SUMIFS('Disbursements Summary'!$E:$E,'Disbursements Summary'!$C:$C,$C123,'Disbursements Summary'!$A:$A,"HRPT")</f>
        <v>0</v>
      </c>
      <c r="CX123" s="55">
        <f>SUMIFS('Awards Summary'!$H:$H,'Awards Summary'!$B:$B,$C123,'Awards Summary'!$J:$J,"HRBRRD")</f>
        <v>0</v>
      </c>
      <c r="CY123" s="55">
        <f>SUMIFS('Disbursements Summary'!$E:$E,'Disbursements Summary'!$C:$C,$C123,'Disbursements Summary'!$A:$A,"HRBRRD")</f>
        <v>0</v>
      </c>
      <c r="CZ123" s="55">
        <f>SUMIFS('Awards Summary'!$H:$H,'Awards Summary'!$B:$B,$C123,'Awards Summary'!$J:$J,"ITS")</f>
        <v>0</v>
      </c>
      <c r="DA123" s="55">
        <f>SUMIFS('Disbursements Summary'!$E:$E,'Disbursements Summary'!$C:$C,$C123,'Disbursements Summary'!$A:$A,"ITS")</f>
        <v>0</v>
      </c>
      <c r="DB123" s="55">
        <f>SUMIFS('Awards Summary'!$H:$H,'Awards Summary'!$B:$B,$C123,'Awards Summary'!$J:$J,"JAVITS")</f>
        <v>0</v>
      </c>
      <c r="DC123" s="55">
        <f>SUMIFS('Disbursements Summary'!$E:$E,'Disbursements Summary'!$C:$C,$C123,'Disbursements Summary'!$A:$A,"JAVITS")</f>
        <v>0</v>
      </c>
      <c r="DD123" s="55">
        <f>SUMIFS('Awards Summary'!$H:$H,'Awards Summary'!$B:$B,$C123,'Awards Summary'!$J:$J,"JCOPE")</f>
        <v>0</v>
      </c>
      <c r="DE123" s="55">
        <f>SUMIFS('Disbursements Summary'!$E:$E,'Disbursements Summary'!$C:$C,$C123,'Disbursements Summary'!$A:$A,"JCOPE")</f>
        <v>0</v>
      </c>
      <c r="DF123" s="55">
        <f>SUMIFS('Awards Summary'!$H:$H,'Awards Summary'!$B:$B,$C123,'Awards Summary'!$J:$J,"JUSTICE")</f>
        <v>0</v>
      </c>
      <c r="DG123" s="55">
        <f>SUMIFS('Disbursements Summary'!$E:$E,'Disbursements Summary'!$C:$C,$C123,'Disbursements Summary'!$A:$A,"JUSTICE")</f>
        <v>0</v>
      </c>
      <c r="DH123" s="55">
        <f>SUMIFS('Awards Summary'!$H:$H,'Awards Summary'!$B:$B,$C123,'Awards Summary'!$J:$J,"LCWSA")</f>
        <v>0</v>
      </c>
      <c r="DI123" s="55">
        <f>SUMIFS('Disbursements Summary'!$E:$E,'Disbursements Summary'!$C:$C,$C123,'Disbursements Summary'!$A:$A,"LCWSA")</f>
        <v>0</v>
      </c>
      <c r="DJ123" s="55">
        <f>SUMIFS('Awards Summary'!$H:$H,'Awards Summary'!$B:$B,$C123,'Awards Summary'!$J:$J,"LIPA")</f>
        <v>0</v>
      </c>
      <c r="DK123" s="55">
        <f>SUMIFS('Disbursements Summary'!$E:$E,'Disbursements Summary'!$C:$C,$C123,'Disbursements Summary'!$A:$A,"LIPA")</f>
        <v>0</v>
      </c>
      <c r="DL123" s="55">
        <f>SUMIFS('Awards Summary'!$H:$H,'Awards Summary'!$B:$B,$C123,'Awards Summary'!$J:$J,"MTA")</f>
        <v>0</v>
      </c>
      <c r="DM123" s="55">
        <f>SUMIFS('Disbursements Summary'!$E:$E,'Disbursements Summary'!$C:$C,$C123,'Disbursements Summary'!$A:$A,"MTA")</f>
        <v>0</v>
      </c>
      <c r="DN123" s="55">
        <f>SUMIFS('Awards Summary'!$H:$H,'Awards Summary'!$B:$B,$C123,'Awards Summary'!$J:$J,"NIFA")</f>
        <v>0</v>
      </c>
      <c r="DO123" s="55">
        <f>SUMIFS('Disbursements Summary'!$E:$E,'Disbursements Summary'!$C:$C,$C123,'Disbursements Summary'!$A:$A,"NIFA")</f>
        <v>0</v>
      </c>
      <c r="DP123" s="55">
        <f>SUMIFS('Awards Summary'!$H:$H,'Awards Summary'!$B:$B,$C123,'Awards Summary'!$J:$J,"NHCC")</f>
        <v>0</v>
      </c>
      <c r="DQ123" s="55">
        <f>SUMIFS('Disbursements Summary'!$E:$E,'Disbursements Summary'!$C:$C,$C123,'Disbursements Summary'!$A:$A,"NHCC")</f>
        <v>0</v>
      </c>
      <c r="DR123" s="55">
        <f>SUMIFS('Awards Summary'!$H:$H,'Awards Summary'!$B:$B,$C123,'Awards Summary'!$J:$J,"NHT")</f>
        <v>0</v>
      </c>
      <c r="DS123" s="55">
        <f>SUMIFS('Disbursements Summary'!$E:$E,'Disbursements Summary'!$C:$C,$C123,'Disbursements Summary'!$A:$A,"NHT")</f>
        <v>0</v>
      </c>
      <c r="DT123" s="55">
        <f>SUMIFS('Awards Summary'!$H:$H,'Awards Summary'!$B:$B,$C123,'Awards Summary'!$J:$J,"NYPA")</f>
        <v>0</v>
      </c>
      <c r="DU123" s="55">
        <f>SUMIFS('Disbursements Summary'!$E:$E,'Disbursements Summary'!$C:$C,$C123,'Disbursements Summary'!$A:$A,"NYPA")</f>
        <v>0</v>
      </c>
      <c r="DV123" s="55">
        <f>SUMIFS('Awards Summary'!$H:$H,'Awards Summary'!$B:$B,$C123,'Awards Summary'!$J:$J,"NYSBA")</f>
        <v>0</v>
      </c>
      <c r="DW123" s="55">
        <f>SUMIFS('Disbursements Summary'!$E:$E,'Disbursements Summary'!$C:$C,$C123,'Disbursements Summary'!$A:$A,"NYSBA")</f>
        <v>0</v>
      </c>
      <c r="DX123" s="55">
        <f>SUMIFS('Awards Summary'!$H:$H,'Awards Summary'!$B:$B,$C123,'Awards Summary'!$J:$J,"NYSERDA")</f>
        <v>0</v>
      </c>
      <c r="DY123" s="55">
        <f>SUMIFS('Disbursements Summary'!$E:$E,'Disbursements Summary'!$C:$C,$C123,'Disbursements Summary'!$A:$A,"NYSERDA")</f>
        <v>0</v>
      </c>
      <c r="DZ123" s="55">
        <f>SUMIFS('Awards Summary'!$H:$H,'Awards Summary'!$B:$B,$C123,'Awards Summary'!$J:$J,"DHCR")</f>
        <v>0</v>
      </c>
      <c r="EA123" s="55">
        <f>SUMIFS('Disbursements Summary'!$E:$E,'Disbursements Summary'!$C:$C,$C123,'Disbursements Summary'!$A:$A,"DHCR")</f>
        <v>0</v>
      </c>
      <c r="EB123" s="55">
        <f>SUMIFS('Awards Summary'!$H:$H,'Awards Summary'!$B:$B,$C123,'Awards Summary'!$J:$J,"HFA")</f>
        <v>0</v>
      </c>
      <c r="EC123" s="55">
        <f>SUMIFS('Disbursements Summary'!$E:$E,'Disbursements Summary'!$C:$C,$C123,'Disbursements Summary'!$A:$A,"HFA")</f>
        <v>0</v>
      </c>
      <c r="ED123" s="55">
        <f>SUMIFS('Awards Summary'!$H:$H,'Awards Summary'!$B:$B,$C123,'Awards Summary'!$J:$J,"NYSIF")</f>
        <v>0</v>
      </c>
      <c r="EE123" s="55">
        <f>SUMIFS('Disbursements Summary'!$E:$E,'Disbursements Summary'!$C:$C,$C123,'Disbursements Summary'!$A:$A,"NYSIF")</f>
        <v>0</v>
      </c>
      <c r="EF123" s="55">
        <f>SUMIFS('Awards Summary'!$H:$H,'Awards Summary'!$B:$B,$C123,'Awards Summary'!$J:$J,"NYBREDS")</f>
        <v>0</v>
      </c>
      <c r="EG123" s="55">
        <f>SUMIFS('Disbursements Summary'!$E:$E,'Disbursements Summary'!$C:$C,$C123,'Disbursements Summary'!$A:$A,"NYBREDS")</f>
        <v>0</v>
      </c>
      <c r="EH123" s="55">
        <f>SUMIFS('Awards Summary'!$H:$H,'Awards Summary'!$B:$B,$C123,'Awards Summary'!$J:$J,"NYSTA")</f>
        <v>0</v>
      </c>
      <c r="EI123" s="55">
        <f>SUMIFS('Disbursements Summary'!$E:$E,'Disbursements Summary'!$C:$C,$C123,'Disbursements Summary'!$A:$A,"NYSTA")</f>
        <v>0</v>
      </c>
      <c r="EJ123" s="55">
        <f>SUMIFS('Awards Summary'!$H:$H,'Awards Summary'!$B:$B,$C123,'Awards Summary'!$J:$J,"NFWB")</f>
        <v>0</v>
      </c>
      <c r="EK123" s="55">
        <f>SUMIFS('Disbursements Summary'!$E:$E,'Disbursements Summary'!$C:$C,$C123,'Disbursements Summary'!$A:$A,"NFWB")</f>
        <v>0</v>
      </c>
      <c r="EL123" s="55">
        <f>SUMIFS('Awards Summary'!$H:$H,'Awards Summary'!$B:$B,$C123,'Awards Summary'!$J:$J,"NFTA")</f>
        <v>0</v>
      </c>
      <c r="EM123" s="55">
        <f>SUMIFS('Disbursements Summary'!$E:$E,'Disbursements Summary'!$C:$C,$C123,'Disbursements Summary'!$A:$A,"NFTA")</f>
        <v>0</v>
      </c>
      <c r="EN123" s="55">
        <f>SUMIFS('Awards Summary'!$H:$H,'Awards Summary'!$B:$B,$C123,'Awards Summary'!$J:$J,"OPWDD")</f>
        <v>0</v>
      </c>
      <c r="EO123" s="55">
        <f>SUMIFS('Disbursements Summary'!$E:$E,'Disbursements Summary'!$C:$C,$C123,'Disbursements Summary'!$A:$A,"OPWDD")</f>
        <v>0</v>
      </c>
      <c r="EP123" s="55">
        <f>SUMIFS('Awards Summary'!$H:$H,'Awards Summary'!$B:$B,$C123,'Awards Summary'!$J:$J,"AGING")</f>
        <v>0</v>
      </c>
      <c r="EQ123" s="55">
        <f>SUMIFS('Disbursements Summary'!$E:$E,'Disbursements Summary'!$C:$C,$C123,'Disbursements Summary'!$A:$A,"AGING")</f>
        <v>0</v>
      </c>
      <c r="ER123" s="55">
        <f>SUMIFS('Awards Summary'!$H:$H,'Awards Summary'!$B:$B,$C123,'Awards Summary'!$J:$J,"OPDV")</f>
        <v>0</v>
      </c>
      <c r="ES123" s="55">
        <f>SUMIFS('Disbursements Summary'!$E:$E,'Disbursements Summary'!$C:$C,$C123,'Disbursements Summary'!$A:$A,"OPDV")</f>
        <v>0</v>
      </c>
      <c r="ET123" s="55">
        <f>SUMIFS('Awards Summary'!$H:$H,'Awards Summary'!$B:$B,$C123,'Awards Summary'!$J:$J,"OVS")</f>
        <v>0</v>
      </c>
      <c r="EU123" s="55">
        <f>SUMIFS('Disbursements Summary'!$E:$E,'Disbursements Summary'!$C:$C,$C123,'Disbursements Summary'!$A:$A,"OVS")</f>
        <v>0</v>
      </c>
      <c r="EV123" s="55">
        <f>SUMIFS('Awards Summary'!$H:$H,'Awards Summary'!$B:$B,$C123,'Awards Summary'!$J:$J,"OASAS")</f>
        <v>0</v>
      </c>
      <c r="EW123" s="55">
        <f>SUMIFS('Disbursements Summary'!$E:$E,'Disbursements Summary'!$C:$C,$C123,'Disbursements Summary'!$A:$A,"OASAS")</f>
        <v>0</v>
      </c>
      <c r="EX123" s="55">
        <f>SUMIFS('Awards Summary'!$H:$H,'Awards Summary'!$B:$B,$C123,'Awards Summary'!$J:$J,"OCFS")</f>
        <v>0</v>
      </c>
      <c r="EY123" s="55">
        <f>SUMIFS('Disbursements Summary'!$E:$E,'Disbursements Summary'!$C:$C,$C123,'Disbursements Summary'!$A:$A,"OCFS")</f>
        <v>0</v>
      </c>
      <c r="EZ123" s="55">
        <f>SUMIFS('Awards Summary'!$H:$H,'Awards Summary'!$B:$B,$C123,'Awards Summary'!$J:$J,"OGS")</f>
        <v>0</v>
      </c>
      <c r="FA123" s="55">
        <f>SUMIFS('Disbursements Summary'!$E:$E,'Disbursements Summary'!$C:$C,$C123,'Disbursements Summary'!$A:$A,"OGS")</f>
        <v>0</v>
      </c>
      <c r="FB123" s="55">
        <f>SUMIFS('Awards Summary'!$H:$H,'Awards Summary'!$B:$B,$C123,'Awards Summary'!$J:$J,"OMH")</f>
        <v>0</v>
      </c>
      <c r="FC123" s="55">
        <f>SUMIFS('Disbursements Summary'!$E:$E,'Disbursements Summary'!$C:$C,$C123,'Disbursements Summary'!$A:$A,"OMH")</f>
        <v>0</v>
      </c>
      <c r="FD123" s="55">
        <f>SUMIFS('Awards Summary'!$H:$H,'Awards Summary'!$B:$B,$C123,'Awards Summary'!$J:$J,"PARKS")</f>
        <v>0</v>
      </c>
      <c r="FE123" s="55">
        <f>SUMIFS('Disbursements Summary'!$E:$E,'Disbursements Summary'!$C:$C,$C123,'Disbursements Summary'!$A:$A,"PARKS")</f>
        <v>0</v>
      </c>
      <c r="FF123" s="55">
        <f>SUMIFS('Awards Summary'!$H:$H,'Awards Summary'!$B:$B,$C123,'Awards Summary'!$J:$J,"OTDA")</f>
        <v>0</v>
      </c>
      <c r="FG123" s="55">
        <f>SUMIFS('Disbursements Summary'!$E:$E,'Disbursements Summary'!$C:$C,$C123,'Disbursements Summary'!$A:$A,"OTDA")</f>
        <v>0</v>
      </c>
      <c r="FH123" s="55">
        <f>SUMIFS('Awards Summary'!$H:$H,'Awards Summary'!$B:$B,$C123,'Awards Summary'!$J:$J,"OIG")</f>
        <v>0</v>
      </c>
      <c r="FI123" s="55">
        <f>SUMIFS('Disbursements Summary'!$E:$E,'Disbursements Summary'!$C:$C,$C123,'Disbursements Summary'!$A:$A,"OIG")</f>
        <v>0</v>
      </c>
      <c r="FJ123" s="55">
        <f>SUMIFS('Awards Summary'!$H:$H,'Awards Summary'!$B:$B,$C123,'Awards Summary'!$J:$J,"OMIG")</f>
        <v>0</v>
      </c>
      <c r="FK123" s="55">
        <f>SUMIFS('Disbursements Summary'!$E:$E,'Disbursements Summary'!$C:$C,$C123,'Disbursements Summary'!$A:$A,"OMIG")</f>
        <v>0</v>
      </c>
      <c r="FL123" s="55">
        <f>SUMIFS('Awards Summary'!$H:$H,'Awards Summary'!$B:$B,$C123,'Awards Summary'!$J:$J,"OSC")</f>
        <v>0</v>
      </c>
      <c r="FM123" s="55">
        <f>SUMIFS('Disbursements Summary'!$E:$E,'Disbursements Summary'!$C:$C,$C123,'Disbursements Summary'!$A:$A,"OSC")</f>
        <v>0</v>
      </c>
      <c r="FN123" s="55">
        <f>SUMIFS('Awards Summary'!$H:$H,'Awards Summary'!$B:$B,$C123,'Awards Summary'!$J:$J,"OWIG")</f>
        <v>0</v>
      </c>
      <c r="FO123" s="55">
        <f>SUMIFS('Disbursements Summary'!$E:$E,'Disbursements Summary'!$C:$C,$C123,'Disbursements Summary'!$A:$A,"OWIG")</f>
        <v>0</v>
      </c>
      <c r="FP123" s="55">
        <f>SUMIFS('Awards Summary'!$H:$H,'Awards Summary'!$B:$B,$C123,'Awards Summary'!$J:$J,"OGDEN")</f>
        <v>0</v>
      </c>
      <c r="FQ123" s="55">
        <f>SUMIFS('Disbursements Summary'!$E:$E,'Disbursements Summary'!$C:$C,$C123,'Disbursements Summary'!$A:$A,"OGDEN")</f>
        <v>0</v>
      </c>
      <c r="FR123" s="55">
        <f>SUMIFS('Awards Summary'!$H:$H,'Awards Summary'!$B:$B,$C123,'Awards Summary'!$J:$J,"ORDA")</f>
        <v>0</v>
      </c>
      <c r="FS123" s="55">
        <f>SUMIFS('Disbursements Summary'!$E:$E,'Disbursements Summary'!$C:$C,$C123,'Disbursements Summary'!$A:$A,"ORDA")</f>
        <v>0</v>
      </c>
      <c r="FT123" s="55">
        <f>SUMIFS('Awards Summary'!$H:$H,'Awards Summary'!$B:$B,$C123,'Awards Summary'!$J:$J,"OSWEGO")</f>
        <v>0</v>
      </c>
      <c r="FU123" s="55">
        <f>SUMIFS('Disbursements Summary'!$E:$E,'Disbursements Summary'!$C:$C,$C123,'Disbursements Summary'!$A:$A,"OSWEGO")</f>
        <v>0</v>
      </c>
      <c r="FV123" s="55">
        <f>SUMIFS('Awards Summary'!$H:$H,'Awards Summary'!$B:$B,$C123,'Awards Summary'!$J:$J,"PERB")</f>
        <v>0</v>
      </c>
      <c r="FW123" s="55">
        <f>SUMIFS('Disbursements Summary'!$E:$E,'Disbursements Summary'!$C:$C,$C123,'Disbursements Summary'!$A:$A,"PERB")</f>
        <v>0</v>
      </c>
      <c r="FX123" s="55">
        <f>SUMIFS('Awards Summary'!$H:$H,'Awards Summary'!$B:$B,$C123,'Awards Summary'!$J:$J,"RGRTA")</f>
        <v>0</v>
      </c>
      <c r="FY123" s="55">
        <f>SUMIFS('Disbursements Summary'!$E:$E,'Disbursements Summary'!$C:$C,$C123,'Disbursements Summary'!$A:$A,"RGRTA")</f>
        <v>0</v>
      </c>
      <c r="FZ123" s="55">
        <f>SUMIFS('Awards Summary'!$H:$H,'Awards Summary'!$B:$B,$C123,'Awards Summary'!$J:$J,"RIOC")</f>
        <v>0</v>
      </c>
      <c r="GA123" s="55">
        <f>SUMIFS('Disbursements Summary'!$E:$E,'Disbursements Summary'!$C:$C,$C123,'Disbursements Summary'!$A:$A,"RIOC")</f>
        <v>0</v>
      </c>
      <c r="GB123" s="55">
        <f>SUMIFS('Awards Summary'!$H:$H,'Awards Summary'!$B:$B,$C123,'Awards Summary'!$J:$J,"RPCI")</f>
        <v>0</v>
      </c>
      <c r="GC123" s="55">
        <f>SUMIFS('Disbursements Summary'!$E:$E,'Disbursements Summary'!$C:$C,$C123,'Disbursements Summary'!$A:$A,"RPCI")</f>
        <v>0</v>
      </c>
      <c r="GD123" s="55">
        <f>SUMIFS('Awards Summary'!$H:$H,'Awards Summary'!$B:$B,$C123,'Awards Summary'!$J:$J,"SMDA")</f>
        <v>0</v>
      </c>
      <c r="GE123" s="55">
        <f>SUMIFS('Disbursements Summary'!$E:$E,'Disbursements Summary'!$C:$C,$C123,'Disbursements Summary'!$A:$A,"SMDA")</f>
        <v>0</v>
      </c>
      <c r="GF123" s="55">
        <f>SUMIFS('Awards Summary'!$H:$H,'Awards Summary'!$B:$B,$C123,'Awards Summary'!$J:$J,"SCOC")</f>
        <v>0</v>
      </c>
      <c r="GG123" s="55">
        <f>SUMIFS('Disbursements Summary'!$E:$E,'Disbursements Summary'!$C:$C,$C123,'Disbursements Summary'!$A:$A,"SCOC")</f>
        <v>0</v>
      </c>
      <c r="GH123" s="55">
        <f>SUMIFS('Awards Summary'!$H:$H,'Awards Summary'!$B:$B,$C123,'Awards Summary'!$J:$J,"SUCF")</f>
        <v>0</v>
      </c>
      <c r="GI123" s="55">
        <f>SUMIFS('Disbursements Summary'!$E:$E,'Disbursements Summary'!$C:$C,$C123,'Disbursements Summary'!$A:$A,"SUCF")</f>
        <v>0</v>
      </c>
      <c r="GJ123" s="55">
        <f>SUMIFS('Awards Summary'!$H:$H,'Awards Summary'!$B:$B,$C123,'Awards Summary'!$J:$J,"SUNY")</f>
        <v>0</v>
      </c>
      <c r="GK123" s="55">
        <f>SUMIFS('Disbursements Summary'!$E:$E,'Disbursements Summary'!$C:$C,$C123,'Disbursements Summary'!$A:$A,"SUNY")</f>
        <v>0</v>
      </c>
      <c r="GL123" s="55">
        <f>SUMIFS('Awards Summary'!$H:$H,'Awards Summary'!$B:$B,$C123,'Awards Summary'!$J:$J,"SRAA")</f>
        <v>0</v>
      </c>
      <c r="GM123" s="55">
        <f>SUMIFS('Disbursements Summary'!$E:$E,'Disbursements Summary'!$C:$C,$C123,'Disbursements Summary'!$A:$A,"SRAA")</f>
        <v>0</v>
      </c>
      <c r="GN123" s="55">
        <f>SUMIFS('Awards Summary'!$H:$H,'Awards Summary'!$B:$B,$C123,'Awards Summary'!$J:$J,"UNDC")</f>
        <v>0</v>
      </c>
      <c r="GO123" s="55">
        <f>SUMIFS('Disbursements Summary'!$E:$E,'Disbursements Summary'!$C:$C,$C123,'Disbursements Summary'!$A:$A,"UNDC")</f>
        <v>0</v>
      </c>
      <c r="GP123" s="55">
        <f>SUMIFS('Awards Summary'!$H:$H,'Awards Summary'!$B:$B,$C123,'Awards Summary'!$J:$J,"MVWA")</f>
        <v>0</v>
      </c>
      <c r="GQ123" s="55">
        <f>SUMIFS('Disbursements Summary'!$E:$E,'Disbursements Summary'!$C:$C,$C123,'Disbursements Summary'!$A:$A,"MVWA")</f>
        <v>0</v>
      </c>
      <c r="GR123" s="55">
        <f>SUMIFS('Awards Summary'!$H:$H,'Awards Summary'!$B:$B,$C123,'Awards Summary'!$J:$J,"WMC")</f>
        <v>0</v>
      </c>
      <c r="GS123" s="55">
        <f>SUMIFS('Disbursements Summary'!$E:$E,'Disbursements Summary'!$C:$C,$C123,'Disbursements Summary'!$A:$A,"WMC")</f>
        <v>0</v>
      </c>
      <c r="GT123" s="55">
        <f>SUMIFS('Awards Summary'!$H:$H,'Awards Summary'!$B:$B,$C123,'Awards Summary'!$J:$J,"WCB")</f>
        <v>0</v>
      </c>
      <c r="GU123" s="55">
        <f>SUMIFS('Disbursements Summary'!$E:$E,'Disbursements Summary'!$C:$C,$C123,'Disbursements Summary'!$A:$A,"WCB")</f>
        <v>0</v>
      </c>
      <c r="GV123" s="32">
        <f t="shared" si="10"/>
        <v>0</v>
      </c>
      <c r="GW123" s="32">
        <f t="shared" si="11"/>
        <v>0</v>
      </c>
      <c r="GX123" s="30" t="b">
        <f t="shared" si="12"/>
        <v>1</v>
      </c>
      <c r="GY123" s="30" t="b">
        <f t="shared" si="13"/>
        <v>1</v>
      </c>
    </row>
    <row r="124" spans="1:207" s="30" customFormat="1">
      <c r="A124" s="22" t="str">
        <f t="shared" si="9"/>
        <v/>
      </c>
      <c r="B124" s="69" t="s">
        <v>467</v>
      </c>
      <c r="C124" s="65">
        <v>161307</v>
      </c>
      <c r="D124" s="66">
        <f>COUNTIF('Awards Summary'!B:B,"161307")</f>
        <v>0</v>
      </c>
      <c r="E124" s="67">
        <f>SUMIFS('Awards Summary'!H:H,'Awards Summary'!B:B,"161307")</f>
        <v>0</v>
      </c>
      <c r="F124" s="68">
        <f>SUMIFS('Disbursements Summary'!E:E,'Disbursements Summary'!C:C, "161307")</f>
        <v>0</v>
      </c>
      <c r="H124" s="55">
        <f>SUMIFS('Awards Summary'!$H:$H,'Awards Summary'!$B:$B,$C124,'Awards Summary'!$J:$J,"APA")</f>
        <v>0</v>
      </c>
      <c r="I124" s="55">
        <f>SUMIFS('Disbursements Summary'!$E:$E,'Disbursements Summary'!$C:$C,$C124,'Disbursements Summary'!$A:$A,"APA")</f>
        <v>0</v>
      </c>
      <c r="J124" s="55">
        <f>SUMIFS('Awards Summary'!$H:$H,'Awards Summary'!$B:$B,$C124,'Awards Summary'!$J:$J,"Ag&amp;Horse")</f>
        <v>0</v>
      </c>
      <c r="K124" s="55">
        <f>SUMIFS('Disbursements Summary'!$E:$E,'Disbursements Summary'!$C:$C,$C124,'Disbursements Summary'!$A:$A,"Ag&amp;Horse")</f>
        <v>0</v>
      </c>
      <c r="L124" s="55">
        <f>SUMIFS('Awards Summary'!$H:$H,'Awards Summary'!$B:$B,$C124,'Awards Summary'!$J:$J,"ACAA")</f>
        <v>0</v>
      </c>
      <c r="M124" s="55">
        <f>SUMIFS('Disbursements Summary'!$E:$E,'Disbursements Summary'!$C:$C,$C124,'Disbursements Summary'!$A:$A,"ACAA")</f>
        <v>0</v>
      </c>
      <c r="N124" s="55">
        <f>SUMIFS('Awards Summary'!$H:$H,'Awards Summary'!$B:$B,$C124,'Awards Summary'!$J:$J,"PortAlbany")</f>
        <v>0</v>
      </c>
      <c r="O124" s="55">
        <f>SUMIFS('Disbursements Summary'!$E:$E,'Disbursements Summary'!$C:$C,$C124,'Disbursements Summary'!$A:$A,"PortAlbany")</f>
        <v>0</v>
      </c>
      <c r="P124" s="55">
        <f>SUMIFS('Awards Summary'!$H:$H,'Awards Summary'!$B:$B,$C124,'Awards Summary'!$J:$J,"SLA")</f>
        <v>0</v>
      </c>
      <c r="Q124" s="55">
        <f>SUMIFS('Disbursements Summary'!$E:$E,'Disbursements Summary'!$C:$C,$C124,'Disbursements Summary'!$A:$A,"SLA")</f>
        <v>0</v>
      </c>
      <c r="R124" s="55">
        <f>SUMIFS('Awards Summary'!$H:$H,'Awards Summary'!$B:$B,$C124,'Awards Summary'!$J:$J,"BPCA")</f>
        <v>0</v>
      </c>
      <c r="S124" s="55">
        <f>SUMIFS('Disbursements Summary'!$E:$E,'Disbursements Summary'!$C:$C,$C124,'Disbursements Summary'!$A:$A,"BPCA")</f>
        <v>0</v>
      </c>
      <c r="T124" s="55">
        <f>SUMIFS('Awards Summary'!$H:$H,'Awards Summary'!$B:$B,$C124,'Awards Summary'!$J:$J,"ELECTIONS")</f>
        <v>0</v>
      </c>
      <c r="U124" s="55">
        <f>SUMIFS('Disbursements Summary'!$E:$E,'Disbursements Summary'!$C:$C,$C124,'Disbursements Summary'!$A:$A,"ELECTIONS")</f>
        <v>0</v>
      </c>
      <c r="V124" s="55">
        <f>SUMIFS('Awards Summary'!$H:$H,'Awards Summary'!$B:$B,$C124,'Awards Summary'!$J:$J,"BFSA")</f>
        <v>0</v>
      </c>
      <c r="W124" s="55">
        <f>SUMIFS('Disbursements Summary'!$E:$E,'Disbursements Summary'!$C:$C,$C124,'Disbursements Summary'!$A:$A,"BFSA")</f>
        <v>0</v>
      </c>
      <c r="X124" s="55">
        <f>SUMIFS('Awards Summary'!$H:$H,'Awards Summary'!$B:$B,$C124,'Awards Summary'!$J:$J,"CDTA")</f>
        <v>0</v>
      </c>
      <c r="Y124" s="55">
        <f>SUMIFS('Disbursements Summary'!$E:$E,'Disbursements Summary'!$C:$C,$C124,'Disbursements Summary'!$A:$A,"CDTA")</f>
        <v>0</v>
      </c>
      <c r="Z124" s="55">
        <f>SUMIFS('Awards Summary'!$H:$H,'Awards Summary'!$B:$B,$C124,'Awards Summary'!$J:$J,"CCWSA")</f>
        <v>0</v>
      </c>
      <c r="AA124" s="55">
        <f>SUMIFS('Disbursements Summary'!$E:$E,'Disbursements Summary'!$C:$C,$C124,'Disbursements Summary'!$A:$A,"CCWSA")</f>
        <v>0</v>
      </c>
      <c r="AB124" s="55">
        <f>SUMIFS('Awards Summary'!$H:$H,'Awards Summary'!$B:$B,$C124,'Awards Summary'!$J:$J,"CNYRTA")</f>
        <v>0</v>
      </c>
      <c r="AC124" s="55">
        <f>SUMIFS('Disbursements Summary'!$E:$E,'Disbursements Summary'!$C:$C,$C124,'Disbursements Summary'!$A:$A,"CNYRTA")</f>
        <v>0</v>
      </c>
      <c r="AD124" s="55">
        <f>SUMIFS('Awards Summary'!$H:$H,'Awards Summary'!$B:$B,$C124,'Awards Summary'!$J:$J,"CUCF")</f>
        <v>0</v>
      </c>
      <c r="AE124" s="55">
        <f>SUMIFS('Disbursements Summary'!$E:$E,'Disbursements Summary'!$C:$C,$C124,'Disbursements Summary'!$A:$A,"CUCF")</f>
        <v>0</v>
      </c>
      <c r="AF124" s="55">
        <f>SUMIFS('Awards Summary'!$H:$H,'Awards Summary'!$B:$B,$C124,'Awards Summary'!$J:$J,"CUNY")</f>
        <v>0</v>
      </c>
      <c r="AG124" s="55">
        <f>SUMIFS('Disbursements Summary'!$E:$E,'Disbursements Summary'!$C:$C,$C124,'Disbursements Summary'!$A:$A,"CUNY")</f>
        <v>0</v>
      </c>
      <c r="AH124" s="55">
        <f>SUMIFS('Awards Summary'!$H:$H,'Awards Summary'!$B:$B,$C124,'Awards Summary'!$J:$J,"ARTS")</f>
        <v>0</v>
      </c>
      <c r="AI124" s="55">
        <f>SUMIFS('Disbursements Summary'!$E:$E,'Disbursements Summary'!$C:$C,$C124,'Disbursements Summary'!$A:$A,"ARTS")</f>
        <v>0</v>
      </c>
      <c r="AJ124" s="55">
        <f>SUMIFS('Awards Summary'!$H:$H,'Awards Summary'!$B:$B,$C124,'Awards Summary'!$J:$J,"AG&amp;MKTS")</f>
        <v>0</v>
      </c>
      <c r="AK124" s="55">
        <f>SUMIFS('Disbursements Summary'!$E:$E,'Disbursements Summary'!$C:$C,$C124,'Disbursements Summary'!$A:$A,"AG&amp;MKTS")</f>
        <v>0</v>
      </c>
      <c r="AL124" s="55">
        <f>SUMIFS('Awards Summary'!$H:$H,'Awards Summary'!$B:$B,$C124,'Awards Summary'!$J:$J,"CS")</f>
        <v>0</v>
      </c>
      <c r="AM124" s="55">
        <f>SUMIFS('Disbursements Summary'!$E:$E,'Disbursements Summary'!$C:$C,$C124,'Disbursements Summary'!$A:$A,"CS")</f>
        <v>0</v>
      </c>
      <c r="AN124" s="55">
        <f>SUMIFS('Awards Summary'!$H:$H,'Awards Summary'!$B:$B,$C124,'Awards Summary'!$J:$J,"DOCCS")</f>
        <v>0</v>
      </c>
      <c r="AO124" s="55">
        <f>SUMIFS('Disbursements Summary'!$E:$E,'Disbursements Summary'!$C:$C,$C124,'Disbursements Summary'!$A:$A,"DOCCS")</f>
        <v>0</v>
      </c>
      <c r="AP124" s="55">
        <f>SUMIFS('Awards Summary'!$H:$H,'Awards Summary'!$B:$B,$C124,'Awards Summary'!$J:$J,"DED")</f>
        <v>0</v>
      </c>
      <c r="AQ124" s="55">
        <f>SUMIFS('Disbursements Summary'!$E:$E,'Disbursements Summary'!$C:$C,$C124,'Disbursements Summary'!$A:$A,"DED")</f>
        <v>0</v>
      </c>
      <c r="AR124" s="55">
        <f>SUMIFS('Awards Summary'!$H:$H,'Awards Summary'!$B:$B,$C124,'Awards Summary'!$J:$J,"DEC")</f>
        <v>0</v>
      </c>
      <c r="AS124" s="55">
        <f>SUMIFS('Disbursements Summary'!$E:$E,'Disbursements Summary'!$C:$C,$C124,'Disbursements Summary'!$A:$A,"DEC")</f>
        <v>0</v>
      </c>
      <c r="AT124" s="55">
        <f>SUMIFS('Awards Summary'!$H:$H,'Awards Summary'!$B:$B,$C124,'Awards Summary'!$J:$J,"DFS")</f>
        <v>0</v>
      </c>
      <c r="AU124" s="55">
        <f>SUMIFS('Disbursements Summary'!$E:$E,'Disbursements Summary'!$C:$C,$C124,'Disbursements Summary'!$A:$A,"DFS")</f>
        <v>0</v>
      </c>
      <c r="AV124" s="55">
        <f>SUMIFS('Awards Summary'!$H:$H,'Awards Summary'!$B:$B,$C124,'Awards Summary'!$J:$J,"DOH")</f>
        <v>0</v>
      </c>
      <c r="AW124" s="55">
        <f>SUMIFS('Disbursements Summary'!$E:$E,'Disbursements Summary'!$C:$C,$C124,'Disbursements Summary'!$A:$A,"DOH")</f>
        <v>0</v>
      </c>
      <c r="AX124" s="55">
        <f>SUMIFS('Awards Summary'!$H:$H,'Awards Summary'!$B:$B,$C124,'Awards Summary'!$J:$J,"DOL")</f>
        <v>0</v>
      </c>
      <c r="AY124" s="55">
        <f>SUMIFS('Disbursements Summary'!$E:$E,'Disbursements Summary'!$C:$C,$C124,'Disbursements Summary'!$A:$A,"DOL")</f>
        <v>0</v>
      </c>
      <c r="AZ124" s="55">
        <f>SUMIFS('Awards Summary'!$H:$H,'Awards Summary'!$B:$B,$C124,'Awards Summary'!$J:$J,"DMV")</f>
        <v>0</v>
      </c>
      <c r="BA124" s="55">
        <f>SUMIFS('Disbursements Summary'!$E:$E,'Disbursements Summary'!$C:$C,$C124,'Disbursements Summary'!$A:$A,"DMV")</f>
        <v>0</v>
      </c>
      <c r="BB124" s="55">
        <f>SUMIFS('Awards Summary'!$H:$H,'Awards Summary'!$B:$B,$C124,'Awards Summary'!$J:$J,"DPS")</f>
        <v>0</v>
      </c>
      <c r="BC124" s="55">
        <f>SUMIFS('Disbursements Summary'!$E:$E,'Disbursements Summary'!$C:$C,$C124,'Disbursements Summary'!$A:$A,"DPS")</f>
        <v>0</v>
      </c>
      <c r="BD124" s="55">
        <f>SUMIFS('Awards Summary'!$H:$H,'Awards Summary'!$B:$B,$C124,'Awards Summary'!$J:$J,"DOS")</f>
        <v>0</v>
      </c>
      <c r="BE124" s="55">
        <f>SUMIFS('Disbursements Summary'!$E:$E,'Disbursements Summary'!$C:$C,$C124,'Disbursements Summary'!$A:$A,"DOS")</f>
        <v>0</v>
      </c>
      <c r="BF124" s="55">
        <f>SUMIFS('Awards Summary'!$H:$H,'Awards Summary'!$B:$B,$C124,'Awards Summary'!$J:$J,"TAX")</f>
        <v>0</v>
      </c>
      <c r="BG124" s="55">
        <f>SUMIFS('Disbursements Summary'!$E:$E,'Disbursements Summary'!$C:$C,$C124,'Disbursements Summary'!$A:$A,"TAX")</f>
        <v>0</v>
      </c>
      <c r="BH124" s="55">
        <f>SUMIFS('Awards Summary'!$H:$H,'Awards Summary'!$B:$B,$C124,'Awards Summary'!$J:$J,"DOT")</f>
        <v>0</v>
      </c>
      <c r="BI124" s="55">
        <f>SUMIFS('Disbursements Summary'!$E:$E,'Disbursements Summary'!$C:$C,$C124,'Disbursements Summary'!$A:$A,"DOT")</f>
        <v>0</v>
      </c>
      <c r="BJ124" s="55">
        <f>SUMIFS('Awards Summary'!$H:$H,'Awards Summary'!$B:$B,$C124,'Awards Summary'!$J:$J,"DANC")</f>
        <v>0</v>
      </c>
      <c r="BK124" s="55">
        <f>SUMIFS('Disbursements Summary'!$E:$E,'Disbursements Summary'!$C:$C,$C124,'Disbursements Summary'!$A:$A,"DANC")</f>
        <v>0</v>
      </c>
      <c r="BL124" s="55">
        <f>SUMIFS('Awards Summary'!$H:$H,'Awards Summary'!$B:$B,$C124,'Awards Summary'!$J:$J,"DOB")</f>
        <v>0</v>
      </c>
      <c r="BM124" s="55">
        <f>SUMIFS('Disbursements Summary'!$E:$E,'Disbursements Summary'!$C:$C,$C124,'Disbursements Summary'!$A:$A,"DOB")</f>
        <v>0</v>
      </c>
      <c r="BN124" s="55">
        <f>SUMIFS('Awards Summary'!$H:$H,'Awards Summary'!$B:$B,$C124,'Awards Summary'!$J:$J,"DCJS")</f>
        <v>0</v>
      </c>
      <c r="BO124" s="55">
        <f>SUMIFS('Disbursements Summary'!$E:$E,'Disbursements Summary'!$C:$C,$C124,'Disbursements Summary'!$A:$A,"DCJS")</f>
        <v>0</v>
      </c>
      <c r="BP124" s="55">
        <f>SUMIFS('Awards Summary'!$H:$H,'Awards Summary'!$B:$B,$C124,'Awards Summary'!$J:$J,"DHSES")</f>
        <v>0</v>
      </c>
      <c r="BQ124" s="55">
        <f>SUMIFS('Disbursements Summary'!$E:$E,'Disbursements Summary'!$C:$C,$C124,'Disbursements Summary'!$A:$A,"DHSES")</f>
        <v>0</v>
      </c>
      <c r="BR124" s="55">
        <f>SUMIFS('Awards Summary'!$H:$H,'Awards Summary'!$B:$B,$C124,'Awards Summary'!$J:$J,"DHR")</f>
        <v>0</v>
      </c>
      <c r="BS124" s="55">
        <f>SUMIFS('Disbursements Summary'!$E:$E,'Disbursements Summary'!$C:$C,$C124,'Disbursements Summary'!$A:$A,"DHR")</f>
        <v>0</v>
      </c>
      <c r="BT124" s="55">
        <f>SUMIFS('Awards Summary'!$H:$H,'Awards Summary'!$B:$B,$C124,'Awards Summary'!$J:$J,"DMNA")</f>
        <v>0</v>
      </c>
      <c r="BU124" s="55">
        <f>SUMIFS('Disbursements Summary'!$E:$E,'Disbursements Summary'!$C:$C,$C124,'Disbursements Summary'!$A:$A,"DMNA")</f>
        <v>0</v>
      </c>
      <c r="BV124" s="55">
        <f>SUMIFS('Awards Summary'!$H:$H,'Awards Summary'!$B:$B,$C124,'Awards Summary'!$J:$J,"TROOPERS")</f>
        <v>0</v>
      </c>
      <c r="BW124" s="55">
        <f>SUMIFS('Disbursements Summary'!$E:$E,'Disbursements Summary'!$C:$C,$C124,'Disbursements Summary'!$A:$A,"TROOPERS")</f>
        <v>0</v>
      </c>
      <c r="BX124" s="55">
        <f>SUMIFS('Awards Summary'!$H:$H,'Awards Summary'!$B:$B,$C124,'Awards Summary'!$J:$J,"DVA")</f>
        <v>0</v>
      </c>
      <c r="BY124" s="55">
        <f>SUMIFS('Disbursements Summary'!$E:$E,'Disbursements Summary'!$C:$C,$C124,'Disbursements Summary'!$A:$A,"DVA")</f>
        <v>0</v>
      </c>
      <c r="BZ124" s="55">
        <f>SUMIFS('Awards Summary'!$H:$H,'Awards Summary'!$B:$B,$C124,'Awards Summary'!$J:$J,"DASNY")</f>
        <v>0</v>
      </c>
      <c r="CA124" s="55">
        <f>SUMIFS('Disbursements Summary'!$E:$E,'Disbursements Summary'!$C:$C,$C124,'Disbursements Summary'!$A:$A,"DASNY")</f>
        <v>0</v>
      </c>
      <c r="CB124" s="55">
        <f>SUMIFS('Awards Summary'!$H:$H,'Awards Summary'!$B:$B,$C124,'Awards Summary'!$J:$J,"EGG")</f>
        <v>0</v>
      </c>
      <c r="CC124" s="55">
        <f>SUMIFS('Disbursements Summary'!$E:$E,'Disbursements Summary'!$C:$C,$C124,'Disbursements Summary'!$A:$A,"EGG")</f>
        <v>0</v>
      </c>
      <c r="CD124" s="55">
        <f>SUMIFS('Awards Summary'!$H:$H,'Awards Summary'!$B:$B,$C124,'Awards Summary'!$J:$J,"ESD")</f>
        <v>0</v>
      </c>
      <c r="CE124" s="55">
        <f>SUMIFS('Disbursements Summary'!$E:$E,'Disbursements Summary'!$C:$C,$C124,'Disbursements Summary'!$A:$A,"ESD")</f>
        <v>0</v>
      </c>
      <c r="CF124" s="55">
        <f>SUMIFS('Awards Summary'!$H:$H,'Awards Summary'!$B:$B,$C124,'Awards Summary'!$J:$J,"EFC")</f>
        <v>0</v>
      </c>
      <c r="CG124" s="55">
        <f>SUMIFS('Disbursements Summary'!$E:$E,'Disbursements Summary'!$C:$C,$C124,'Disbursements Summary'!$A:$A,"EFC")</f>
        <v>0</v>
      </c>
      <c r="CH124" s="55">
        <f>SUMIFS('Awards Summary'!$H:$H,'Awards Summary'!$B:$B,$C124,'Awards Summary'!$J:$J,"ECFSA")</f>
        <v>0</v>
      </c>
      <c r="CI124" s="55">
        <f>SUMIFS('Disbursements Summary'!$E:$E,'Disbursements Summary'!$C:$C,$C124,'Disbursements Summary'!$A:$A,"ECFSA")</f>
        <v>0</v>
      </c>
      <c r="CJ124" s="55">
        <f>SUMIFS('Awards Summary'!$H:$H,'Awards Summary'!$B:$B,$C124,'Awards Summary'!$J:$J,"ECMC")</f>
        <v>0</v>
      </c>
      <c r="CK124" s="55">
        <f>SUMIFS('Disbursements Summary'!$E:$E,'Disbursements Summary'!$C:$C,$C124,'Disbursements Summary'!$A:$A,"ECMC")</f>
        <v>0</v>
      </c>
      <c r="CL124" s="55">
        <f>SUMIFS('Awards Summary'!$H:$H,'Awards Summary'!$B:$B,$C124,'Awards Summary'!$J:$J,"CHAMBER")</f>
        <v>0</v>
      </c>
      <c r="CM124" s="55">
        <f>SUMIFS('Disbursements Summary'!$E:$E,'Disbursements Summary'!$C:$C,$C124,'Disbursements Summary'!$A:$A,"CHAMBER")</f>
        <v>0</v>
      </c>
      <c r="CN124" s="55">
        <f>SUMIFS('Awards Summary'!$H:$H,'Awards Summary'!$B:$B,$C124,'Awards Summary'!$J:$J,"GAMING")</f>
        <v>0</v>
      </c>
      <c r="CO124" s="55">
        <f>SUMIFS('Disbursements Summary'!$E:$E,'Disbursements Summary'!$C:$C,$C124,'Disbursements Summary'!$A:$A,"GAMING")</f>
        <v>0</v>
      </c>
      <c r="CP124" s="55">
        <f>SUMIFS('Awards Summary'!$H:$H,'Awards Summary'!$B:$B,$C124,'Awards Summary'!$J:$J,"GOER")</f>
        <v>0</v>
      </c>
      <c r="CQ124" s="55">
        <f>SUMIFS('Disbursements Summary'!$E:$E,'Disbursements Summary'!$C:$C,$C124,'Disbursements Summary'!$A:$A,"GOER")</f>
        <v>0</v>
      </c>
      <c r="CR124" s="55">
        <f>SUMIFS('Awards Summary'!$H:$H,'Awards Summary'!$B:$B,$C124,'Awards Summary'!$J:$J,"HESC")</f>
        <v>0</v>
      </c>
      <c r="CS124" s="55">
        <f>SUMIFS('Disbursements Summary'!$E:$E,'Disbursements Summary'!$C:$C,$C124,'Disbursements Summary'!$A:$A,"HESC")</f>
        <v>0</v>
      </c>
      <c r="CT124" s="55">
        <f>SUMIFS('Awards Summary'!$H:$H,'Awards Summary'!$B:$B,$C124,'Awards Summary'!$J:$J,"GOSR")</f>
        <v>0</v>
      </c>
      <c r="CU124" s="55">
        <f>SUMIFS('Disbursements Summary'!$E:$E,'Disbursements Summary'!$C:$C,$C124,'Disbursements Summary'!$A:$A,"GOSR")</f>
        <v>0</v>
      </c>
      <c r="CV124" s="55">
        <f>SUMIFS('Awards Summary'!$H:$H,'Awards Summary'!$B:$B,$C124,'Awards Summary'!$J:$J,"HRPT")</f>
        <v>0</v>
      </c>
      <c r="CW124" s="55">
        <f>SUMIFS('Disbursements Summary'!$E:$E,'Disbursements Summary'!$C:$C,$C124,'Disbursements Summary'!$A:$A,"HRPT")</f>
        <v>0</v>
      </c>
      <c r="CX124" s="55">
        <f>SUMIFS('Awards Summary'!$H:$H,'Awards Summary'!$B:$B,$C124,'Awards Summary'!$J:$J,"HRBRRD")</f>
        <v>0</v>
      </c>
      <c r="CY124" s="55">
        <f>SUMIFS('Disbursements Summary'!$E:$E,'Disbursements Summary'!$C:$C,$C124,'Disbursements Summary'!$A:$A,"HRBRRD")</f>
        <v>0</v>
      </c>
      <c r="CZ124" s="55">
        <f>SUMIFS('Awards Summary'!$H:$H,'Awards Summary'!$B:$B,$C124,'Awards Summary'!$J:$J,"ITS")</f>
        <v>0</v>
      </c>
      <c r="DA124" s="55">
        <f>SUMIFS('Disbursements Summary'!$E:$E,'Disbursements Summary'!$C:$C,$C124,'Disbursements Summary'!$A:$A,"ITS")</f>
        <v>0</v>
      </c>
      <c r="DB124" s="55">
        <f>SUMIFS('Awards Summary'!$H:$H,'Awards Summary'!$B:$B,$C124,'Awards Summary'!$J:$J,"JAVITS")</f>
        <v>0</v>
      </c>
      <c r="DC124" s="55">
        <f>SUMIFS('Disbursements Summary'!$E:$E,'Disbursements Summary'!$C:$C,$C124,'Disbursements Summary'!$A:$A,"JAVITS")</f>
        <v>0</v>
      </c>
      <c r="DD124" s="55">
        <f>SUMIFS('Awards Summary'!$H:$H,'Awards Summary'!$B:$B,$C124,'Awards Summary'!$J:$J,"JCOPE")</f>
        <v>0</v>
      </c>
      <c r="DE124" s="55">
        <f>SUMIFS('Disbursements Summary'!$E:$E,'Disbursements Summary'!$C:$C,$C124,'Disbursements Summary'!$A:$A,"JCOPE")</f>
        <v>0</v>
      </c>
      <c r="DF124" s="55">
        <f>SUMIFS('Awards Summary'!$H:$H,'Awards Summary'!$B:$B,$C124,'Awards Summary'!$J:$J,"JUSTICE")</f>
        <v>0</v>
      </c>
      <c r="DG124" s="55">
        <f>SUMIFS('Disbursements Summary'!$E:$E,'Disbursements Summary'!$C:$C,$C124,'Disbursements Summary'!$A:$A,"JUSTICE")</f>
        <v>0</v>
      </c>
      <c r="DH124" s="55">
        <f>SUMIFS('Awards Summary'!$H:$H,'Awards Summary'!$B:$B,$C124,'Awards Summary'!$J:$J,"LCWSA")</f>
        <v>0</v>
      </c>
      <c r="DI124" s="55">
        <f>SUMIFS('Disbursements Summary'!$E:$E,'Disbursements Summary'!$C:$C,$C124,'Disbursements Summary'!$A:$A,"LCWSA")</f>
        <v>0</v>
      </c>
      <c r="DJ124" s="55">
        <f>SUMIFS('Awards Summary'!$H:$H,'Awards Summary'!$B:$B,$C124,'Awards Summary'!$J:$J,"LIPA")</f>
        <v>0</v>
      </c>
      <c r="DK124" s="55">
        <f>SUMIFS('Disbursements Summary'!$E:$E,'Disbursements Summary'!$C:$C,$C124,'Disbursements Summary'!$A:$A,"LIPA")</f>
        <v>0</v>
      </c>
      <c r="DL124" s="55">
        <f>SUMIFS('Awards Summary'!$H:$H,'Awards Summary'!$B:$B,$C124,'Awards Summary'!$J:$J,"MTA")</f>
        <v>0</v>
      </c>
      <c r="DM124" s="55">
        <f>SUMIFS('Disbursements Summary'!$E:$E,'Disbursements Summary'!$C:$C,$C124,'Disbursements Summary'!$A:$A,"MTA")</f>
        <v>0</v>
      </c>
      <c r="DN124" s="55">
        <f>SUMIFS('Awards Summary'!$H:$H,'Awards Summary'!$B:$B,$C124,'Awards Summary'!$J:$J,"NIFA")</f>
        <v>0</v>
      </c>
      <c r="DO124" s="55">
        <f>SUMIFS('Disbursements Summary'!$E:$E,'Disbursements Summary'!$C:$C,$C124,'Disbursements Summary'!$A:$A,"NIFA")</f>
        <v>0</v>
      </c>
      <c r="DP124" s="55">
        <f>SUMIFS('Awards Summary'!$H:$H,'Awards Summary'!$B:$B,$C124,'Awards Summary'!$J:$J,"NHCC")</f>
        <v>0</v>
      </c>
      <c r="DQ124" s="55">
        <f>SUMIFS('Disbursements Summary'!$E:$E,'Disbursements Summary'!$C:$C,$C124,'Disbursements Summary'!$A:$A,"NHCC")</f>
        <v>0</v>
      </c>
      <c r="DR124" s="55">
        <f>SUMIFS('Awards Summary'!$H:$H,'Awards Summary'!$B:$B,$C124,'Awards Summary'!$J:$J,"NHT")</f>
        <v>0</v>
      </c>
      <c r="DS124" s="55">
        <f>SUMIFS('Disbursements Summary'!$E:$E,'Disbursements Summary'!$C:$C,$C124,'Disbursements Summary'!$A:$A,"NHT")</f>
        <v>0</v>
      </c>
      <c r="DT124" s="55">
        <f>SUMIFS('Awards Summary'!$H:$H,'Awards Summary'!$B:$B,$C124,'Awards Summary'!$J:$J,"NYPA")</f>
        <v>0</v>
      </c>
      <c r="DU124" s="55">
        <f>SUMIFS('Disbursements Summary'!$E:$E,'Disbursements Summary'!$C:$C,$C124,'Disbursements Summary'!$A:$A,"NYPA")</f>
        <v>0</v>
      </c>
      <c r="DV124" s="55">
        <f>SUMIFS('Awards Summary'!$H:$H,'Awards Summary'!$B:$B,$C124,'Awards Summary'!$J:$J,"NYSBA")</f>
        <v>0</v>
      </c>
      <c r="DW124" s="55">
        <f>SUMIFS('Disbursements Summary'!$E:$E,'Disbursements Summary'!$C:$C,$C124,'Disbursements Summary'!$A:$A,"NYSBA")</f>
        <v>0</v>
      </c>
      <c r="DX124" s="55">
        <f>SUMIFS('Awards Summary'!$H:$H,'Awards Summary'!$B:$B,$C124,'Awards Summary'!$J:$J,"NYSERDA")</f>
        <v>0</v>
      </c>
      <c r="DY124" s="55">
        <f>SUMIFS('Disbursements Summary'!$E:$E,'Disbursements Summary'!$C:$C,$C124,'Disbursements Summary'!$A:$A,"NYSERDA")</f>
        <v>0</v>
      </c>
      <c r="DZ124" s="55">
        <f>SUMIFS('Awards Summary'!$H:$H,'Awards Summary'!$B:$B,$C124,'Awards Summary'!$J:$J,"DHCR")</f>
        <v>0</v>
      </c>
      <c r="EA124" s="55">
        <f>SUMIFS('Disbursements Summary'!$E:$E,'Disbursements Summary'!$C:$C,$C124,'Disbursements Summary'!$A:$A,"DHCR")</f>
        <v>0</v>
      </c>
      <c r="EB124" s="55">
        <f>SUMIFS('Awards Summary'!$H:$H,'Awards Summary'!$B:$B,$C124,'Awards Summary'!$J:$J,"HFA")</f>
        <v>0</v>
      </c>
      <c r="EC124" s="55">
        <f>SUMIFS('Disbursements Summary'!$E:$E,'Disbursements Summary'!$C:$C,$C124,'Disbursements Summary'!$A:$A,"HFA")</f>
        <v>0</v>
      </c>
      <c r="ED124" s="55">
        <f>SUMIFS('Awards Summary'!$H:$H,'Awards Summary'!$B:$B,$C124,'Awards Summary'!$J:$J,"NYSIF")</f>
        <v>0</v>
      </c>
      <c r="EE124" s="55">
        <f>SUMIFS('Disbursements Summary'!$E:$E,'Disbursements Summary'!$C:$C,$C124,'Disbursements Summary'!$A:$A,"NYSIF")</f>
        <v>0</v>
      </c>
      <c r="EF124" s="55">
        <f>SUMIFS('Awards Summary'!$H:$H,'Awards Summary'!$B:$B,$C124,'Awards Summary'!$J:$J,"NYBREDS")</f>
        <v>0</v>
      </c>
      <c r="EG124" s="55">
        <f>SUMIFS('Disbursements Summary'!$E:$E,'Disbursements Summary'!$C:$C,$C124,'Disbursements Summary'!$A:$A,"NYBREDS")</f>
        <v>0</v>
      </c>
      <c r="EH124" s="55">
        <f>SUMIFS('Awards Summary'!$H:$H,'Awards Summary'!$B:$B,$C124,'Awards Summary'!$J:$J,"NYSTA")</f>
        <v>0</v>
      </c>
      <c r="EI124" s="55">
        <f>SUMIFS('Disbursements Summary'!$E:$E,'Disbursements Summary'!$C:$C,$C124,'Disbursements Summary'!$A:$A,"NYSTA")</f>
        <v>0</v>
      </c>
      <c r="EJ124" s="55">
        <f>SUMIFS('Awards Summary'!$H:$H,'Awards Summary'!$B:$B,$C124,'Awards Summary'!$J:$J,"NFWB")</f>
        <v>0</v>
      </c>
      <c r="EK124" s="55">
        <f>SUMIFS('Disbursements Summary'!$E:$E,'Disbursements Summary'!$C:$C,$C124,'Disbursements Summary'!$A:$A,"NFWB")</f>
        <v>0</v>
      </c>
      <c r="EL124" s="55">
        <f>SUMIFS('Awards Summary'!$H:$H,'Awards Summary'!$B:$B,$C124,'Awards Summary'!$J:$J,"NFTA")</f>
        <v>0</v>
      </c>
      <c r="EM124" s="55">
        <f>SUMIFS('Disbursements Summary'!$E:$E,'Disbursements Summary'!$C:$C,$C124,'Disbursements Summary'!$A:$A,"NFTA")</f>
        <v>0</v>
      </c>
      <c r="EN124" s="55">
        <f>SUMIFS('Awards Summary'!$H:$H,'Awards Summary'!$B:$B,$C124,'Awards Summary'!$J:$J,"OPWDD")</f>
        <v>0</v>
      </c>
      <c r="EO124" s="55">
        <f>SUMIFS('Disbursements Summary'!$E:$E,'Disbursements Summary'!$C:$C,$C124,'Disbursements Summary'!$A:$A,"OPWDD")</f>
        <v>0</v>
      </c>
      <c r="EP124" s="55">
        <f>SUMIFS('Awards Summary'!$H:$H,'Awards Summary'!$B:$B,$C124,'Awards Summary'!$J:$J,"AGING")</f>
        <v>0</v>
      </c>
      <c r="EQ124" s="55">
        <f>SUMIFS('Disbursements Summary'!$E:$E,'Disbursements Summary'!$C:$C,$C124,'Disbursements Summary'!$A:$A,"AGING")</f>
        <v>0</v>
      </c>
      <c r="ER124" s="55">
        <f>SUMIFS('Awards Summary'!$H:$H,'Awards Summary'!$B:$B,$C124,'Awards Summary'!$J:$J,"OPDV")</f>
        <v>0</v>
      </c>
      <c r="ES124" s="55">
        <f>SUMIFS('Disbursements Summary'!$E:$E,'Disbursements Summary'!$C:$C,$C124,'Disbursements Summary'!$A:$A,"OPDV")</f>
        <v>0</v>
      </c>
      <c r="ET124" s="55">
        <f>SUMIFS('Awards Summary'!$H:$H,'Awards Summary'!$B:$B,$C124,'Awards Summary'!$J:$J,"OVS")</f>
        <v>0</v>
      </c>
      <c r="EU124" s="55">
        <f>SUMIFS('Disbursements Summary'!$E:$E,'Disbursements Summary'!$C:$C,$C124,'Disbursements Summary'!$A:$A,"OVS")</f>
        <v>0</v>
      </c>
      <c r="EV124" s="55">
        <f>SUMIFS('Awards Summary'!$H:$H,'Awards Summary'!$B:$B,$C124,'Awards Summary'!$J:$J,"OASAS")</f>
        <v>0</v>
      </c>
      <c r="EW124" s="55">
        <f>SUMIFS('Disbursements Summary'!$E:$E,'Disbursements Summary'!$C:$C,$C124,'Disbursements Summary'!$A:$A,"OASAS")</f>
        <v>0</v>
      </c>
      <c r="EX124" s="55">
        <f>SUMIFS('Awards Summary'!$H:$H,'Awards Summary'!$B:$B,$C124,'Awards Summary'!$J:$J,"OCFS")</f>
        <v>0</v>
      </c>
      <c r="EY124" s="55">
        <f>SUMIFS('Disbursements Summary'!$E:$E,'Disbursements Summary'!$C:$C,$C124,'Disbursements Summary'!$A:$A,"OCFS")</f>
        <v>0</v>
      </c>
      <c r="EZ124" s="55">
        <f>SUMIFS('Awards Summary'!$H:$H,'Awards Summary'!$B:$B,$C124,'Awards Summary'!$J:$J,"OGS")</f>
        <v>0</v>
      </c>
      <c r="FA124" s="55">
        <f>SUMIFS('Disbursements Summary'!$E:$E,'Disbursements Summary'!$C:$C,$C124,'Disbursements Summary'!$A:$A,"OGS")</f>
        <v>0</v>
      </c>
      <c r="FB124" s="55">
        <f>SUMIFS('Awards Summary'!$H:$H,'Awards Summary'!$B:$B,$C124,'Awards Summary'!$J:$J,"OMH")</f>
        <v>0</v>
      </c>
      <c r="FC124" s="55">
        <f>SUMIFS('Disbursements Summary'!$E:$E,'Disbursements Summary'!$C:$C,$C124,'Disbursements Summary'!$A:$A,"OMH")</f>
        <v>0</v>
      </c>
      <c r="FD124" s="55">
        <f>SUMIFS('Awards Summary'!$H:$H,'Awards Summary'!$B:$B,$C124,'Awards Summary'!$J:$J,"PARKS")</f>
        <v>0</v>
      </c>
      <c r="FE124" s="55">
        <f>SUMIFS('Disbursements Summary'!$E:$E,'Disbursements Summary'!$C:$C,$C124,'Disbursements Summary'!$A:$A,"PARKS")</f>
        <v>0</v>
      </c>
      <c r="FF124" s="55">
        <f>SUMIFS('Awards Summary'!$H:$H,'Awards Summary'!$B:$B,$C124,'Awards Summary'!$J:$J,"OTDA")</f>
        <v>0</v>
      </c>
      <c r="FG124" s="55">
        <f>SUMIFS('Disbursements Summary'!$E:$E,'Disbursements Summary'!$C:$C,$C124,'Disbursements Summary'!$A:$A,"OTDA")</f>
        <v>0</v>
      </c>
      <c r="FH124" s="55">
        <f>SUMIFS('Awards Summary'!$H:$H,'Awards Summary'!$B:$B,$C124,'Awards Summary'!$J:$J,"OIG")</f>
        <v>0</v>
      </c>
      <c r="FI124" s="55">
        <f>SUMIFS('Disbursements Summary'!$E:$E,'Disbursements Summary'!$C:$C,$C124,'Disbursements Summary'!$A:$A,"OIG")</f>
        <v>0</v>
      </c>
      <c r="FJ124" s="55">
        <f>SUMIFS('Awards Summary'!$H:$H,'Awards Summary'!$B:$B,$C124,'Awards Summary'!$J:$J,"OMIG")</f>
        <v>0</v>
      </c>
      <c r="FK124" s="55">
        <f>SUMIFS('Disbursements Summary'!$E:$E,'Disbursements Summary'!$C:$C,$C124,'Disbursements Summary'!$A:$A,"OMIG")</f>
        <v>0</v>
      </c>
      <c r="FL124" s="55">
        <f>SUMIFS('Awards Summary'!$H:$H,'Awards Summary'!$B:$B,$C124,'Awards Summary'!$J:$J,"OSC")</f>
        <v>0</v>
      </c>
      <c r="FM124" s="55">
        <f>SUMIFS('Disbursements Summary'!$E:$E,'Disbursements Summary'!$C:$C,$C124,'Disbursements Summary'!$A:$A,"OSC")</f>
        <v>0</v>
      </c>
      <c r="FN124" s="55">
        <f>SUMIFS('Awards Summary'!$H:$H,'Awards Summary'!$B:$B,$C124,'Awards Summary'!$J:$J,"OWIG")</f>
        <v>0</v>
      </c>
      <c r="FO124" s="55">
        <f>SUMIFS('Disbursements Summary'!$E:$E,'Disbursements Summary'!$C:$C,$C124,'Disbursements Summary'!$A:$A,"OWIG")</f>
        <v>0</v>
      </c>
      <c r="FP124" s="55">
        <f>SUMIFS('Awards Summary'!$H:$H,'Awards Summary'!$B:$B,$C124,'Awards Summary'!$J:$J,"OGDEN")</f>
        <v>0</v>
      </c>
      <c r="FQ124" s="55">
        <f>SUMIFS('Disbursements Summary'!$E:$E,'Disbursements Summary'!$C:$C,$C124,'Disbursements Summary'!$A:$A,"OGDEN")</f>
        <v>0</v>
      </c>
      <c r="FR124" s="55">
        <f>SUMIFS('Awards Summary'!$H:$H,'Awards Summary'!$B:$B,$C124,'Awards Summary'!$J:$J,"ORDA")</f>
        <v>0</v>
      </c>
      <c r="FS124" s="55">
        <f>SUMIFS('Disbursements Summary'!$E:$E,'Disbursements Summary'!$C:$C,$C124,'Disbursements Summary'!$A:$A,"ORDA")</f>
        <v>0</v>
      </c>
      <c r="FT124" s="55">
        <f>SUMIFS('Awards Summary'!$H:$H,'Awards Summary'!$B:$B,$C124,'Awards Summary'!$J:$J,"OSWEGO")</f>
        <v>0</v>
      </c>
      <c r="FU124" s="55">
        <f>SUMIFS('Disbursements Summary'!$E:$E,'Disbursements Summary'!$C:$C,$C124,'Disbursements Summary'!$A:$A,"OSWEGO")</f>
        <v>0</v>
      </c>
      <c r="FV124" s="55">
        <f>SUMIFS('Awards Summary'!$H:$H,'Awards Summary'!$B:$B,$C124,'Awards Summary'!$J:$J,"PERB")</f>
        <v>0</v>
      </c>
      <c r="FW124" s="55">
        <f>SUMIFS('Disbursements Summary'!$E:$E,'Disbursements Summary'!$C:$C,$C124,'Disbursements Summary'!$A:$A,"PERB")</f>
        <v>0</v>
      </c>
      <c r="FX124" s="55">
        <f>SUMIFS('Awards Summary'!$H:$H,'Awards Summary'!$B:$B,$C124,'Awards Summary'!$J:$J,"RGRTA")</f>
        <v>0</v>
      </c>
      <c r="FY124" s="55">
        <f>SUMIFS('Disbursements Summary'!$E:$E,'Disbursements Summary'!$C:$C,$C124,'Disbursements Summary'!$A:$A,"RGRTA")</f>
        <v>0</v>
      </c>
      <c r="FZ124" s="55">
        <f>SUMIFS('Awards Summary'!$H:$H,'Awards Summary'!$B:$B,$C124,'Awards Summary'!$J:$J,"RIOC")</f>
        <v>0</v>
      </c>
      <c r="GA124" s="55">
        <f>SUMIFS('Disbursements Summary'!$E:$E,'Disbursements Summary'!$C:$C,$C124,'Disbursements Summary'!$A:$A,"RIOC")</f>
        <v>0</v>
      </c>
      <c r="GB124" s="55">
        <f>SUMIFS('Awards Summary'!$H:$H,'Awards Summary'!$B:$B,$C124,'Awards Summary'!$J:$J,"RPCI")</f>
        <v>0</v>
      </c>
      <c r="GC124" s="55">
        <f>SUMIFS('Disbursements Summary'!$E:$E,'Disbursements Summary'!$C:$C,$C124,'Disbursements Summary'!$A:$A,"RPCI")</f>
        <v>0</v>
      </c>
      <c r="GD124" s="55">
        <f>SUMIFS('Awards Summary'!$H:$H,'Awards Summary'!$B:$B,$C124,'Awards Summary'!$J:$J,"SMDA")</f>
        <v>0</v>
      </c>
      <c r="GE124" s="55">
        <f>SUMIFS('Disbursements Summary'!$E:$E,'Disbursements Summary'!$C:$C,$C124,'Disbursements Summary'!$A:$A,"SMDA")</f>
        <v>0</v>
      </c>
      <c r="GF124" s="55">
        <f>SUMIFS('Awards Summary'!$H:$H,'Awards Summary'!$B:$B,$C124,'Awards Summary'!$J:$J,"SCOC")</f>
        <v>0</v>
      </c>
      <c r="GG124" s="55">
        <f>SUMIFS('Disbursements Summary'!$E:$E,'Disbursements Summary'!$C:$C,$C124,'Disbursements Summary'!$A:$A,"SCOC")</f>
        <v>0</v>
      </c>
      <c r="GH124" s="55">
        <f>SUMIFS('Awards Summary'!$H:$H,'Awards Summary'!$B:$B,$C124,'Awards Summary'!$J:$J,"SUCF")</f>
        <v>0</v>
      </c>
      <c r="GI124" s="55">
        <f>SUMIFS('Disbursements Summary'!$E:$E,'Disbursements Summary'!$C:$C,$C124,'Disbursements Summary'!$A:$A,"SUCF")</f>
        <v>0</v>
      </c>
      <c r="GJ124" s="55">
        <f>SUMIFS('Awards Summary'!$H:$H,'Awards Summary'!$B:$B,$C124,'Awards Summary'!$J:$J,"SUNY")</f>
        <v>0</v>
      </c>
      <c r="GK124" s="55">
        <f>SUMIFS('Disbursements Summary'!$E:$E,'Disbursements Summary'!$C:$C,$C124,'Disbursements Summary'!$A:$A,"SUNY")</f>
        <v>0</v>
      </c>
      <c r="GL124" s="55">
        <f>SUMIFS('Awards Summary'!$H:$H,'Awards Summary'!$B:$B,$C124,'Awards Summary'!$J:$J,"SRAA")</f>
        <v>0</v>
      </c>
      <c r="GM124" s="55">
        <f>SUMIFS('Disbursements Summary'!$E:$E,'Disbursements Summary'!$C:$C,$C124,'Disbursements Summary'!$A:$A,"SRAA")</f>
        <v>0</v>
      </c>
      <c r="GN124" s="55">
        <f>SUMIFS('Awards Summary'!$H:$H,'Awards Summary'!$B:$B,$C124,'Awards Summary'!$J:$J,"UNDC")</f>
        <v>0</v>
      </c>
      <c r="GO124" s="55">
        <f>SUMIFS('Disbursements Summary'!$E:$E,'Disbursements Summary'!$C:$C,$C124,'Disbursements Summary'!$A:$A,"UNDC")</f>
        <v>0</v>
      </c>
      <c r="GP124" s="55">
        <f>SUMIFS('Awards Summary'!$H:$H,'Awards Summary'!$B:$B,$C124,'Awards Summary'!$J:$J,"MVWA")</f>
        <v>0</v>
      </c>
      <c r="GQ124" s="55">
        <f>SUMIFS('Disbursements Summary'!$E:$E,'Disbursements Summary'!$C:$C,$C124,'Disbursements Summary'!$A:$A,"MVWA")</f>
        <v>0</v>
      </c>
      <c r="GR124" s="55">
        <f>SUMIFS('Awards Summary'!$H:$H,'Awards Summary'!$B:$B,$C124,'Awards Summary'!$J:$J,"WMC")</f>
        <v>0</v>
      </c>
      <c r="GS124" s="55">
        <f>SUMIFS('Disbursements Summary'!$E:$E,'Disbursements Summary'!$C:$C,$C124,'Disbursements Summary'!$A:$A,"WMC")</f>
        <v>0</v>
      </c>
      <c r="GT124" s="55">
        <f>SUMIFS('Awards Summary'!$H:$H,'Awards Summary'!$B:$B,$C124,'Awards Summary'!$J:$J,"WCB")</f>
        <v>0</v>
      </c>
      <c r="GU124" s="55">
        <f>SUMIFS('Disbursements Summary'!$E:$E,'Disbursements Summary'!$C:$C,$C124,'Disbursements Summary'!$A:$A,"WCB")</f>
        <v>0</v>
      </c>
      <c r="GV124" s="32">
        <f t="shared" si="10"/>
        <v>0</v>
      </c>
      <c r="GW124" s="32">
        <f t="shared" si="11"/>
        <v>0</v>
      </c>
      <c r="GX124" s="30" t="b">
        <f t="shared" si="12"/>
        <v>1</v>
      </c>
      <c r="GY124" s="30" t="b">
        <f t="shared" si="13"/>
        <v>1</v>
      </c>
    </row>
    <row r="125" spans="1:207" s="30" customFormat="1">
      <c r="A125" s="22" t="str">
        <f t="shared" si="9"/>
        <v/>
      </c>
      <c r="B125" s="20" t="s">
        <v>239</v>
      </c>
      <c r="C125" s="16">
        <v>161312</v>
      </c>
      <c r="D125" s="26">
        <f>COUNTIF('Awards Summary'!B:B,"161312")</f>
        <v>0</v>
      </c>
      <c r="E125" s="45">
        <f>SUMIFS('Awards Summary'!H:H,'Awards Summary'!B:B,"161312")</f>
        <v>0</v>
      </c>
      <c r="F125" s="46">
        <f>SUMIFS('Disbursements Summary'!E:E,'Disbursements Summary'!C:C, "161312")</f>
        <v>0</v>
      </c>
      <c r="H125" s="55">
        <f>SUMIFS('Awards Summary'!$H:$H,'Awards Summary'!$B:$B,$C125,'Awards Summary'!$J:$J,"APA")</f>
        <v>0</v>
      </c>
      <c r="I125" s="55">
        <f>SUMIFS('Disbursements Summary'!$E:$E,'Disbursements Summary'!$C:$C,$C125,'Disbursements Summary'!$A:$A,"APA")</f>
        <v>0</v>
      </c>
      <c r="J125" s="55">
        <f>SUMIFS('Awards Summary'!$H:$H,'Awards Summary'!$B:$B,$C125,'Awards Summary'!$J:$J,"Ag&amp;Horse")</f>
        <v>0</v>
      </c>
      <c r="K125" s="55">
        <f>SUMIFS('Disbursements Summary'!$E:$E,'Disbursements Summary'!$C:$C,$C125,'Disbursements Summary'!$A:$A,"Ag&amp;Horse")</f>
        <v>0</v>
      </c>
      <c r="L125" s="55">
        <f>SUMIFS('Awards Summary'!$H:$H,'Awards Summary'!$B:$B,$C125,'Awards Summary'!$J:$J,"ACAA")</f>
        <v>0</v>
      </c>
      <c r="M125" s="55">
        <f>SUMIFS('Disbursements Summary'!$E:$E,'Disbursements Summary'!$C:$C,$C125,'Disbursements Summary'!$A:$A,"ACAA")</f>
        <v>0</v>
      </c>
      <c r="N125" s="55">
        <f>SUMIFS('Awards Summary'!$H:$H,'Awards Summary'!$B:$B,$C125,'Awards Summary'!$J:$J,"PortAlbany")</f>
        <v>0</v>
      </c>
      <c r="O125" s="55">
        <f>SUMIFS('Disbursements Summary'!$E:$E,'Disbursements Summary'!$C:$C,$C125,'Disbursements Summary'!$A:$A,"PortAlbany")</f>
        <v>0</v>
      </c>
      <c r="P125" s="55">
        <f>SUMIFS('Awards Summary'!$H:$H,'Awards Summary'!$B:$B,$C125,'Awards Summary'!$J:$J,"SLA")</f>
        <v>0</v>
      </c>
      <c r="Q125" s="55">
        <f>SUMIFS('Disbursements Summary'!$E:$E,'Disbursements Summary'!$C:$C,$C125,'Disbursements Summary'!$A:$A,"SLA")</f>
        <v>0</v>
      </c>
      <c r="R125" s="55">
        <f>SUMIFS('Awards Summary'!$H:$H,'Awards Summary'!$B:$B,$C125,'Awards Summary'!$J:$J,"BPCA")</f>
        <v>0</v>
      </c>
      <c r="S125" s="55">
        <f>SUMIFS('Disbursements Summary'!$E:$E,'Disbursements Summary'!$C:$C,$C125,'Disbursements Summary'!$A:$A,"BPCA")</f>
        <v>0</v>
      </c>
      <c r="T125" s="55">
        <f>SUMIFS('Awards Summary'!$H:$H,'Awards Summary'!$B:$B,$C125,'Awards Summary'!$J:$J,"ELECTIONS")</f>
        <v>0</v>
      </c>
      <c r="U125" s="55">
        <f>SUMIFS('Disbursements Summary'!$E:$E,'Disbursements Summary'!$C:$C,$C125,'Disbursements Summary'!$A:$A,"ELECTIONS")</f>
        <v>0</v>
      </c>
      <c r="V125" s="55">
        <f>SUMIFS('Awards Summary'!$H:$H,'Awards Summary'!$B:$B,$C125,'Awards Summary'!$J:$J,"BFSA")</f>
        <v>0</v>
      </c>
      <c r="W125" s="55">
        <f>SUMIFS('Disbursements Summary'!$E:$E,'Disbursements Summary'!$C:$C,$C125,'Disbursements Summary'!$A:$A,"BFSA")</f>
        <v>0</v>
      </c>
      <c r="X125" s="55">
        <f>SUMIFS('Awards Summary'!$H:$H,'Awards Summary'!$B:$B,$C125,'Awards Summary'!$J:$J,"CDTA")</f>
        <v>0</v>
      </c>
      <c r="Y125" s="55">
        <f>SUMIFS('Disbursements Summary'!$E:$E,'Disbursements Summary'!$C:$C,$C125,'Disbursements Summary'!$A:$A,"CDTA")</f>
        <v>0</v>
      </c>
      <c r="Z125" s="55">
        <f>SUMIFS('Awards Summary'!$H:$H,'Awards Summary'!$B:$B,$C125,'Awards Summary'!$J:$J,"CCWSA")</f>
        <v>0</v>
      </c>
      <c r="AA125" s="55">
        <f>SUMIFS('Disbursements Summary'!$E:$E,'Disbursements Summary'!$C:$C,$C125,'Disbursements Summary'!$A:$A,"CCWSA")</f>
        <v>0</v>
      </c>
      <c r="AB125" s="55">
        <f>SUMIFS('Awards Summary'!$H:$H,'Awards Summary'!$B:$B,$C125,'Awards Summary'!$J:$J,"CNYRTA")</f>
        <v>0</v>
      </c>
      <c r="AC125" s="55">
        <f>SUMIFS('Disbursements Summary'!$E:$E,'Disbursements Summary'!$C:$C,$C125,'Disbursements Summary'!$A:$A,"CNYRTA")</f>
        <v>0</v>
      </c>
      <c r="AD125" s="55">
        <f>SUMIFS('Awards Summary'!$H:$H,'Awards Summary'!$B:$B,$C125,'Awards Summary'!$J:$J,"CUCF")</f>
        <v>0</v>
      </c>
      <c r="AE125" s="55">
        <f>SUMIFS('Disbursements Summary'!$E:$E,'Disbursements Summary'!$C:$C,$C125,'Disbursements Summary'!$A:$A,"CUCF")</f>
        <v>0</v>
      </c>
      <c r="AF125" s="55">
        <f>SUMIFS('Awards Summary'!$H:$H,'Awards Summary'!$B:$B,$C125,'Awards Summary'!$J:$J,"CUNY")</f>
        <v>0</v>
      </c>
      <c r="AG125" s="55">
        <f>SUMIFS('Disbursements Summary'!$E:$E,'Disbursements Summary'!$C:$C,$C125,'Disbursements Summary'!$A:$A,"CUNY")</f>
        <v>0</v>
      </c>
      <c r="AH125" s="55">
        <f>SUMIFS('Awards Summary'!$H:$H,'Awards Summary'!$B:$B,$C125,'Awards Summary'!$J:$J,"ARTS")</f>
        <v>0</v>
      </c>
      <c r="AI125" s="55">
        <f>SUMIFS('Disbursements Summary'!$E:$E,'Disbursements Summary'!$C:$C,$C125,'Disbursements Summary'!$A:$A,"ARTS")</f>
        <v>0</v>
      </c>
      <c r="AJ125" s="55">
        <f>SUMIFS('Awards Summary'!$H:$H,'Awards Summary'!$B:$B,$C125,'Awards Summary'!$J:$J,"AG&amp;MKTS")</f>
        <v>0</v>
      </c>
      <c r="AK125" s="55">
        <f>SUMIFS('Disbursements Summary'!$E:$E,'Disbursements Summary'!$C:$C,$C125,'Disbursements Summary'!$A:$A,"AG&amp;MKTS")</f>
        <v>0</v>
      </c>
      <c r="AL125" s="55">
        <f>SUMIFS('Awards Summary'!$H:$H,'Awards Summary'!$B:$B,$C125,'Awards Summary'!$J:$J,"CS")</f>
        <v>0</v>
      </c>
      <c r="AM125" s="55">
        <f>SUMIFS('Disbursements Summary'!$E:$E,'Disbursements Summary'!$C:$C,$C125,'Disbursements Summary'!$A:$A,"CS")</f>
        <v>0</v>
      </c>
      <c r="AN125" s="55">
        <f>SUMIFS('Awards Summary'!$H:$H,'Awards Summary'!$B:$B,$C125,'Awards Summary'!$J:$J,"DOCCS")</f>
        <v>0</v>
      </c>
      <c r="AO125" s="55">
        <f>SUMIFS('Disbursements Summary'!$E:$E,'Disbursements Summary'!$C:$C,$C125,'Disbursements Summary'!$A:$A,"DOCCS")</f>
        <v>0</v>
      </c>
      <c r="AP125" s="55">
        <f>SUMIFS('Awards Summary'!$H:$H,'Awards Summary'!$B:$B,$C125,'Awards Summary'!$J:$J,"DED")</f>
        <v>0</v>
      </c>
      <c r="AQ125" s="55">
        <f>SUMIFS('Disbursements Summary'!$E:$E,'Disbursements Summary'!$C:$C,$C125,'Disbursements Summary'!$A:$A,"DED")</f>
        <v>0</v>
      </c>
      <c r="AR125" s="55">
        <f>SUMIFS('Awards Summary'!$H:$H,'Awards Summary'!$B:$B,$C125,'Awards Summary'!$J:$J,"DEC")</f>
        <v>0</v>
      </c>
      <c r="AS125" s="55">
        <f>SUMIFS('Disbursements Summary'!$E:$E,'Disbursements Summary'!$C:$C,$C125,'Disbursements Summary'!$A:$A,"DEC")</f>
        <v>0</v>
      </c>
      <c r="AT125" s="55">
        <f>SUMIFS('Awards Summary'!$H:$H,'Awards Summary'!$B:$B,$C125,'Awards Summary'!$J:$J,"DFS")</f>
        <v>0</v>
      </c>
      <c r="AU125" s="55">
        <f>SUMIFS('Disbursements Summary'!$E:$E,'Disbursements Summary'!$C:$C,$C125,'Disbursements Summary'!$A:$A,"DFS")</f>
        <v>0</v>
      </c>
      <c r="AV125" s="55">
        <f>SUMIFS('Awards Summary'!$H:$H,'Awards Summary'!$B:$B,$C125,'Awards Summary'!$J:$J,"DOH")</f>
        <v>0</v>
      </c>
      <c r="AW125" s="55">
        <f>SUMIFS('Disbursements Summary'!$E:$E,'Disbursements Summary'!$C:$C,$C125,'Disbursements Summary'!$A:$A,"DOH")</f>
        <v>0</v>
      </c>
      <c r="AX125" s="55">
        <f>SUMIFS('Awards Summary'!$H:$H,'Awards Summary'!$B:$B,$C125,'Awards Summary'!$J:$J,"DOL")</f>
        <v>0</v>
      </c>
      <c r="AY125" s="55">
        <f>SUMIFS('Disbursements Summary'!$E:$E,'Disbursements Summary'!$C:$C,$C125,'Disbursements Summary'!$A:$A,"DOL")</f>
        <v>0</v>
      </c>
      <c r="AZ125" s="55">
        <f>SUMIFS('Awards Summary'!$H:$H,'Awards Summary'!$B:$B,$C125,'Awards Summary'!$J:$J,"DMV")</f>
        <v>0</v>
      </c>
      <c r="BA125" s="55">
        <f>SUMIFS('Disbursements Summary'!$E:$E,'Disbursements Summary'!$C:$C,$C125,'Disbursements Summary'!$A:$A,"DMV")</f>
        <v>0</v>
      </c>
      <c r="BB125" s="55">
        <f>SUMIFS('Awards Summary'!$H:$H,'Awards Summary'!$B:$B,$C125,'Awards Summary'!$J:$J,"DPS")</f>
        <v>0</v>
      </c>
      <c r="BC125" s="55">
        <f>SUMIFS('Disbursements Summary'!$E:$E,'Disbursements Summary'!$C:$C,$C125,'Disbursements Summary'!$A:$A,"DPS")</f>
        <v>0</v>
      </c>
      <c r="BD125" s="55">
        <f>SUMIFS('Awards Summary'!$H:$H,'Awards Summary'!$B:$B,$C125,'Awards Summary'!$J:$J,"DOS")</f>
        <v>0</v>
      </c>
      <c r="BE125" s="55">
        <f>SUMIFS('Disbursements Summary'!$E:$E,'Disbursements Summary'!$C:$C,$C125,'Disbursements Summary'!$A:$A,"DOS")</f>
        <v>0</v>
      </c>
      <c r="BF125" s="55">
        <f>SUMIFS('Awards Summary'!$H:$H,'Awards Summary'!$B:$B,$C125,'Awards Summary'!$J:$J,"TAX")</f>
        <v>0</v>
      </c>
      <c r="BG125" s="55">
        <f>SUMIFS('Disbursements Summary'!$E:$E,'Disbursements Summary'!$C:$C,$C125,'Disbursements Summary'!$A:$A,"TAX")</f>
        <v>0</v>
      </c>
      <c r="BH125" s="55">
        <f>SUMIFS('Awards Summary'!$H:$H,'Awards Summary'!$B:$B,$C125,'Awards Summary'!$J:$J,"DOT")</f>
        <v>0</v>
      </c>
      <c r="BI125" s="55">
        <f>SUMIFS('Disbursements Summary'!$E:$E,'Disbursements Summary'!$C:$C,$C125,'Disbursements Summary'!$A:$A,"DOT")</f>
        <v>0</v>
      </c>
      <c r="BJ125" s="55">
        <f>SUMIFS('Awards Summary'!$H:$H,'Awards Summary'!$B:$B,$C125,'Awards Summary'!$J:$J,"DANC")</f>
        <v>0</v>
      </c>
      <c r="BK125" s="55">
        <f>SUMIFS('Disbursements Summary'!$E:$E,'Disbursements Summary'!$C:$C,$C125,'Disbursements Summary'!$A:$A,"DANC")</f>
        <v>0</v>
      </c>
      <c r="BL125" s="55">
        <f>SUMIFS('Awards Summary'!$H:$H,'Awards Summary'!$B:$B,$C125,'Awards Summary'!$J:$J,"DOB")</f>
        <v>0</v>
      </c>
      <c r="BM125" s="55">
        <f>SUMIFS('Disbursements Summary'!$E:$E,'Disbursements Summary'!$C:$C,$C125,'Disbursements Summary'!$A:$A,"DOB")</f>
        <v>0</v>
      </c>
      <c r="BN125" s="55">
        <f>SUMIFS('Awards Summary'!$H:$H,'Awards Summary'!$B:$B,$C125,'Awards Summary'!$J:$J,"DCJS")</f>
        <v>0</v>
      </c>
      <c r="BO125" s="55">
        <f>SUMIFS('Disbursements Summary'!$E:$E,'Disbursements Summary'!$C:$C,$C125,'Disbursements Summary'!$A:$A,"DCJS")</f>
        <v>0</v>
      </c>
      <c r="BP125" s="55">
        <f>SUMIFS('Awards Summary'!$H:$H,'Awards Summary'!$B:$B,$C125,'Awards Summary'!$J:$J,"DHSES")</f>
        <v>0</v>
      </c>
      <c r="BQ125" s="55">
        <f>SUMIFS('Disbursements Summary'!$E:$E,'Disbursements Summary'!$C:$C,$C125,'Disbursements Summary'!$A:$A,"DHSES")</f>
        <v>0</v>
      </c>
      <c r="BR125" s="55">
        <f>SUMIFS('Awards Summary'!$H:$H,'Awards Summary'!$B:$B,$C125,'Awards Summary'!$J:$J,"DHR")</f>
        <v>0</v>
      </c>
      <c r="BS125" s="55">
        <f>SUMIFS('Disbursements Summary'!$E:$E,'Disbursements Summary'!$C:$C,$C125,'Disbursements Summary'!$A:$A,"DHR")</f>
        <v>0</v>
      </c>
      <c r="BT125" s="55">
        <f>SUMIFS('Awards Summary'!$H:$H,'Awards Summary'!$B:$B,$C125,'Awards Summary'!$J:$J,"DMNA")</f>
        <v>0</v>
      </c>
      <c r="BU125" s="55">
        <f>SUMIFS('Disbursements Summary'!$E:$E,'Disbursements Summary'!$C:$C,$C125,'Disbursements Summary'!$A:$A,"DMNA")</f>
        <v>0</v>
      </c>
      <c r="BV125" s="55">
        <f>SUMIFS('Awards Summary'!$H:$H,'Awards Summary'!$B:$B,$C125,'Awards Summary'!$J:$J,"TROOPERS")</f>
        <v>0</v>
      </c>
      <c r="BW125" s="55">
        <f>SUMIFS('Disbursements Summary'!$E:$E,'Disbursements Summary'!$C:$C,$C125,'Disbursements Summary'!$A:$A,"TROOPERS")</f>
        <v>0</v>
      </c>
      <c r="BX125" s="55">
        <f>SUMIFS('Awards Summary'!$H:$H,'Awards Summary'!$B:$B,$C125,'Awards Summary'!$J:$J,"DVA")</f>
        <v>0</v>
      </c>
      <c r="BY125" s="55">
        <f>SUMIFS('Disbursements Summary'!$E:$E,'Disbursements Summary'!$C:$C,$C125,'Disbursements Summary'!$A:$A,"DVA")</f>
        <v>0</v>
      </c>
      <c r="BZ125" s="55">
        <f>SUMIFS('Awards Summary'!$H:$H,'Awards Summary'!$B:$B,$C125,'Awards Summary'!$J:$J,"DASNY")</f>
        <v>0</v>
      </c>
      <c r="CA125" s="55">
        <f>SUMIFS('Disbursements Summary'!$E:$E,'Disbursements Summary'!$C:$C,$C125,'Disbursements Summary'!$A:$A,"DASNY")</f>
        <v>0</v>
      </c>
      <c r="CB125" s="55">
        <f>SUMIFS('Awards Summary'!$H:$H,'Awards Summary'!$B:$B,$C125,'Awards Summary'!$J:$J,"EGG")</f>
        <v>0</v>
      </c>
      <c r="CC125" s="55">
        <f>SUMIFS('Disbursements Summary'!$E:$E,'Disbursements Summary'!$C:$C,$C125,'Disbursements Summary'!$A:$A,"EGG")</f>
        <v>0</v>
      </c>
      <c r="CD125" s="55">
        <f>SUMIFS('Awards Summary'!$H:$H,'Awards Summary'!$B:$B,$C125,'Awards Summary'!$J:$J,"ESD")</f>
        <v>0</v>
      </c>
      <c r="CE125" s="55">
        <f>SUMIFS('Disbursements Summary'!$E:$E,'Disbursements Summary'!$C:$C,$C125,'Disbursements Summary'!$A:$A,"ESD")</f>
        <v>0</v>
      </c>
      <c r="CF125" s="55">
        <f>SUMIFS('Awards Summary'!$H:$H,'Awards Summary'!$B:$B,$C125,'Awards Summary'!$J:$J,"EFC")</f>
        <v>0</v>
      </c>
      <c r="CG125" s="55">
        <f>SUMIFS('Disbursements Summary'!$E:$E,'Disbursements Summary'!$C:$C,$C125,'Disbursements Summary'!$A:$A,"EFC")</f>
        <v>0</v>
      </c>
      <c r="CH125" s="55">
        <f>SUMIFS('Awards Summary'!$H:$H,'Awards Summary'!$B:$B,$C125,'Awards Summary'!$J:$J,"ECFSA")</f>
        <v>0</v>
      </c>
      <c r="CI125" s="55">
        <f>SUMIFS('Disbursements Summary'!$E:$E,'Disbursements Summary'!$C:$C,$C125,'Disbursements Summary'!$A:$A,"ECFSA")</f>
        <v>0</v>
      </c>
      <c r="CJ125" s="55">
        <f>SUMIFS('Awards Summary'!$H:$H,'Awards Summary'!$B:$B,$C125,'Awards Summary'!$J:$J,"ECMC")</f>
        <v>0</v>
      </c>
      <c r="CK125" s="55">
        <f>SUMIFS('Disbursements Summary'!$E:$E,'Disbursements Summary'!$C:$C,$C125,'Disbursements Summary'!$A:$A,"ECMC")</f>
        <v>0</v>
      </c>
      <c r="CL125" s="55">
        <f>SUMIFS('Awards Summary'!$H:$H,'Awards Summary'!$B:$B,$C125,'Awards Summary'!$J:$J,"CHAMBER")</f>
        <v>0</v>
      </c>
      <c r="CM125" s="55">
        <f>SUMIFS('Disbursements Summary'!$E:$E,'Disbursements Summary'!$C:$C,$C125,'Disbursements Summary'!$A:$A,"CHAMBER")</f>
        <v>0</v>
      </c>
      <c r="CN125" s="55">
        <f>SUMIFS('Awards Summary'!$H:$H,'Awards Summary'!$B:$B,$C125,'Awards Summary'!$J:$J,"GAMING")</f>
        <v>0</v>
      </c>
      <c r="CO125" s="55">
        <f>SUMIFS('Disbursements Summary'!$E:$E,'Disbursements Summary'!$C:$C,$C125,'Disbursements Summary'!$A:$A,"GAMING")</f>
        <v>0</v>
      </c>
      <c r="CP125" s="55">
        <f>SUMIFS('Awards Summary'!$H:$H,'Awards Summary'!$B:$B,$C125,'Awards Summary'!$J:$J,"GOER")</f>
        <v>0</v>
      </c>
      <c r="CQ125" s="55">
        <f>SUMIFS('Disbursements Summary'!$E:$E,'Disbursements Summary'!$C:$C,$C125,'Disbursements Summary'!$A:$A,"GOER")</f>
        <v>0</v>
      </c>
      <c r="CR125" s="55">
        <f>SUMIFS('Awards Summary'!$H:$H,'Awards Summary'!$B:$B,$C125,'Awards Summary'!$J:$J,"HESC")</f>
        <v>0</v>
      </c>
      <c r="CS125" s="55">
        <f>SUMIFS('Disbursements Summary'!$E:$E,'Disbursements Summary'!$C:$C,$C125,'Disbursements Summary'!$A:$A,"HESC")</f>
        <v>0</v>
      </c>
      <c r="CT125" s="55">
        <f>SUMIFS('Awards Summary'!$H:$H,'Awards Summary'!$B:$B,$C125,'Awards Summary'!$J:$J,"GOSR")</f>
        <v>0</v>
      </c>
      <c r="CU125" s="55">
        <f>SUMIFS('Disbursements Summary'!$E:$E,'Disbursements Summary'!$C:$C,$C125,'Disbursements Summary'!$A:$A,"GOSR")</f>
        <v>0</v>
      </c>
      <c r="CV125" s="55">
        <f>SUMIFS('Awards Summary'!$H:$H,'Awards Summary'!$B:$B,$C125,'Awards Summary'!$J:$J,"HRPT")</f>
        <v>0</v>
      </c>
      <c r="CW125" s="55">
        <f>SUMIFS('Disbursements Summary'!$E:$E,'Disbursements Summary'!$C:$C,$C125,'Disbursements Summary'!$A:$A,"HRPT")</f>
        <v>0</v>
      </c>
      <c r="CX125" s="55">
        <f>SUMIFS('Awards Summary'!$H:$H,'Awards Summary'!$B:$B,$C125,'Awards Summary'!$J:$J,"HRBRRD")</f>
        <v>0</v>
      </c>
      <c r="CY125" s="55">
        <f>SUMIFS('Disbursements Summary'!$E:$E,'Disbursements Summary'!$C:$C,$C125,'Disbursements Summary'!$A:$A,"HRBRRD")</f>
        <v>0</v>
      </c>
      <c r="CZ125" s="55">
        <f>SUMIFS('Awards Summary'!$H:$H,'Awards Summary'!$B:$B,$C125,'Awards Summary'!$J:$J,"ITS")</f>
        <v>0</v>
      </c>
      <c r="DA125" s="55">
        <f>SUMIFS('Disbursements Summary'!$E:$E,'Disbursements Summary'!$C:$C,$C125,'Disbursements Summary'!$A:$A,"ITS")</f>
        <v>0</v>
      </c>
      <c r="DB125" s="55">
        <f>SUMIFS('Awards Summary'!$H:$H,'Awards Summary'!$B:$B,$C125,'Awards Summary'!$J:$J,"JAVITS")</f>
        <v>0</v>
      </c>
      <c r="DC125" s="55">
        <f>SUMIFS('Disbursements Summary'!$E:$E,'Disbursements Summary'!$C:$C,$C125,'Disbursements Summary'!$A:$A,"JAVITS")</f>
        <v>0</v>
      </c>
      <c r="DD125" s="55">
        <f>SUMIFS('Awards Summary'!$H:$H,'Awards Summary'!$B:$B,$C125,'Awards Summary'!$J:$J,"JCOPE")</f>
        <v>0</v>
      </c>
      <c r="DE125" s="55">
        <f>SUMIFS('Disbursements Summary'!$E:$E,'Disbursements Summary'!$C:$C,$C125,'Disbursements Summary'!$A:$A,"JCOPE")</f>
        <v>0</v>
      </c>
      <c r="DF125" s="55">
        <f>SUMIFS('Awards Summary'!$H:$H,'Awards Summary'!$B:$B,$C125,'Awards Summary'!$J:$J,"JUSTICE")</f>
        <v>0</v>
      </c>
      <c r="DG125" s="55">
        <f>SUMIFS('Disbursements Summary'!$E:$E,'Disbursements Summary'!$C:$C,$C125,'Disbursements Summary'!$A:$A,"JUSTICE")</f>
        <v>0</v>
      </c>
      <c r="DH125" s="55">
        <f>SUMIFS('Awards Summary'!$H:$H,'Awards Summary'!$B:$B,$C125,'Awards Summary'!$J:$J,"LCWSA")</f>
        <v>0</v>
      </c>
      <c r="DI125" s="55">
        <f>SUMIFS('Disbursements Summary'!$E:$E,'Disbursements Summary'!$C:$C,$C125,'Disbursements Summary'!$A:$A,"LCWSA")</f>
        <v>0</v>
      </c>
      <c r="DJ125" s="55">
        <f>SUMIFS('Awards Summary'!$H:$H,'Awards Summary'!$B:$B,$C125,'Awards Summary'!$J:$J,"LIPA")</f>
        <v>0</v>
      </c>
      <c r="DK125" s="55">
        <f>SUMIFS('Disbursements Summary'!$E:$E,'Disbursements Summary'!$C:$C,$C125,'Disbursements Summary'!$A:$A,"LIPA")</f>
        <v>0</v>
      </c>
      <c r="DL125" s="55">
        <f>SUMIFS('Awards Summary'!$H:$H,'Awards Summary'!$B:$B,$C125,'Awards Summary'!$J:$J,"MTA")</f>
        <v>0</v>
      </c>
      <c r="DM125" s="55">
        <f>SUMIFS('Disbursements Summary'!$E:$E,'Disbursements Summary'!$C:$C,$C125,'Disbursements Summary'!$A:$A,"MTA")</f>
        <v>0</v>
      </c>
      <c r="DN125" s="55">
        <f>SUMIFS('Awards Summary'!$H:$H,'Awards Summary'!$B:$B,$C125,'Awards Summary'!$J:$J,"NIFA")</f>
        <v>0</v>
      </c>
      <c r="DO125" s="55">
        <f>SUMIFS('Disbursements Summary'!$E:$E,'Disbursements Summary'!$C:$C,$C125,'Disbursements Summary'!$A:$A,"NIFA")</f>
        <v>0</v>
      </c>
      <c r="DP125" s="55">
        <f>SUMIFS('Awards Summary'!$H:$H,'Awards Summary'!$B:$B,$C125,'Awards Summary'!$J:$J,"NHCC")</f>
        <v>0</v>
      </c>
      <c r="DQ125" s="55">
        <f>SUMIFS('Disbursements Summary'!$E:$E,'Disbursements Summary'!$C:$C,$C125,'Disbursements Summary'!$A:$A,"NHCC")</f>
        <v>0</v>
      </c>
      <c r="DR125" s="55">
        <f>SUMIFS('Awards Summary'!$H:$H,'Awards Summary'!$B:$B,$C125,'Awards Summary'!$J:$J,"NHT")</f>
        <v>0</v>
      </c>
      <c r="DS125" s="55">
        <f>SUMIFS('Disbursements Summary'!$E:$E,'Disbursements Summary'!$C:$C,$C125,'Disbursements Summary'!$A:$A,"NHT")</f>
        <v>0</v>
      </c>
      <c r="DT125" s="55">
        <f>SUMIFS('Awards Summary'!$H:$H,'Awards Summary'!$B:$B,$C125,'Awards Summary'!$J:$J,"NYPA")</f>
        <v>0</v>
      </c>
      <c r="DU125" s="55">
        <f>SUMIFS('Disbursements Summary'!$E:$E,'Disbursements Summary'!$C:$C,$C125,'Disbursements Summary'!$A:$A,"NYPA")</f>
        <v>0</v>
      </c>
      <c r="DV125" s="55">
        <f>SUMIFS('Awards Summary'!$H:$H,'Awards Summary'!$B:$B,$C125,'Awards Summary'!$J:$J,"NYSBA")</f>
        <v>0</v>
      </c>
      <c r="DW125" s="55">
        <f>SUMIFS('Disbursements Summary'!$E:$E,'Disbursements Summary'!$C:$C,$C125,'Disbursements Summary'!$A:$A,"NYSBA")</f>
        <v>0</v>
      </c>
      <c r="DX125" s="55">
        <f>SUMIFS('Awards Summary'!$H:$H,'Awards Summary'!$B:$B,$C125,'Awards Summary'!$J:$J,"NYSERDA")</f>
        <v>0</v>
      </c>
      <c r="DY125" s="55">
        <f>SUMIFS('Disbursements Summary'!$E:$E,'Disbursements Summary'!$C:$C,$C125,'Disbursements Summary'!$A:$A,"NYSERDA")</f>
        <v>0</v>
      </c>
      <c r="DZ125" s="55">
        <f>SUMIFS('Awards Summary'!$H:$H,'Awards Summary'!$B:$B,$C125,'Awards Summary'!$J:$J,"DHCR")</f>
        <v>0</v>
      </c>
      <c r="EA125" s="55">
        <f>SUMIFS('Disbursements Summary'!$E:$E,'Disbursements Summary'!$C:$C,$C125,'Disbursements Summary'!$A:$A,"DHCR")</f>
        <v>0</v>
      </c>
      <c r="EB125" s="55">
        <f>SUMIFS('Awards Summary'!$H:$H,'Awards Summary'!$B:$B,$C125,'Awards Summary'!$J:$J,"HFA")</f>
        <v>0</v>
      </c>
      <c r="EC125" s="55">
        <f>SUMIFS('Disbursements Summary'!$E:$E,'Disbursements Summary'!$C:$C,$C125,'Disbursements Summary'!$A:$A,"HFA")</f>
        <v>0</v>
      </c>
      <c r="ED125" s="55">
        <f>SUMIFS('Awards Summary'!$H:$H,'Awards Summary'!$B:$B,$C125,'Awards Summary'!$J:$J,"NYSIF")</f>
        <v>0</v>
      </c>
      <c r="EE125" s="55">
        <f>SUMIFS('Disbursements Summary'!$E:$E,'Disbursements Summary'!$C:$C,$C125,'Disbursements Summary'!$A:$A,"NYSIF")</f>
        <v>0</v>
      </c>
      <c r="EF125" s="55">
        <f>SUMIFS('Awards Summary'!$H:$H,'Awards Summary'!$B:$B,$C125,'Awards Summary'!$J:$J,"NYBREDS")</f>
        <v>0</v>
      </c>
      <c r="EG125" s="55">
        <f>SUMIFS('Disbursements Summary'!$E:$E,'Disbursements Summary'!$C:$C,$C125,'Disbursements Summary'!$A:$A,"NYBREDS")</f>
        <v>0</v>
      </c>
      <c r="EH125" s="55">
        <f>SUMIFS('Awards Summary'!$H:$H,'Awards Summary'!$B:$B,$C125,'Awards Summary'!$J:$J,"NYSTA")</f>
        <v>0</v>
      </c>
      <c r="EI125" s="55">
        <f>SUMIFS('Disbursements Summary'!$E:$E,'Disbursements Summary'!$C:$C,$C125,'Disbursements Summary'!$A:$A,"NYSTA")</f>
        <v>0</v>
      </c>
      <c r="EJ125" s="55">
        <f>SUMIFS('Awards Summary'!$H:$H,'Awards Summary'!$B:$B,$C125,'Awards Summary'!$J:$J,"NFWB")</f>
        <v>0</v>
      </c>
      <c r="EK125" s="55">
        <f>SUMIFS('Disbursements Summary'!$E:$E,'Disbursements Summary'!$C:$C,$C125,'Disbursements Summary'!$A:$A,"NFWB")</f>
        <v>0</v>
      </c>
      <c r="EL125" s="55">
        <f>SUMIFS('Awards Summary'!$H:$H,'Awards Summary'!$B:$B,$C125,'Awards Summary'!$J:$J,"NFTA")</f>
        <v>0</v>
      </c>
      <c r="EM125" s="55">
        <f>SUMIFS('Disbursements Summary'!$E:$E,'Disbursements Summary'!$C:$C,$C125,'Disbursements Summary'!$A:$A,"NFTA")</f>
        <v>0</v>
      </c>
      <c r="EN125" s="55">
        <f>SUMIFS('Awards Summary'!$H:$H,'Awards Summary'!$B:$B,$C125,'Awards Summary'!$J:$J,"OPWDD")</f>
        <v>0</v>
      </c>
      <c r="EO125" s="55">
        <f>SUMIFS('Disbursements Summary'!$E:$E,'Disbursements Summary'!$C:$C,$C125,'Disbursements Summary'!$A:$A,"OPWDD")</f>
        <v>0</v>
      </c>
      <c r="EP125" s="55">
        <f>SUMIFS('Awards Summary'!$H:$H,'Awards Summary'!$B:$B,$C125,'Awards Summary'!$J:$J,"AGING")</f>
        <v>0</v>
      </c>
      <c r="EQ125" s="55">
        <f>SUMIFS('Disbursements Summary'!$E:$E,'Disbursements Summary'!$C:$C,$C125,'Disbursements Summary'!$A:$A,"AGING")</f>
        <v>0</v>
      </c>
      <c r="ER125" s="55">
        <f>SUMIFS('Awards Summary'!$H:$H,'Awards Summary'!$B:$B,$C125,'Awards Summary'!$J:$J,"OPDV")</f>
        <v>0</v>
      </c>
      <c r="ES125" s="55">
        <f>SUMIFS('Disbursements Summary'!$E:$E,'Disbursements Summary'!$C:$C,$C125,'Disbursements Summary'!$A:$A,"OPDV")</f>
        <v>0</v>
      </c>
      <c r="ET125" s="55">
        <f>SUMIFS('Awards Summary'!$H:$H,'Awards Summary'!$B:$B,$C125,'Awards Summary'!$J:$J,"OVS")</f>
        <v>0</v>
      </c>
      <c r="EU125" s="55">
        <f>SUMIFS('Disbursements Summary'!$E:$E,'Disbursements Summary'!$C:$C,$C125,'Disbursements Summary'!$A:$A,"OVS")</f>
        <v>0</v>
      </c>
      <c r="EV125" s="55">
        <f>SUMIFS('Awards Summary'!$H:$H,'Awards Summary'!$B:$B,$C125,'Awards Summary'!$J:$J,"OASAS")</f>
        <v>0</v>
      </c>
      <c r="EW125" s="55">
        <f>SUMIFS('Disbursements Summary'!$E:$E,'Disbursements Summary'!$C:$C,$C125,'Disbursements Summary'!$A:$A,"OASAS")</f>
        <v>0</v>
      </c>
      <c r="EX125" s="55">
        <f>SUMIFS('Awards Summary'!$H:$H,'Awards Summary'!$B:$B,$C125,'Awards Summary'!$J:$J,"OCFS")</f>
        <v>0</v>
      </c>
      <c r="EY125" s="55">
        <f>SUMIFS('Disbursements Summary'!$E:$E,'Disbursements Summary'!$C:$C,$C125,'Disbursements Summary'!$A:$A,"OCFS")</f>
        <v>0</v>
      </c>
      <c r="EZ125" s="55">
        <f>SUMIFS('Awards Summary'!$H:$H,'Awards Summary'!$B:$B,$C125,'Awards Summary'!$J:$J,"OGS")</f>
        <v>0</v>
      </c>
      <c r="FA125" s="55">
        <f>SUMIFS('Disbursements Summary'!$E:$E,'Disbursements Summary'!$C:$C,$C125,'Disbursements Summary'!$A:$A,"OGS")</f>
        <v>0</v>
      </c>
      <c r="FB125" s="55">
        <f>SUMIFS('Awards Summary'!$H:$H,'Awards Summary'!$B:$B,$C125,'Awards Summary'!$J:$J,"OMH")</f>
        <v>0</v>
      </c>
      <c r="FC125" s="55">
        <f>SUMIFS('Disbursements Summary'!$E:$E,'Disbursements Summary'!$C:$C,$C125,'Disbursements Summary'!$A:$A,"OMH")</f>
        <v>0</v>
      </c>
      <c r="FD125" s="55">
        <f>SUMIFS('Awards Summary'!$H:$H,'Awards Summary'!$B:$B,$C125,'Awards Summary'!$J:$J,"PARKS")</f>
        <v>0</v>
      </c>
      <c r="FE125" s="55">
        <f>SUMIFS('Disbursements Summary'!$E:$E,'Disbursements Summary'!$C:$C,$C125,'Disbursements Summary'!$A:$A,"PARKS")</f>
        <v>0</v>
      </c>
      <c r="FF125" s="55">
        <f>SUMIFS('Awards Summary'!$H:$H,'Awards Summary'!$B:$B,$C125,'Awards Summary'!$J:$J,"OTDA")</f>
        <v>0</v>
      </c>
      <c r="FG125" s="55">
        <f>SUMIFS('Disbursements Summary'!$E:$E,'Disbursements Summary'!$C:$C,$C125,'Disbursements Summary'!$A:$A,"OTDA")</f>
        <v>0</v>
      </c>
      <c r="FH125" s="55">
        <f>SUMIFS('Awards Summary'!$H:$H,'Awards Summary'!$B:$B,$C125,'Awards Summary'!$J:$J,"OIG")</f>
        <v>0</v>
      </c>
      <c r="FI125" s="55">
        <f>SUMIFS('Disbursements Summary'!$E:$E,'Disbursements Summary'!$C:$C,$C125,'Disbursements Summary'!$A:$A,"OIG")</f>
        <v>0</v>
      </c>
      <c r="FJ125" s="55">
        <f>SUMIFS('Awards Summary'!$H:$H,'Awards Summary'!$B:$B,$C125,'Awards Summary'!$J:$J,"OMIG")</f>
        <v>0</v>
      </c>
      <c r="FK125" s="55">
        <f>SUMIFS('Disbursements Summary'!$E:$E,'Disbursements Summary'!$C:$C,$C125,'Disbursements Summary'!$A:$A,"OMIG")</f>
        <v>0</v>
      </c>
      <c r="FL125" s="55">
        <f>SUMIFS('Awards Summary'!$H:$H,'Awards Summary'!$B:$B,$C125,'Awards Summary'!$J:$J,"OSC")</f>
        <v>0</v>
      </c>
      <c r="FM125" s="55">
        <f>SUMIFS('Disbursements Summary'!$E:$E,'Disbursements Summary'!$C:$C,$C125,'Disbursements Summary'!$A:$A,"OSC")</f>
        <v>0</v>
      </c>
      <c r="FN125" s="55">
        <f>SUMIFS('Awards Summary'!$H:$H,'Awards Summary'!$B:$B,$C125,'Awards Summary'!$J:$J,"OWIG")</f>
        <v>0</v>
      </c>
      <c r="FO125" s="55">
        <f>SUMIFS('Disbursements Summary'!$E:$E,'Disbursements Summary'!$C:$C,$C125,'Disbursements Summary'!$A:$A,"OWIG")</f>
        <v>0</v>
      </c>
      <c r="FP125" s="55">
        <f>SUMIFS('Awards Summary'!$H:$H,'Awards Summary'!$B:$B,$C125,'Awards Summary'!$J:$J,"OGDEN")</f>
        <v>0</v>
      </c>
      <c r="FQ125" s="55">
        <f>SUMIFS('Disbursements Summary'!$E:$E,'Disbursements Summary'!$C:$C,$C125,'Disbursements Summary'!$A:$A,"OGDEN")</f>
        <v>0</v>
      </c>
      <c r="FR125" s="55">
        <f>SUMIFS('Awards Summary'!$H:$H,'Awards Summary'!$B:$B,$C125,'Awards Summary'!$J:$J,"ORDA")</f>
        <v>0</v>
      </c>
      <c r="FS125" s="55">
        <f>SUMIFS('Disbursements Summary'!$E:$E,'Disbursements Summary'!$C:$C,$C125,'Disbursements Summary'!$A:$A,"ORDA")</f>
        <v>0</v>
      </c>
      <c r="FT125" s="55">
        <f>SUMIFS('Awards Summary'!$H:$H,'Awards Summary'!$B:$B,$C125,'Awards Summary'!$J:$J,"OSWEGO")</f>
        <v>0</v>
      </c>
      <c r="FU125" s="55">
        <f>SUMIFS('Disbursements Summary'!$E:$E,'Disbursements Summary'!$C:$C,$C125,'Disbursements Summary'!$A:$A,"OSWEGO")</f>
        <v>0</v>
      </c>
      <c r="FV125" s="55">
        <f>SUMIFS('Awards Summary'!$H:$H,'Awards Summary'!$B:$B,$C125,'Awards Summary'!$J:$J,"PERB")</f>
        <v>0</v>
      </c>
      <c r="FW125" s="55">
        <f>SUMIFS('Disbursements Summary'!$E:$E,'Disbursements Summary'!$C:$C,$C125,'Disbursements Summary'!$A:$A,"PERB")</f>
        <v>0</v>
      </c>
      <c r="FX125" s="55">
        <f>SUMIFS('Awards Summary'!$H:$H,'Awards Summary'!$B:$B,$C125,'Awards Summary'!$J:$J,"RGRTA")</f>
        <v>0</v>
      </c>
      <c r="FY125" s="55">
        <f>SUMIFS('Disbursements Summary'!$E:$E,'Disbursements Summary'!$C:$C,$C125,'Disbursements Summary'!$A:$A,"RGRTA")</f>
        <v>0</v>
      </c>
      <c r="FZ125" s="55">
        <f>SUMIFS('Awards Summary'!$H:$H,'Awards Summary'!$B:$B,$C125,'Awards Summary'!$J:$J,"RIOC")</f>
        <v>0</v>
      </c>
      <c r="GA125" s="55">
        <f>SUMIFS('Disbursements Summary'!$E:$E,'Disbursements Summary'!$C:$C,$C125,'Disbursements Summary'!$A:$A,"RIOC")</f>
        <v>0</v>
      </c>
      <c r="GB125" s="55">
        <f>SUMIFS('Awards Summary'!$H:$H,'Awards Summary'!$B:$B,$C125,'Awards Summary'!$J:$J,"RPCI")</f>
        <v>0</v>
      </c>
      <c r="GC125" s="55">
        <f>SUMIFS('Disbursements Summary'!$E:$E,'Disbursements Summary'!$C:$C,$C125,'Disbursements Summary'!$A:$A,"RPCI")</f>
        <v>0</v>
      </c>
      <c r="GD125" s="55">
        <f>SUMIFS('Awards Summary'!$H:$H,'Awards Summary'!$B:$B,$C125,'Awards Summary'!$J:$J,"SMDA")</f>
        <v>0</v>
      </c>
      <c r="GE125" s="55">
        <f>SUMIFS('Disbursements Summary'!$E:$E,'Disbursements Summary'!$C:$C,$C125,'Disbursements Summary'!$A:$A,"SMDA")</f>
        <v>0</v>
      </c>
      <c r="GF125" s="55">
        <f>SUMIFS('Awards Summary'!$H:$H,'Awards Summary'!$B:$B,$C125,'Awards Summary'!$J:$J,"SCOC")</f>
        <v>0</v>
      </c>
      <c r="GG125" s="55">
        <f>SUMIFS('Disbursements Summary'!$E:$E,'Disbursements Summary'!$C:$C,$C125,'Disbursements Summary'!$A:$A,"SCOC")</f>
        <v>0</v>
      </c>
      <c r="GH125" s="55">
        <f>SUMIFS('Awards Summary'!$H:$H,'Awards Summary'!$B:$B,$C125,'Awards Summary'!$J:$J,"SUCF")</f>
        <v>0</v>
      </c>
      <c r="GI125" s="55">
        <f>SUMIFS('Disbursements Summary'!$E:$E,'Disbursements Summary'!$C:$C,$C125,'Disbursements Summary'!$A:$A,"SUCF")</f>
        <v>0</v>
      </c>
      <c r="GJ125" s="55">
        <f>SUMIFS('Awards Summary'!$H:$H,'Awards Summary'!$B:$B,$C125,'Awards Summary'!$J:$J,"SUNY")</f>
        <v>0</v>
      </c>
      <c r="GK125" s="55">
        <f>SUMIFS('Disbursements Summary'!$E:$E,'Disbursements Summary'!$C:$C,$C125,'Disbursements Summary'!$A:$A,"SUNY")</f>
        <v>0</v>
      </c>
      <c r="GL125" s="55">
        <f>SUMIFS('Awards Summary'!$H:$H,'Awards Summary'!$B:$B,$C125,'Awards Summary'!$J:$J,"SRAA")</f>
        <v>0</v>
      </c>
      <c r="GM125" s="55">
        <f>SUMIFS('Disbursements Summary'!$E:$E,'Disbursements Summary'!$C:$C,$C125,'Disbursements Summary'!$A:$A,"SRAA")</f>
        <v>0</v>
      </c>
      <c r="GN125" s="55">
        <f>SUMIFS('Awards Summary'!$H:$H,'Awards Summary'!$B:$B,$C125,'Awards Summary'!$J:$J,"UNDC")</f>
        <v>0</v>
      </c>
      <c r="GO125" s="55">
        <f>SUMIFS('Disbursements Summary'!$E:$E,'Disbursements Summary'!$C:$C,$C125,'Disbursements Summary'!$A:$A,"UNDC")</f>
        <v>0</v>
      </c>
      <c r="GP125" s="55">
        <f>SUMIFS('Awards Summary'!$H:$H,'Awards Summary'!$B:$B,$C125,'Awards Summary'!$J:$J,"MVWA")</f>
        <v>0</v>
      </c>
      <c r="GQ125" s="55">
        <f>SUMIFS('Disbursements Summary'!$E:$E,'Disbursements Summary'!$C:$C,$C125,'Disbursements Summary'!$A:$A,"MVWA")</f>
        <v>0</v>
      </c>
      <c r="GR125" s="55">
        <f>SUMIFS('Awards Summary'!$H:$H,'Awards Summary'!$B:$B,$C125,'Awards Summary'!$J:$J,"WMC")</f>
        <v>0</v>
      </c>
      <c r="GS125" s="55">
        <f>SUMIFS('Disbursements Summary'!$E:$E,'Disbursements Summary'!$C:$C,$C125,'Disbursements Summary'!$A:$A,"WMC")</f>
        <v>0</v>
      </c>
      <c r="GT125" s="55">
        <f>SUMIFS('Awards Summary'!$H:$H,'Awards Summary'!$B:$B,$C125,'Awards Summary'!$J:$J,"WCB")</f>
        <v>0</v>
      </c>
      <c r="GU125" s="55">
        <f>SUMIFS('Disbursements Summary'!$E:$E,'Disbursements Summary'!$C:$C,$C125,'Disbursements Summary'!$A:$A,"WCB")</f>
        <v>0</v>
      </c>
      <c r="GV125" s="32">
        <f t="shared" si="10"/>
        <v>0</v>
      </c>
      <c r="GW125" s="32">
        <f t="shared" si="11"/>
        <v>0</v>
      </c>
      <c r="GX125" s="30" t="b">
        <f t="shared" si="12"/>
        <v>1</v>
      </c>
      <c r="GY125" s="30" t="b">
        <f t="shared" si="13"/>
        <v>1</v>
      </c>
    </row>
    <row r="126" spans="1:207" s="30" customFormat="1">
      <c r="A126" s="22" t="str">
        <f t="shared" si="9"/>
        <v/>
      </c>
      <c r="B126" s="40" t="s">
        <v>226</v>
      </c>
      <c r="C126" s="16">
        <v>161313</v>
      </c>
      <c r="D126" s="26">
        <f>COUNTIF('Awards Summary'!B:B,"161313")</f>
        <v>0</v>
      </c>
      <c r="E126" s="45">
        <f>SUMIFS('Awards Summary'!H:H,'Awards Summary'!B:B,"161313")</f>
        <v>0</v>
      </c>
      <c r="F126" s="46">
        <f>SUMIFS('Disbursements Summary'!E:E,'Disbursements Summary'!C:C, "161313")</f>
        <v>0</v>
      </c>
      <c r="H126" s="55">
        <f>SUMIFS('Awards Summary'!$H:$H,'Awards Summary'!$B:$B,$C126,'Awards Summary'!$J:$J,"APA")</f>
        <v>0</v>
      </c>
      <c r="I126" s="55">
        <f>SUMIFS('Disbursements Summary'!$E:$E,'Disbursements Summary'!$C:$C,$C126,'Disbursements Summary'!$A:$A,"APA")</f>
        <v>0</v>
      </c>
      <c r="J126" s="55">
        <f>SUMIFS('Awards Summary'!$H:$H,'Awards Summary'!$B:$B,$C126,'Awards Summary'!$J:$J,"Ag&amp;Horse")</f>
        <v>0</v>
      </c>
      <c r="K126" s="55">
        <f>SUMIFS('Disbursements Summary'!$E:$E,'Disbursements Summary'!$C:$C,$C126,'Disbursements Summary'!$A:$A,"Ag&amp;Horse")</f>
        <v>0</v>
      </c>
      <c r="L126" s="55">
        <f>SUMIFS('Awards Summary'!$H:$H,'Awards Summary'!$B:$B,$C126,'Awards Summary'!$J:$J,"ACAA")</f>
        <v>0</v>
      </c>
      <c r="M126" s="55">
        <f>SUMIFS('Disbursements Summary'!$E:$E,'Disbursements Summary'!$C:$C,$C126,'Disbursements Summary'!$A:$A,"ACAA")</f>
        <v>0</v>
      </c>
      <c r="N126" s="55">
        <f>SUMIFS('Awards Summary'!$H:$H,'Awards Summary'!$B:$B,$C126,'Awards Summary'!$J:$J,"PortAlbany")</f>
        <v>0</v>
      </c>
      <c r="O126" s="55">
        <f>SUMIFS('Disbursements Summary'!$E:$E,'Disbursements Summary'!$C:$C,$C126,'Disbursements Summary'!$A:$A,"PortAlbany")</f>
        <v>0</v>
      </c>
      <c r="P126" s="55">
        <f>SUMIFS('Awards Summary'!$H:$H,'Awards Summary'!$B:$B,$C126,'Awards Summary'!$J:$J,"SLA")</f>
        <v>0</v>
      </c>
      <c r="Q126" s="55">
        <f>SUMIFS('Disbursements Summary'!$E:$E,'Disbursements Summary'!$C:$C,$C126,'Disbursements Summary'!$A:$A,"SLA")</f>
        <v>0</v>
      </c>
      <c r="R126" s="55">
        <f>SUMIFS('Awards Summary'!$H:$H,'Awards Summary'!$B:$B,$C126,'Awards Summary'!$J:$J,"BPCA")</f>
        <v>0</v>
      </c>
      <c r="S126" s="55">
        <f>SUMIFS('Disbursements Summary'!$E:$E,'Disbursements Summary'!$C:$C,$C126,'Disbursements Summary'!$A:$A,"BPCA")</f>
        <v>0</v>
      </c>
      <c r="T126" s="55">
        <f>SUMIFS('Awards Summary'!$H:$H,'Awards Summary'!$B:$B,$C126,'Awards Summary'!$J:$J,"ELECTIONS")</f>
        <v>0</v>
      </c>
      <c r="U126" s="55">
        <f>SUMIFS('Disbursements Summary'!$E:$E,'Disbursements Summary'!$C:$C,$C126,'Disbursements Summary'!$A:$A,"ELECTIONS")</f>
        <v>0</v>
      </c>
      <c r="V126" s="55">
        <f>SUMIFS('Awards Summary'!$H:$H,'Awards Summary'!$B:$B,$C126,'Awards Summary'!$J:$J,"BFSA")</f>
        <v>0</v>
      </c>
      <c r="W126" s="55">
        <f>SUMIFS('Disbursements Summary'!$E:$E,'Disbursements Summary'!$C:$C,$C126,'Disbursements Summary'!$A:$A,"BFSA")</f>
        <v>0</v>
      </c>
      <c r="X126" s="55">
        <f>SUMIFS('Awards Summary'!$H:$H,'Awards Summary'!$B:$B,$C126,'Awards Summary'!$J:$J,"CDTA")</f>
        <v>0</v>
      </c>
      <c r="Y126" s="55">
        <f>SUMIFS('Disbursements Summary'!$E:$E,'Disbursements Summary'!$C:$C,$C126,'Disbursements Summary'!$A:$A,"CDTA")</f>
        <v>0</v>
      </c>
      <c r="Z126" s="55">
        <f>SUMIFS('Awards Summary'!$H:$H,'Awards Summary'!$B:$B,$C126,'Awards Summary'!$J:$J,"CCWSA")</f>
        <v>0</v>
      </c>
      <c r="AA126" s="55">
        <f>SUMIFS('Disbursements Summary'!$E:$E,'Disbursements Summary'!$C:$C,$C126,'Disbursements Summary'!$A:$A,"CCWSA")</f>
        <v>0</v>
      </c>
      <c r="AB126" s="55">
        <f>SUMIFS('Awards Summary'!$H:$H,'Awards Summary'!$B:$B,$C126,'Awards Summary'!$J:$J,"CNYRTA")</f>
        <v>0</v>
      </c>
      <c r="AC126" s="55">
        <f>SUMIFS('Disbursements Summary'!$E:$E,'Disbursements Summary'!$C:$C,$C126,'Disbursements Summary'!$A:$A,"CNYRTA")</f>
        <v>0</v>
      </c>
      <c r="AD126" s="55">
        <f>SUMIFS('Awards Summary'!$H:$H,'Awards Summary'!$B:$B,$C126,'Awards Summary'!$J:$J,"CUCF")</f>
        <v>0</v>
      </c>
      <c r="AE126" s="55">
        <f>SUMIFS('Disbursements Summary'!$E:$E,'Disbursements Summary'!$C:$C,$C126,'Disbursements Summary'!$A:$A,"CUCF")</f>
        <v>0</v>
      </c>
      <c r="AF126" s="55">
        <f>SUMIFS('Awards Summary'!$H:$H,'Awards Summary'!$B:$B,$C126,'Awards Summary'!$J:$J,"CUNY")</f>
        <v>0</v>
      </c>
      <c r="AG126" s="55">
        <f>SUMIFS('Disbursements Summary'!$E:$E,'Disbursements Summary'!$C:$C,$C126,'Disbursements Summary'!$A:$A,"CUNY")</f>
        <v>0</v>
      </c>
      <c r="AH126" s="55">
        <f>SUMIFS('Awards Summary'!$H:$H,'Awards Summary'!$B:$B,$C126,'Awards Summary'!$J:$J,"ARTS")</f>
        <v>0</v>
      </c>
      <c r="AI126" s="55">
        <f>SUMIFS('Disbursements Summary'!$E:$E,'Disbursements Summary'!$C:$C,$C126,'Disbursements Summary'!$A:$A,"ARTS")</f>
        <v>0</v>
      </c>
      <c r="AJ126" s="55">
        <f>SUMIFS('Awards Summary'!$H:$H,'Awards Summary'!$B:$B,$C126,'Awards Summary'!$J:$J,"AG&amp;MKTS")</f>
        <v>0</v>
      </c>
      <c r="AK126" s="55">
        <f>SUMIFS('Disbursements Summary'!$E:$E,'Disbursements Summary'!$C:$C,$C126,'Disbursements Summary'!$A:$A,"AG&amp;MKTS")</f>
        <v>0</v>
      </c>
      <c r="AL126" s="55">
        <f>SUMIFS('Awards Summary'!$H:$H,'Awards Summary'!$B:$B,$C126,'Awards Summary'!$J:$J,"CS")</f>
        <v>0</v>
      </c>
      <c r="AM126" s="55">
        <f>SUMIFS('Disbursements Summary'!$E:$E,'Disbursements Summary'!$C:$C,$C126,'Disbursements Summary'!$A:$A,"CS")</f>
        <v>0</v>
      </c>
      <c r="AN126" s="55">
        <f>SUMIFS('Awards Summary'!$H:$H,'Awards Summary'!$B:$B,$C126,'Awards Summary'!$J:$J,"DOCCS")</f>
        <v>0</v>
      </c>
      <c r="AO126" s="55">
        <f>SUMIFS('Disbursements Summary'!$E:$E,'Disbursements Summary'!$C:$C,$C126,'Disbursements Summary'!$A:$A,"DOCCS")</f>
        <v>0</v>
      </c>
      <c r="AP126" s="55">
        <f>SUMIFS('Awards Summary'!$H:$H,'Awards Summary'!$B:$B,$C126,'Awards Summary'!$J:$J,"DED")</f>
        <v>0</v>
      </c>
      <c r="AQ126" s="55">
        <f>SUMIFS('Disbursements Summary'!$E:$E,'Disbursements Summary'!$C:$C,$C126,'Disbursements Summary'!$A:$A,"DED")</f>
        <v>0</v>
      </c>
      <c r="AR126" s="55">
        <f>SUMIFS('Awards Summary'!$H:$H,'Awards Summary'!$B:$B,$C126,'Awards Summary'!$J:$J,"DEC")</f>
        <v>0</v>
      </c>
      <c r="AS126" s="55">
        <f>SUMIFS('Disbursements Summary'!$E:$E,'Disbursements Summary'!$C:$C,$C126,'Disbursements Summary'!$A:$A,"DEC")</f>
        <v>0</v>
      </c>
      <c r="AT126" s="55">
        <f>SUMIFS('Awards Summary'!$H:$H,'Awards Summary'!$B:$B,$C126,'Awards Summary'!$J:$J,"DFS")</f>
        <v>0</v>
      </c>
      <c r="AU126" s="55">
        <f>SUMIFS('Disbursements Summary'!$E:$E,'Disbursements Summary'!$C:$C,$C126,'Disbursements Summary'!$A:$A,"DFS")</f>
        <v>0</v>
      </c>
      <c r="AV126" s="55">
        <f>SUMIFS('Awards Summary'!$H:$H,'Awards Summary'!$B:$B,$C126,'Awards Summary'!$J:$J,"DOH")</f>
        <v>0</v>
      </c>
      <c r="AW126" s="55">
        <f>SUMIFS('Disbursements Summary'!$E:$E,'Disbursements Summary'!$C:$C,$C126,'Disbursements Summary'!$A:$A,"DOH")</f>
        <v>0</v>
      </c>
      <c r="AX126" s="55">
        <f>SUMIFS('Awards Summary'!$H:$H,'Awards Summary'!$B:$B,$C126,'Awards Summary'!$J:$J,"DOL")</f>
        <v>0</v>
      </c>
      <c r="AY126" s="55">
        <f>SUMIFS('Disbursements Summary'!$E:$E,'Disbursements Summary'!$C:$C,$C126,'Disbursements Summary'!$A:$A,"DOL")</f>
        <v>0</v>
      </c>
      <c r="AZ126" s="55">
        <f>SUMIFS('Awards Summary'!$H:$H,'Awards Summary'!$B:$B,$C126,'Awards Summary'!$J:$J,"DMV")</f>
        <v>0</v>
      </c>
      <c r="BA126" s="55">
        <f>SUMIFS('Disbursements Summary'!$E:$E,'Disbursements Summary'!$C:$C,$C126,'Disbursements Summary'!$A:$A,"DMV")</f>
        <v>0</v>
      </c>
      <c r="BB126" s="55">
        <f>SUMIFS('Awards Summary'!$H:$H,'Awards Summary'!$B:$B,$C126,'Awards Summary'!$J:$J,"DPS")</f>
        <v>0</v>
      </c>
      <c r="BC126" s="55">
        <f>SUMIFS('Disbursements Summary'!$E:$E,'Disbursements Summary'!$C:$C,$C126,'Disbursements Summary'!$A:$A,"DPS")</f>
        <v>0</v>
      </c>
      <c r="BD126" s="55">
        <f>SUMIFS('Awards Summary'!$H:$H,'Awards Summary'!$B:$B,$C126,'Awards Summary'!$J:$J,"DOS")</f>
        <v>0</v>
      </c>
      <c r="BE126" s="55">
        <f>SUMIFS('Disbursements Summary'!$E:$E,'Disbursements Summary'!$C:$C,$C126,'Disbursements Summary'!$A:$A,"DOS")</f>
        <v>0</v>
      </c>
      <c r="BF126" s="55">
        <f>SUMIFS('Awards Summary'!$H:$H,'Awards Summary'!$B:$B,$C126,'Awards Summary'!$J:$J,"TAX")</f>
        <v>0</v>
      </c>
      <c r="BG126" s="55">
        <f>SUMIFS('Disbursements Summary'!$E:$E,'Disbursements Summary'!$C:$C,$C126,'Disbursements Summary'!$A:$A,"TAX")</f>
        <v>0</v>
      </c>
      <c r="BH126" s="55">
        <f>SUMIFS('Awards Summary'!$H:$H,'Awards Summary'!$B:$B,$C126,'Awards Summary'!$J:$J,"DOT")</f>
        <v>0</v>
      </c>
      <c r="BI126" s="55">
        <f>SUMIFS('Disbursements Summary'!$E:$E,'Disbursements Summary'!$C:$C,$C126,'Disbursements Summary'!$A:$A,"DOT")</f>
        <v>0</v>
      </c>
      <c r="BJ126" s="55">
        <f>SUMIFS('Awards Summary'!$H:$H,'Awards Summary'!$B:$B,$C126,'Awards Summary'!$J:$J,"DANC")</f>
        <v>0</v>
      </c>
      <c r="BK126" s="55">
        <f>SUMIFS('Disbursements Summary'!$E:$E,'Disbursements Summary'!$C:$C,$C126,'Disbursements Summary'!$A:$A,"DANC")</f>
        <v>0</v>
      </c>
      <c r="BL126" s="55">
        <f>SUMIFS('Awards Summary'!$H:$H,'Awards Summary'!$B:$B,$C126,'Awards Summary'!$J:$J,"DOB")</f>
        <v>0</v>
      </c>
      <c r="BM126" s="55">
        <f>SUMIFS('Disbursements Summary'!$E:$E,'Disbursements Summary'!$C:$C,$C126,'Disbursements Summary'!$A:$A,"DOB")</f>
        <v>0</v>
      </c>
      <c r="BN126" s="55">
        <f>SUMIFS('Awards Summary'!$H:$H,'Awards Summary'!$B:$B,$C126,'Awards Summary'!$J:$J,"DCJS")</f>
        <v>0</v>
      </c>
      <c r="BO126" s="55">
        <f>SUMIFS('Disbursements Summary'!$E:$E,'Disbursements Summary'!$C:$C,$C126,'Disbursements Summary'!$A:$A,"DCJS")</f>
        <v>0</v>
      </c>
      <c r="BP126" s="55">
        <f>SUMIFS('Awards Summary'!$H:$H,'Awards Summary'!$B:$B,$C126,'Awards Summary'!$J:$J,"DHSES")</f>
        <v>0</v>
      </c>
      <c r="BQ126" s="55">
        <f>SUMIFS('Disbursements Summary'!$E:$E,'Disbursements Summary'!$C:$C,$C126,'Disbursements Summary'!$A:$A,"DHSES")</f>
        <v>0</v>
      </c>
      <c r="BR126" s="55">
        <f>SUMIFS('Awards Summary'!$H:$H,'Awards Summary'!$B:$B,$C126,'Awards Summary'!$J:$J,"DHR")</f>
        <v>0</v>
      </c>
      <c r="BS126" s="55">
        <f>SUMIFS('Disbursements Summary'!$E:$E,'Disbursements Summary'!$C:$C,$C126,'Disbursements Summary'!$A:$A,"DHR")</f>
        <v>0</v>
      </c>
      <c r="BT126" s="55">
        <f>SUMIFS('Awards Summary'!$H:$H,'Awards Summary'!$B:$B,$C126,'Awards Summary'!$J:$J,"DMNA")</f>
        <v>0</v>
      </c>
      <c r="BU126" s="55">
        <f>SUMIFS('Disbursements Summary'!$E:$E,'Disbursements Summary'!$C:$C,$C126,'Disbursements Summary'!$A:$A,"DMNA")</f>
        <v>0</v>
      </c>
      <c r="BV126" s="55">
        <f>SUMIFS('Awards Summary'!$H:$H,'Awards Summary'!$B:$B,$C126,'Awards Summary'!$J:$J,"TROOPERS")</f>
        <v>0</v>
      </c>
      <c r="BW126" s="55">
        <f>SUMIFS('Disbursements Summary'!$E:$E,'Disbursements Summary'!$C:$C,$C126,'Disbursements Summary'!$A:$A,"TROOPERS")</f>
        <v>0</v>
      </c>
      <c r="BX126" s="55">
        <f>SUMIFS('Awards Summary'!$H:$H,'Awards Summary'!$B:$B,$C126,'Awards Summary'!$J:$J,"DVA")</f>
        <v>0</v>
      </c>
      <c r="BY126" s="55">
        <f>SUMIFS('Disbursements Summary'!$E:$E,'Disbursements Summary'!$C:$C,$C126,'Disbursements Summary'!$A:$A,"DVA")</f>
        <v>0</v>
      </c>
      <c r="BZ126" s="55">
        <f>SUMIFS('Awards Summary'!$H:$H,'Awards Summary'!$B:$B,$C126,'Awards Summary'!$J:$J,"DASNY")</f>
        <v>0</v>
      </c>
      <c r="CA126" s="55">
        <f>SUMIFS('Disbursements Summary'!$E:$E,'Disbursements Summary'!$C:$C,$C126,'Disbursements Summary'!$A:$A,"DASNY")</f>
        <v>0</v>
      </c>
      <c r="CB126" s="55">
        <f>SUMIFS('Awards Summary'!$H:$H,'Awards Summary'!$B:$B,$C126,'Awards Summary'!$J:$J,"EGG")</f>
        <v>0</v>
      </c>
      <c r="CC126" s="55">
        <f>SUMIFS('Disbursements Summary'!$E:$E,'Disbursements Summary'!$C:$C,$C126,'Disbursements Summary'!$A:$A,"EGG")</f>
        <v>0</v>
      </c>
      <c r="CD126" s="55">
        <f>SUMIFS('Awards Summary'!$H:$H,'Awards Summary'!$B:$B,$C126,'Awards Summary'!$J:$J,"ESD")</f>
        <v>0</v>
      </c>
      <c r="CE126" s="55">
        <f>SUMIFS('Disbursements Summary'!$E:$E,'Disbursements Summary'!$C:$C,$C126,'Disbursements Summary'!$A:$A,"ESD")</f>
        <v>0</v>
      </c>
      <c r="CF126" s="55">
        <f>SUMIFS('Awards Summary'!$H:$H,'Awards Summary'!$B:$B,$C126,'Awards Summary'!$J:$J,"EFC")</f>
        <v>0</v>
      </c>
      <c r="CG126" s="55">
        <f>SUMIFS('Disbursements Summary'!$E:$E,'Disbursements Summary'!$C:$C,$C126,'Disbursements Summary'!$A:$A,"EFC")</f>
        <v>0</v>
      </c>
      <c r="CH126" s="55">
        <f>SUMIFS('Awards Summary'!$H:$H,'Awards Summary'!$B:$B,$C126,'Awards Summary'!$J:$J,"ECFSA")</f>
        <v>0</v>
      </c>
      <c r="CI126" s="55">
        <f>SUMIFS('Disbursements Summary'!$E:$E,'Disbursements Summary'!$C:$C,$C126,'Disbursements Summary'!$A:$A,"ECFSA")</f>
        <v>0</v>
      </c>
      <c r="CJ126" s="55">
        <f>SUMIFS('Awards Summary'!$H:$H,'Awards Summary'!$B:$B,$C126,'Awards Summary'!$J:$J,"ECMC")</f>
        <v>0</v>
      </c>
      <c r="CK126" s="55">
        <f>SUMIFS('Disbursements Summary'!$E:$E,'Disbursements Summary'!$C:$C,$C126,'Disbursements Summary'!$A:$A,"ECMC")</f>
        <v>0</v>
      </c>
      <c r="CL126" s="55">
        <f>SUMIFS('Awards Summary'!$H:$H,'Awards Summary'!$B:$B,$C126,'Awards Summary'!$J:$J,"CHAMBER")</f>
        <v>0</v>
      </c>
      <c r="CM126" s="55">
        <f>SUMIFS('Disbursements Summary'!$E:$E,'Disbursements Summary'!$C:$C,$C126,'Disbursements Summary'!$A:$A,"CHAMBER")</f>
        <v>0</v>
      </c>
      <c r="CN126" s="55">
        <f>SUMIFS('Awards Summary'!$H:$H,'Awards Summary'!$B:$B,$C126,'Awards Summary'!$J:$J,"GAMING")</f>
        <v>0</v>
      </c>
      <c r="CO126" s="55">
        <f>SUMIFS('Disbursements Summary'!$E:$E,'Disbursements Summary'!$C:$C,$C126,'Disbursements Summary'!$A:$A,"GAMING")</f>
        <v>0</v>
      </c>
      <c r="CP126" s="55">
        <f>SUMIFS('Awards Summary'!$H:$H,'Awards Summary'!$B:$B,$C126,'Awards Summary'!$J:$J,"GOER")</f>
        <v>0</v>
      </c>
      <c r="CQ126" s="55">
        <f>SUMIFS('Disbursements Summary'!$E:$E,'Disbursements Summary'!$C:$C,$C126,'Disbursements Summary'!$A:$A,"GOER")</f>
        <v>0</v>
      </c>
      <c r="CR126" s="55">
        <f>SUMIFS('Awards Summary'!$H:$H,'Awards Summary'!$B:$B,$C126,'Awards Summary'!$J:$J,"HESC")</f>
        <v>0</v>
      </c>
      <c r="CS126" s="55">
        <f>SUMIFS('Disbursements Summary'!$E:$E,'Disbursements Summary'!$C:$C,$C126,'Disbursements Summary'!$A:$A,"HESC")</f>
        <v>0</v>
      </c>
      <c r="CT126" s="55">
        <f>SUMIFS('Awards Summary'!$H:$H,'Awards Summary'!$B:$B,$C126,'Awards Summary'!$J:$J,"GOSR")</f>
        <v>0</v>
      </c>
      <c r="CU126" s="55">
        <f>SUMIFS('Disbursements Summary'!$E:$E,'Disbursements Summary'!$C:$C,$C126,'Disbursements Summary'!$A:$A,"GOSR")</f>
        <v>0</v>
      </c>
      <c r="CV126" s="55">
        <f>SUMIFS('Awards Summary'!$H:$H,'Awards Summary'!$B:$B,$C126,'Awards Summary'!$J:$J,"HRPT")</f>
        <v>0</v>
      </c>
      <c r="CW126" s="55">
        <f>SUMIFS('Disbursements Summary'!$E:$E,'Disbursements Summary'!$C:$C,$C126,'Disbursements Summary'!$A:$A,"HRPT")</f>
        <v>0</v>
      </c>
      <c r="CX126" s="55">
        <f>SUMIFS('Awards Summary'!$H:$H,'Awards Summary'!$B:$B,$C126,'Awards Summary'!$J:$J,"HRBRRD")</f>
        <v>0</v>
      </c>
      <c r="CY126" s="55">
        <f>SUMIFS('Disbursements Summary'!$E:$E,'Disbursements Summary'!$C:$C,$C126,'Disbursements Summary'!$A:$A,"HRBRRD")</f>
        <v>0</v>
      </c>
      <c r="CZ126" s="55">
        <f>SUMIFS('Awards Summary'!$H:$H,'Awards Summary'!$B:$B,$C126,'Awards Summary'!$J:$J,"ITS")</f>
        <v>0</v>
      </c>
      <c r="DA126" s="55">
        <f>SUMIFS('Disbursements Summary'!$E:$E,'Disbursements Summary'!$C:$C,$C126,'Disbursements Summary'!$A:$A,"ITS")</f>
        <v>0</v>
      </c>
      <c r="DB126" s="55">
        <f>SUMIFS('Awards Summary'!$H:$H,'Awards Summary'!$B:$B,$C126,'Awards Summary'!$J:$J,"JAVITS")</f>
        <v>0</v>
      </c>
      <c r="DC126" s="55">
        <f>SUMIFS('Disbursements Summary'!$E:$E,'Disbursements Summary'!$C:$C,$C126,'Disbursements Summary'!$A:$A,"JAVITS")</f>
        <v>0</v>
      </c>
      <c r="DD126" s="55">
        <f>SUMIFS('Awards Summary'!$H:$H,'Awards Summary'!$B:$B,$C126,'Awards Summary'!$J:$J,"JCOPE")</f>
        <v>0</v>
      </c>
      <c r="DE126" s="55">
        <f>SUMIFS('Disbursements Summary'!$E:$E,'Disbursements Summary'!$C:$C,$C126,'Disbursements Summary'!$A:$A,"JCOPE")</f>
        <v>0</v>
      </c>
      <c r="DF126" s="55">
        <f>SUMIFS('Awards Summary'!$H:$H,'Awards Summary'!$B:$B,$C126,'Awards Summary'!$J:$J,"JUSTICE")</f>
        <v>0</v>
      </c>
      <c r="DG126" s="55">
        <f>SUMIFS('Disbursements Summary'!$E:$E,'Disbursements Summary'!$C:$C,$C126,'Disbursements Summary'!$A:$A,"JUSTICE")</f>
        <v>0</v>
      </c>
      <c r="DH126" s="55">
        <f>SUMIFS('Awards Summary'!$H:$H,'Awards Summary'!$B:$B,$C126,'Awards Summary'!$J:$J,"LCWSA")</f>
        <v>0</v>
      </c>
      <c r="DI126" s="55">
        <f>SUMIFS('Disbursements Summary'!$E:$E,'Disbursements Summary'!$C:$C,$C126,'Disbursements Summary'!$A:$A,"LCWSA")</f>
        <v>0</v>
      </c>
      <c r="DJ126" s="55">
        <f>SUMIFS('Awards Summary'!$H:$H,'Awards Summary'!$B:$B,$C126,'Awards Summary'!$J:$J,"LIPA")</f>
        <v>0</v>
      </c>
      <c r="DK126" s="55">
        <f>SUMIFS('Disbursements Summary'!$E:$E,'Disbursements Summary'!$C:$C,$C126,'Disbursements Summary'!$A:$A,"LIPA")</f>
        <v>0</v>
      </c>
      <c r="DL126" s="55">
        <f>SUMIFS('Awards Summary'!$H:$H,'Awards Summary'!$B:$B,$C126,'Awards Summary'!$J:$J,"MTA")</f>
        <v>0</v>
      </c>
      <c r="DM126" s="55">
        <f>SUMIFS('Disbursements Summary'!$E:$E,'Disbursements Summary'!$C:$C,$C126,'Disbursements Summary'!$A:$A,"MTA")</f>
        <v>0</v>
      </c>
      <c r="DN126" s="55">
        <f>SUMIFS('Awards Summary'!$H:$H,'Awards Summary'!$B:$B,$C126,'Awards Summary'!$J:$J,"NIFA")</f>
        <v>0</v>
      </c>
      <c r="DO126" s="55">
        <f>SUMIFS('Disbursements Summary'!$E:$E,'Disbursements Summary'!$C:$C,$C126,'Disbursements Summary'!$A:$A,"NIFA")</f>
        <v>0</v>
      </c>
      <c r="DP126" s="55">
        <f>SUMIFS('Awards Summary'!$H:$H,'Awards Summary'!$B:$B,$C126,'Awards Summary'!$J:$J,"NHCC")</f>
        <v>0</v>
      </c>
      <c r="DQ126" s="55">
        <f>SUMIFS('Disbursements Summary'!$E:$E,'Disbursements Summary'!$C:$C,$C126,'Disbursements Summary'!$A:$A,"NHCC")</f>
        <v>0</v>
      </c>
      <c r="DR126" s="55">
        <f>SUMIFS('Awards Summary'!$H:$H,'Awards Summary'!$B:$B,$C126,'Awards Summary'!$J:$J,"NHT")</f>
        <v>0</v>
      </c>
      <c r="DS126" s="55">
        <f>SUMIFS('Disbursements Summary'!$E:$E,'Disbursements Summary'!$C:$C,$C126,'Disbursements Summary'!$A:$A,"NHT")</f>
        <v>0</v>
      </c>
      <c r="DT126" s="55">
        <f>SUMIFS('Awards Summary'!$H:$H,'Awards Summary'!$B:$B,$C126,'Awards Summary'!$J:$J,"NYPA")</f>
        <v>0</v>
      </c>
      <c r="DU126" s="55">
        <f>SUMIFS('Disbursements Summary'!$E:$E,'Disbursements Summary'!$C:$C,$C126,'Disbursements Summary'!$A:$A,"NYPA")</f>
        <v>0</v>
      </c>
      <c r="DV126" s="55">
        <f>SUMIFS('Awards Summary'!$H:$H,'Awards Summary'!$B:$B,$C126,'Awards Summary'!$J:$J,"NYSBA")</f>
        <v>0</v>
      </c>
      <c r="DW126" s="55">
        <f>SUMIFS('Disbursements Summary'!$E:$E,'Disbursements Summary'!$C:$C,$C126,'Disbursements Summary'!$A:$A,"NYSBA")</f>
        <v>0</v>
      </c>
      <c r="DX126" s="55">
        <f>SUMIFS('Awards Summary'!$H:$H,'Awards Summary'!$B:$B,$C126,'Awards Summary'!$J:$J,"NYSERDA")</f>
        <v>0</v>
      </c>
      <c r="DY126" s="55">
        <f>SUMIFS('Disbursements Summary'!$E:$E,'Disbursements Summary'!$C:$C,$C126,'Disbursements Summary'!$A:$A,"NYSERDA")</f>
        <v>0</v>
      </c>
      <c r="DZ126" s="55">
        <f>SUMIFS('Awards Summary'!$H:$H,'Awards Summary'!$B:$B,$C126,'Awards Summary'!$J:$J,"DHCR")</f>
        <v>0</v>
      </c>
      <c r="EA126" s="55">
        <f>SUMIFS('Disbursements Summary'!$E:$E,'Disbursements Summary'!$C:$C,$C126,'Disbursements Summary'!$A:$A,"DHCR")</f>
        <v>0</v>
      </c>
      <c r="EB126" s="55">
        <f>SUMIFS('Awards Summary'!$H:$H,'Awards Summary'!$B:$B,$C126,'Awards Summary'!$J:$J,"HFA")</f>
        <v>0</v>
      </c>
      <c r="EC126" s="55">
        <f>SUMIFS('Disbursements Summary'!$E:$E,'Disbursements Summary'!$C:$C,$C126,'Disbursements Summary'!$A:$A,"HFA")</f>
        <v>0</v>
      </c>
      <c r="ED126" s="55">
        <f>SUMIFS('Awards Summary'!$H:$H,'Awards Summary'!$B:$B,$C126,'Awards Summary'!$J:$J,"NYSIF")</f>
        <v>0</v>
      </c>
      <c r="EE126" s="55">
        <f>SUMIFS('Disbursements Summary'!$E:$E,'Disbursements Summary'!$C:$C,$C126,'Disbursements Summary'!$A:$A,"NYSIF")</f>
        <v>0</v>
      </c>
      <c r="EF126" s="55">
        <f>SUMIFS('Awards Summary'!$H:$H,'Awards Summary'!$B:$B,$C126,'Awards Summary'!$J:$J,"NYBREDS")</f>
        <v>0</v>
      </c>
      <c r="EG126" s="55">
        <f>SUMIFS('Disbursements Summary'!$E:$E,'Disbursements Summary'!$C:$C,$C126,'Disbursements Summary'!$A:$A,"NYBREDS")</f>
        <v>0</v>
      </c>
      <c r="EH126" s="55">
        <f>SUMIFS('Awards Summary'!$H:$H,'Awards Summary'!$B:$B,$C126,'Awards Summary'!$J:$J,"NYSTA")</f>
        <v>0</v>
      </c>
      <c r="EI126" s="55">
        <f>SUMIFS('Disbursements Summary'!$E:$E,'Disbursements Summary'!$C:$C,$C126,'Disbursements Summary'!$A:$A,"NYSTA")</f>
        <v>0</v>
      </c>
      <c r="EJ126" s="55">
        <f>SUMIFS('Awards Summary'!$H:$H,'Awards Summary'!$B:$B,$C126,'Awards Summary'!$J:$J,"NFWB")</f>
        <v>0</v>
      </c>
      <c r="EK126" s="55">
        <f>SUMIFS('Disbursements Summary'!$E:$E,'Disbursements Summary'!$C:$C,$C126,'Disbursements Summary'!$A:$A,"NFWB")</f>
        <v>0</v>
      </c>
      <c r="EL126" s="55">
        <f>SUMIFS('Awards Summary'!$H:$H,'Awards Summary'!$B:$B,$C126,'Awards Summary'!$J:$J,"NFTA")</f>
        <v>0</v>
      </c>
      <c r="EM126" s="55">
        <f>SUMIFS('Disbursements Summary'!$E:$E,'Disbursements Summary'!$C:$C,$C126,'Disbursements Summary'!$A:$A,"NFTA")</f>
        <v>0</v>
      </c>
      <c r="EN126" s="55">
        <f>SUMIFS('Awards Summary'!$H:$H,'Awards Summary'!$B:$B,$C126,'Awards Summary'!$J:$J,"OPWDD")</f>
        <v>0</v>
      </c>
      <c r="EO126" s="55">
        <f>SUMIFS('Disbursements Summary'!$E:$E,'Disbursements Summary'!$C:$C,$C126,'Disbursements Summary'!$A:$A,"OPWDD")</f>
        <v>0</v>
      </c>
      <c r="EP126" s="55">
        <f>SUMIFS('Awards Summary'!$H:$H,'Awards Summary'!$B:$B,$C126,'Awards Summary'!$J:$J,"AGING")</f>
        <v>0</v>
      </c>
      <c r="EQ126" s="55">
        <f>SUMIFS('Disbursements Summary'!$E:$E,'Disbursements Summary'!$C:$C,$C126,'Disbursements Summary'!$A:$A,"AGING")</f>
        <v>0</v>
      </c>
      <c r="ER126" s="55">
        <f>SUMIFS('Awards Summary'!$H:$H,'Awards Summary'!$B:$B,$C126,'Awards Summary'!$J:$J,"OPDV")</f>
        <v>0</v>
      </c>
      <c r="ES126" s="55">
        <f>SUMIFS('Disbursements Summary'!$E:$E,'Disbursements Summary'!$C:$C,$C126,'Disbursements Summary'!$A:$A,"OPDV")</f>
        <v>0</v>
      </c>
      <c r="ET126" s="55">
        <f>SUMIFS('Awards Summary'!$H:$H,'Awards Summary'!$B:$B,$C126,'Awards Summary'!$J:$J,"OVS")</f>
        <v>0</v>
      </c>
      <c r="EU126" s="55">
        <f>SUMIFS('Disbursements Summary'!$E:$E,'Disbursements Summary'!$C:$C,$C126,'Disbursements Summary'!$A:$A,"OVS")</f>
        <v>0</v>
      </c>
      <c r="EV126" s="55">
        <f>SUMIFS('Awards Summary'!$H:$H,'Awards Summary'!$B:$B,$C126,'Awards Summary'!$J:$J,"OASAS")</f>
        <v>0</v>
      </c>
      <c r="EW126" s="55">
        <f>SUMIFS('Disbursements Summary'!$E:$E,'Disbursements Summary'!$C:$C,$C126,'Disbursements Summary'!$A:$A,"OASAS")</f>
        <v>0</v>
      </c>
      <c r="EX126" s="55">
        <f>SUMIFS('Awards Summary'!$H:$H,'Awards Summary'!$B:$B,$C126,'Awards Summary'!$J:$J,"OCFS")</f>
        <v>0</v>
      </c>
      <c r="EY126" s="55">
        <f>SUMIFS('Disbursements Summary'!$E:$E,'Disbursements Summary'!$C:$C,$C126,'Disbursements Summary'!$A:$A,"OCFS")</f>
        <v>0</v>
      </c>
      <c r="EZ126" s="55">
        <f>SUMIFS('Awards Summary'!$H:$H,'Awards Summary'!$B:$B,$C126,'Awards Summary'!$J:$J,"OGS")</f>
        <v>0</v>
      </c>
      <c r="FA126" s="55">
        <f>SUMIFS('Disbursements Summary'!$E:$E,'Disbursements Summary'!$C:$C,$C126,'Disbursements Summary'!$A:$A,"OGS")</f>
        <v>0</v>
      </c>
      <c r="FB126" s="55">
        <f>SUMIFS('Awards Summary'!$H:$H,'Awards Summary'!$B:$B,$C126,'Awards Summary'!$J:$J,"OMH")</f>
        <v>0</v>
      </c>
      <c r="FC126" s="55">
        <f>SUMIFS('Disbursements Summary'!$E:$E,'Disbursements Summary'!$C:$C,$C126,'Disbursements Summary'!$A:$A,"OMH")</f>
        <v>0</v>
      </c>
      <c r="FD126" s="55">
        <f>SUMIFS('Awards Summary'!$H:$H,'Awards Summary'!$B:$B,$C126,'Awards Summary'!$J:$J,"PARKS")</f>
        <v>0</v>
      </c>
      <c r="FE126" s="55">
        <f>SUMIFS('Disbursements Summary'!$E:$E,'Disbursements Summary'!$C:$C,$C126,'Disbursements Summary'!$A:$A,"PARKS")</f>
        <v>0</v>
      </c>
      <c r="FF126" s="55">
        <f>SUMIFS('Awards Summary'!$H:$H,'Awards Summary'!$B:$B,$C126,'Awards Summary'!$J:$J,"OTDA")</f>
        <v>0</v>
      </c>
      <c r="FG126" s="55">
        <f>SUMIFS('Disbursements Summary'!$E:$E,'Disbursements Summary'!$C:$C,$C126,'Disbursements Summary'!$A:$A,"OTDA")</f>
        <v>0</v>
      </c>
      <c r="FH126" s="55">
        <f>SUMIFS('Awards Summary'!$H:$H,'Awards Summary'!$B:$B,$C126,'Awards Summary'!$J:$J,"OIG")</f>
        <v>0</v>
      </c>
      <c r="FI126" s="55">
        <f>SUMIFS('Disbursements Summary'!$E:$E,'Disbursements Summary'!$C:$C,$C126,'Disbursements Summary'!$A:$A,"OIG")</f>
        <v>0</v>
      </c>
      <c r="FJ126" s="55">
        <f>SUMIFS('Awards Summary'!$H:$H,'Awards Summary'!$B:$B,$C126,'Awards Summary'!$J:$J,"OMIG")</f>
        <v>0</v>
      </c>
      <c r="FK126" s="55">
        <f>SUMIFS('Disbursements Summary'!$E:$E,'Disbursements Summary'!$C:$C,$C126,'Disbursements Summary'!$A:$A,"OMIG")</f>
        <v>0</v>
      </c>
      <c r="FL126" s="55">
        <f>SUMIFS('Awards Summary'!$H:$H,'Awards Summary'!$B:$B,$C126,'Awards Summary'!$J:$J,"OSC")</f>
        <v>0</v>
      </c>
      <c r="FM126" s="55">
        <f>SUMIFS('Disbursements Summary'!$E:$E,'Disbursements Summary'!$C:$C,$C126,'Disbursements Summary'!$A:$A,"OSC")</f>
        <v>0</v>
      </c>
      <c r="FN126" s="55">
        <f>SUMIFS('Awards Summary'!$H:$H,'Awards Summary'!$B:$B,$C126,'Awards Summary'!$J:$J,"OWIG")</f>
        <v>0</v>
      </c>
      <c r="FO126" s="55">
        <f>SUMIFS('Disbursements Summary'!$E:$E,'Disbursements Summary'!$C:$C,$C126,'Disbursements Summary'!$A:$A,"OWIG")</f>
        <v>0</v>
      </c>
      <c r="FP126" s="55">
        <f>SUMIFS('Awards Summary'!$H:$H,'Awards Summary'!$B:$B,$C126,'Awards Summary'!$J:$J,"OGDEN")</f>
        <v>0</v>
      </c>
      <c r="FQ126" s="55">
        <f>SUMIFS('Disbursements Summary'!$E:$E,'Disbursements Summary'!$C:$C,$C126,'Disbursements Summary'!$A:$A,"OGDEN")</f>
        <v>0</v>
      </c>
      <c r="FR126" s="55">
        <f>SUMIFS('Awards Summary'!$H:$H,'Awards Summary'!$B:$B,$C126,'Awards Summary'!$J:$J,"ORDA")</f>
        <v>0</v>
      </c>
      <c r="FS126" s="55">
        <f>SUMIFS('Disbursements Summary'!$E:$E,'Disbursements Summary'!$C:$C,$C126,'Disbursements Summary'!$A:$A,"ORDA")</f>
        <v>0</v>
      </c>
      <c r="FT126" s="55">
        <f>SUMIFS('Awards Summary'!$H:$H,'Awards Summary'!$B:$B,$C126,'Awards Summary'!$J:$J,"OSWEGO")</f>
        <v>0</v>
      </c>
      <c r="FU126" s="55">
        <f>SUMIFS('Disbursements Summary'!$E:$E,'Disbursements Summary'!$C:$C,$C126,'Disbursements Summary'!$A:$A,"OSWEGO")</f>
        <v>0</v>
      </c>
      <c r="FV126" s="55">
        <f>SUMIFS('Awards Summary'!$H:$H,'Awards Summary'!$B:$B,$C126,'Awards Summary'!$J:$J,"PERB")</f>
        <v>0</v>
      </c>
      <c r="FW126" s="55">
        <f>SUMIFS('Disbursements Summary'!$E:$E,'Disbursements Summary'!$C:$C,$C126,'Disbursements Summary'!$A:$A,"PERB")</f>
        <v>0</v>
      </c>
      <c r="FX126" s="55">
        <f>SUMIFS('Awards Summary'!$H:$H,'Awards Summary'!$B:$B,$C126,'Awards Summary'!$J:$J,"RGRTA")</f>
        <v>0</v>
      </c>
      <c r="FY126" s="55">
        <f>SUMIFS('Disbursements Summary'!$E:$E,'Disbursements Summary'!$C:$C,$C126,'Disbursements Summary'!$A:$A,"RGRTA")</f>
        <v>0</v>
      </c>
      <c r="FZ126" s="55">
        <f>SUMIFS('Awards Summary'!$H:$H,'Awards Summary'!$B:$B,$C126,'Awards Summary'!$J:$J,"RIOC")</f>
        <v>0</v>
      </c>
      <c r="GA126" s="55">
        <f>SUMIFS('Disbursements Summary'!$E:$E,'Disbursements Summary'!$C:$C,$C126,'Disbursements Summary'!$A:$A,"RIOC")</f>
        <v>0</v>
      </c>
      <c r="GB126" s="55">
        <f>SUMIFS('Awards Summary'!$H:$H,'Awards Summary'!$B:$B,$C126,'Awards Summary'!$J:$J,"RPCI")</f>
        <v>0</v>
      </c>
      <c r="GC126" s="55">
        <f>SUMIFS('Disbursements Summary'!$E:$E,'Disbursements Summary'!$C:$C,$C126,'Disbursements Summary'!$A:$A,"RPCI")</f>
        <v>0</v>
      </c>
      <c r="GD126" s="55">
        <f>SUMIFS('Awards Summary'!$H:$H,'Awards Summary'!$B:$B,$C126,'Awards Summary'!$J:$J,"SMDA")</f>
        <v>0</v>
      </c>
      <c r="GE126" s="55">
        <f>SUMIFS('Disbursements Summary'!$E:$E,'Disbursements Summary'!$C:$C,$C126,'Disbursements Summary'!$A:$A,"SMDA")</f>
        <v>0</v>
      </c>
      <c r="GF126" s="55">
        <f>SUMIFS('Awards Summary'!$H:$H,'Awards Summary'!$B:$B,$C126,'Awards Summary'!$J:$J,"SCOC")</f>
        <v>0</v>
      </c>
      <c r="GG126" s="55">
        <f>SUMIFS('Disbursements Summary'!$E:$E,'Disbursements Summary'!$C:$C,$C126,'Disbursements Summary'!$A:$A,"SCOC")</f>
        <v>0</v>
      </c>
      <c r="GH126" s="55">
        <f>SUMIFS('Awards Summary'!$H:$H,'Awards Summary'!$B:$B,$C126,'Awards Summary'!$J:$J,"SUCF")</f>
        <v>0</v>
      </c>
      <c r="GI126" s="55">
        <f>SUMIFS('Disbursements Summary'!$E:$E,'Disbursements Summary'!$C:$C,$C126,'Disbursements Summary'!$A:$A,"SUCF")</f>
        <v>0</v>
      </c>
      <c r="GJ126" s="55">
        <f>SUMIFS('Awards Summary'!$H:$H,'Awards Summary'!$B:$B,$C126,'Awards Summary'!$J:$J,"SUNY")</f>
        <v>0</v>
      </c>
      <c r="GK126" s="55">
        <f>SUMIFS('Disbursements Summary'!$E:$E,'Disbursements Summary'!$C:$C,$C126,'Disbursements Summary'!$A:$A,"SUNY")</f>
        <v>0</v>
      </c>
      <c r="GL126" s="55">
        <f>SUMIFS('Awards Summary'!$H:$H,'Awards Summary'!$B:$B,$C126,'Awards Summary'!$J:$J,"SRAA")</f>
        <v>0</v>
      </c>
      <c r="GM126" s="55">
        <f>SUMIFS('Disbursements Summary'!$E:$E,'Disbursements Summary'!$C:$C,$C126,'Disbursements Summary'!$A:$A,"SRAA")</f>
        <v>0</v>
      </c>
      <c r="GN126" s="55">
        <f>SUMIFS('Awards Summary'!$H:$H,'Awards Summary'!$B:$B,$C126,'Awards Summary'!$J:$J,"UNDC")</f>
        <v>0</v>
      </c>
      <c r="GO126" s="55">
        <f>SUMIFS('Disbursements Summary'!$E:$E,'Disbursements Summary'!$C:$C,$C126,'Disbursements Summary'!$A:$A,"UNDC")</f>
        <v>0</v>
      </c>
      <c r="GP126" s="55">
        <f>SUMIFS('Awards Summary'!$H:$H,'Awards Summary'!$B:$B,$C126,'Awards Summary'!$J:$J,"MVWA")</f>
        <v>0</v>
      </c>
      <c r="GQ126" s="55">
        <f>SUMIFS('Disbursements Summary'!$E:$E,'Disbursements Summary'!$C:$C,$C126,'Disbursements Summary'!$A:$A,"MVWA")</f>
        <v>0</v>
      </c>
      <c r="GR126" s="55">
        <f>SUMIFS('Awards Summary'!$H:$H,'Awards Summary'!$B:$B,$C126,'Awards Summary'!$J:$J,"WMC")</f>
        <v>0</v>
      </c>
      <c r="GS126" s="55">
        <f>SUMIFS('Disbursements Summary'!$E:$E,'Disbursements Summary'!$C:$C,$C126,'Disbursements Summary'!$A:$A,"WMC")</f>
        <v>0</v>
      </c>
      <c r="GT126" s="55">
        <f>SUMIFS('Awards Summary'!$H:$H,'Awards Summary'!$B:$B,$C126,'Awards Summary'!$J:$J,"WCB")</f>
        <v>0</v>
      </c>
      <c r="GU126" s="55">
        <f>SUMIFS('Disbursements Summary'!$E:$E,'Disbursements Summary'!$C:$C,$C126,'Disbursements Summary'!$A:$A,"WCB")</f>
        <v>0</v>
      </c>
      <c r="GV126" s="32">
        <f t="shared" si="10"/>
        <v>0</v>
      </c>
      <c r="GW126" s="32">
        <f t="shared" si="11"/>
        <v>0</v>
      </c>
      <c r="GX126" s="30" t="b">
        <f t="shared" si="12"/>
        <v>1</v>
      </c>
      <c r="GY126" s="30" t="b">
        <f t="shared" si="13"/>
        <v>1</v>
      </c>
    </row>
    <row r="127" spans="1:207" s="30" customFormat="1">
      <c r="A127" s="22" t="str">
        <f t="shared" si="9"/>
        <v/>
      </c>
      <c r="B127" s="40" t="s">
        <v>248</v>
      </c>
      <c r="C127" s="16">
        <v>161315</v>
      </c>
      <c r="D127" s="26">
        <f>COUNTIF('Awards Summary'!B:B,"161315")</f>
        <v>0</v>
      </c>
      <c r="E127" s="45">
        <f>SUMIFS('Awards Summary'!H:H,'Awards Summary'!B:B,"161315")</f>
        <v>0</v>
      </c>
      <c r="F127" s="46">
        <f>SUMIFS('Disbursements Summary'!E:E,'Disbursements Summary'!C:C, "161315")</f>
        <v>0</v>
      </c>
      <c r="H127" s="55">
        <f>SUMIFS('Awards Summary'!$H:$H,'Awards Summary'!$B:$B,$C127,'Awards Summary'!$J:$J,"APA")</f>
        <v>0</v>
      </c>
      <c r="I127" s="55">
        <f>SUMIFS('Disbursements Summary'!$E:$E,'Disbursements Summary'!$C:$C,$C127,'Disbursements Summary'!$A:$A,"APA")</f>
        <v>0</v>
      </c>
      <c r="J127" s="55">
        <f>SUMIFS('Awards Summary'!$H:$H,'Awards Summary'!$B:$B,$C127,'Awards Summary'!$J:$J,"Ag&amp;Horse")</f>
        <v>0</v>
      </c>
      <c r="K127" s="55">
        <f>SUMIFS('Disbursements Summary'!$E:$E,'Disbursements Summary'!$C:$C,$C127,'Disbursements Summary'!$A:$A,"Ag&amp;Horse")</f>
        <v>0</v>
      </c>
      <c r="L127" s="55">
        <f>SUMIFS('Awards Summary'!$H:$H,'Awards Summary'!$B:$B,$C127,'Awards Summary'!$J:$J,"ACAA")</f>
        <v>0</v>
      </c>
      <c r="M127" s="55">
        <f>SUMIFS('Disbursements Summary'!$E:$E,'Disbursements Summary'!$C:$C,$C127,'Disbursements Summary'!$A:$A,"ACAA")</f>
        <v>0</v>
      </c>
      <c r="N127" s="55">
        <f>SUMIFS('Awards Summary'!$H:$H,'Awards Summary'!$B:$B,$C127,'Awards Summary'!$J:$J,"PortAlbany")</f>
        <v>0</v>
      </c>
      <c r="O127" s="55">
        <f>SUMIFS('Disbursements Summary'!$E:$E,'Disbursements Summary'!$C:$C,$C127,'Disbursements Summary'!$A:$A,"PortAlbany")</f>
        <v>0</v>
      </c>
      <c r="P127" s="55">
        <f>SUMIFS('Awards Summary'!$H:$H,'Awards Summary'!$B:$B,$C127,'Awards Summary'!$J:$J,"SLA")</f>
        <v>0</v>
      </c>
      <c r="Q127" s="55">
        <f>SUMIFS('Disbursements Summary'!$E:$E,'Disbursements Summary'!$C:$C,$C127,'Disbursements Summary'!$A:$A,"SLA")</f>
        <v>0</v>
      </c>
      <c r="R127" s="55">
        <f>SUMIFS('Awards Summary'!$H:$H,'Awards Summary'!$B:$B,$C127,'Awards Summary'!$J:$J,"BPCA")</f>
        <v>0</v>
      </c>
      <c r="S127" s="55">
        <f>SUMIFS('Disbursements Summary'!$E:$E,'Disbursements Summary'!$C:$C,$C127,'Disbursements Summary'!$A:$A,"BPCA")</f>
        <v>0</v>
      </c>
      <c r="T127" s="55">
        <f>SUMIFS('Awards Summary'!$H:$H,'Awards Summary'!$B:$B,$C127,'Awards Summary'!$J:$J,"ELECTIONS")</f>
        <v>0</v>
      </c>
      <c r="U127" s="55">
        <f>SUMIFS('Disbursements Summary'!$E:$E,'Disbursements Summary'!$C:$C,$C127,'Disbursements Summary'!$A:$A,"ELECTIONS")</f>
        <v>0</v>
      </c>
      <c r="V127" s="55">
        <f>SUMIFS('Awards Summary'!$H:$H,'Awards Summary'!$B:$B,$C127,'Awards Summary'!$J:$J,"BFSA")</f>
        <v>0</v>
      </c>
      <c r="W127" s="55">
        <f>SUMIFS('Disbursements Summary'!$E:$E,'Disbursements Summary'!$C:$C,$C127,'Disbursements Summary'!$A:$A,"BFSA")</f>
        <v>0</v>
      </c>
      <c r="X127" s="55">
        <f>SUMIFS('Awards Summary'!$H:$H,'Awards Summary'!$B:$B,$C127,'Awards Summary'!$J:$J,"CDTA")</f>
        <v>0</v>
      </c>
      <c r="Y127" s="55">
        <f>SUMIFS('Disbursements Summary'!$E:$E,'Disbursements Summary'!$C:$C,$C127,'Disbursements Summary'!$A:$A,"CDTA")</f>
        <v>0</v>
      </c>
      <c r="Z127" s="55">
        <f>SUMIFS('Awards Summary'!$H:$H,'Awards Summary'!$B:$B,$C127,'Awards Summary'!$J:$J,"CCWSA")</f>
        <v>0</v>
      </c>
      <c r="AA127" s="55">
        <f>SUMIFS('Disbursements Summary'!$E:$E,'Disbursements Summary'!$C:$C,$C127,'Disbursements Summary'!$A:$A,"CCWSA")</f>
        <v>0</v>
      </c>
      <c r="AB127" s="55">
        <f>SUMIFS('Awards Summary'!$H:$H,'Awards Summary'!$B:$B,$C127,'Awards Summary'!$J:$J,"CNYRTA")</f>
        <v>0</v>
      </c>
      <c r="AC127" s="55">
        <f>SUMIFS('Disbursements Summary'!$E:$E,'Disbursements Summary'!$C:$C,$C127,'Disbursements Summary'!$A:$A,"CNYRTA")</f>
        <v>0</v>
      </c>
      <c r="AD127" s="55">
        <f>SUMIFS('Awards Summary'!$H:$H,'Awards Summary'!$B:$B,$C127,'Awards Summary'!$J:$J,"CUCF")</f>
        <v>0</v>
      </c>
      <c r="AE127" s="55">
        <f>SUMIFS('Disbursements Summary'!$E:$E,'Disbursements Summary'!$C:$C,$C127,'Disbursements Summary'!$A:$A,"CUCF")</f>
        <v>0</v>
      </c>
      <c r="AF127" s="55">
        <f>SUMIFS('Awards Summary'!$H:$H,'Awards Summary'!$B:$B,$C127,'Awards Summary'!$J:$J,"CUNY")</f>
        <v>0</v>
      </c>
      <c r="AG127" s="55">
        <f>SUMIFS('Disbursements Summary'!$E:$E,'Disbursements Summary'!$C:$C,$C127,'Disbursements Summary'!$A:$A,"CUNY")</f>
        <v>0</v>
      </c>
      <c r="AH127" s="55">
        <f>SUMIFS('Awards Summary'!$H:$H,'Awards Summary'!$B:$B,$C127,'Awards Summary'!$J:$J,"ARTS")</f>
        <v>0</v>
      </c>
      <c r="AI127" s="55">
        <f>SUMIFS('Disbursements Summary'!$E:$E,'Disbursements Summary'!$C:$C,$C127,'Disbursements Summary'!$A:$A,"ARTS")</f>
        <v>0</v>
      </c>
      <c r="AJ127" s="55">
        <f>SUMIFS('Awards Summary'!$H:$H,'Awards Summary'!$B:$B,$C127,'Awards Summary'!$J:$J,"AG&amp;MKTS")</f>
        <v>0</v>
      </c>
      <c r="AK127" s="55">
        <f>SUMIFS('Disbursements Summary'!$E:$E,'Disbursements Summary'!$C:$C,$C127,'Disbursements Summary'!$A:$A,"AG&amp;MKTS")</f>
        <v>0</v>
      </c>
      <c r="AL127" s="55">
        <f>SUMIFS('Awards Summary'!$H:$H,'Awards Summary'!$B:$B,$C127,'Awards Summary'!$J:$J,"CS")</f>
        <v>0</v>
      </c>
      <c r="AM127" s="55">
        <f>SUMIFS('Disbursements Summary'!$E:$E,'Disbursements Summary'!$C:$C,$C127,'Disbursements Summary'!$A:$A,"CS")</f>
        <v>0</v>
      </c>
      <c r="AN127" s="55">
        <f>SUMIFS('Awards Summary'!$H:$H,'Awards Summary'!$B:$B,$C127,'Awards Summary'!$J:$J,"DOCCS")</f>
        <v>0</v>
      </c>
      <c r="AO127" s="55">
        <f>SUMIFS('Disbursements Summary'!$E:$E,'Disbursements Summary'!$C:$C,$C127,'Disbursements Summary'!$A:$A,"DOCCS")</f>
        <v>0</v>
      </c>
      <c r="AP127" s="55">
        <f>SUMIFS('Awards Summary'!$H:$H,'Awards Summary'!$B:$B,$C127,'Awards Summary'!$J:$J,"DED")</f>
        <v>0</v>
      </c>
      <c r="AQ127" s="55">
        <f>SUMIFS('Disbursements Summary'!$E:$E,'Disbursements Summary'!$C:$C,$C127,'Disbursements Summary'!$A:$A,"DED")</f>
        <v>0</v>
      </c>
      <c r="AR127" s="55">
        <f>SUMIFS('Awards Summary'!$H:$H,'Awards Summary'!$B:$B,$C127,'Awards Summary'!$J:$J,"DEC")</f>
        <v>0</v>
      </c>
      <c r="AS127" s="55">
        <f>SUMIFS('Disbursements Summary'!$E:$E,'Disbursements Summary'!$C:$C,$C127,'Disbursements Summary'!$A:$A,"DEC")</f>
        <v>0</v>
      </c>
      <c r="AT127" s="55">
        <f>SUMIFS('Awards Summary'!$H:$H,'Awards Summary'!$B:$B,$C127,'Awards Summary'!$J:$J,"DFS")</f>
        <v>0</v>
      </c>
      <c r="AU127" s="55">
        <f>SUMIFS('Disbursements Summary'!$E:$E,'Disbursements Summary'!$C:$C,$C127,'Disbursements Summary'!$A:$A,"DFS")</f>
        <v>0</v>
      </c>
      <c r="AV127" s="55">
        <f>SUMIFS('Awards Summary'!$H:$H,'Awards Summary'!$B:$B,$C127,'Awards Summary'!$J:$J,"DOH")</f>
        <v>0</v>
      </c>
      <c r="AW127" s="55">
        <f>SUMIFS('Disbursements Summary'!$E:$E,'Disbursements Summary'!$C:$C,$C127,'Disbursements Summary'!$A:$A,"DOH")</f>
        <v>0</v>
      </c>
      <c r="AX127" s="55">
        <f>SUMIFS('Awards Summary'!$H:$H,'Awards Summary'!$B:$B,$C127,'Awards Summary'!$J:$J,"DOL")</f>
        <v>0</v>
      </c>
      <c r="AY127" s="55">
        <f>SUMIFS('Disbursements Summary'!$E:$E,'Disbursements Summary'!$C:$C,$C127,'Disbursements Summary'!$A:$A,"DOL")</f>
        <v>0</v>
      </c>
      <c r="AZ127" s="55">
        <f>SUMIFS('Awards Summary'!$H:$H,'Awards Summary'!$B:$B,$C127,'Awards Summary'!$J:$J,"DMV")</f>
        <v>0</v>
      </c>
      <c r="BA127" s="55">
        <f>SUMIFS('Disbursements Summary'!$E:$E,'Disbursements Summary'!$C:$C,$C127,'Disbursements Summary'!$A:$A,"DMV")</f>
        <v>0</v>
      </c>
      <c r="BB127" s="55">
        <f>SUMIFS('Awards Summary'!$H:$H,'Awards Summary'!$B:$B,$C127,'Awards Summary'!$J:$J,"DPS")</f>
        <v>0</v>
      </c>
      <c r="BC127" s="55">
        <f>SUMIFS('Disbursements Summary'!$E:$E,'Disbursements Summary'!$C:$C,$C127,'Disbursements Summary'!$A:$A,"DPS")</f>
        <v>0</v>
      </c>
      <c r="BD127" s="55">
        <f>SUMIFS('Awards Summary'!$H:$H,'Awards Summary'!$B:$B,$C127,'Awards Summary'!$J:$J,"DOS")</f>
        <v>0</v>
      </c>
      <c r="BE127" s="55">
        <f>SUMIFS('Disbursements Summary'!$E:$E,'Disbursements Summary'!$C:$C,$C127,'Disbursements Summary'!$A:$A,"DOS")</f>
        <v>0</v>
      </c>
      <c r="BF127" s="55">
        <f>SUMIFS('Awards Summary'!$H:$H,'Awards Summary'!$B:$B,$C127,'Awards Summary'!$J:$J,"TAX")</f>
        <v>0</v>
      </c>
      <c r="BG127" s="55">
        <f>SUMIFS('Disbursements Summary'!$E:$E,'Disbursements Summary'!$C:$C,$C127,'Disbursements Summary'!$A:$A,"TAX")</f>
        <v>0</v>
      </c>
      <c r="BH127" s="55">
        <f>SUMIFS('Awards Summary'!$H:$H,'Awards Summary'!$B:$B,$C127,'Awards Summary'!$J:$J,"DOT")</f>
        <v>0</v>
      </c>
      <c r="BI127" s="55">
        <f>SUMIFS('Disbursements Summary'!$E:$E,'Disbursements Summary'!$C:$C,$C127,'Disbursements Summary'!$A:$A,"DOT")</f>
        <v>0</v>
      </c>
      <c r="BJ127" s="55">
        <f>SUMIFS('Awards Summary'!$H:$H,'Awards Summary'!$B:$B,$C127,'Awards Summary'!$J:$J,"DANC")</f>
        <v>0</v>
      </c>
      <c r="BK127" s="55">
        <f>SUMIFS('Disbursements Summary'!$E:$E,'Disbursements Summary'!$C:$C,$C127,'Disbursements Summary'!$A:$A,"DANC")</f>
        <v>0</v>
      </c>
      <c r="BL127" s="55">
        <f>SUMIFS('Awards Summary'!$H:$H,'Awards Summary'!$B:$B,$C127,'Awards Summary'!$J:$J,"DOB")</f>
        <v>0</v>
      </c>
      <c r="BM127" s="55">
        <f>SUMIFS('Disbursements Summary'!$E:$E,'Disbursements Summary'!$C:$C,$C127,'Disbursements Summary'!$A:$A,"DOB")</f>
        <v>0</v>
      </c>
      <c r="BN127" s="55">
        <f>SUMIFS('Awards Summary'!$H:$H,'Awards Summary'!$B:$B,$C127,'Awards Summary'!$J:$J,"DCJS")</f>
        <v>0</v>
      </c>
      <c r="BO127" s="55">
        <f>SUMIFS('Disbursements Summary'!$E:$E,'Disbursements Summary'!$C:$C,$C127,'Disbursements Summary'!$A:$A,"DCJS")</f>
        <v>0</v>
      </c>
      <c r="BP127" s="55">
        <f>SUMIFS('Awards Summary'!$H:$H,'Awards Summary'!$B:$B,$C127,'Awards Summary'!$J:$J,"DHSES")</f>
        <v>0</v>
      </c>
      <c r="BQ127" s="55">
        <f>SUMIFS('Disbursements Summary'!$E:$E,'Disbursements Summary'!$C:$C,$C127,'Disbursements Summary'!$A:$A,"DHSES")</f>
        <v>0</v>
      </c>
      <c r="BR127" s="55">
        <f>SUMIFS('Awards Summary'!$H:$H,'Awards Summary'!$B:$B,$C127,'Awards Summary'!$J:$J,"DHR")</f>
        <v>0</v>
      </c>
      <c r="BS127" s="55">
        <f>SUMIFS('Disbursements Summary'!$E:$E,'Disbursements Summary'!$C:$C,$C127,'Disbursements Summary'!$A:$A,"DHR")</f>
        <v>0</v>
      </c>
      <c r="BT127" s="55">
        <f>SUMIFS('Awards Summary'!$H:$H,'Awards Summary'!$B:$B,$C127,'Awards Summary'!$J:$J,"DMNA")</f>
        <v>0</v>
      </c>
      <c r="BU127" s="55">
        <f>SUMIFS('Disbursements Summary'!$E:$E,'Disbursements Summary'!$C:$C,$C127,'Disbursements Summary'!$A:$A,"DMNA")</f>
        <v>0</v>
      </c>
      <c r="BV127" s="55">
        <f>SUMIFS('Awards Summary'!$H:$H,'Awards Summary'!$B:$B,$C127,'Awards Summary'!$J:$J,"TROOPERS")</f>
        <v>0</v>
      </c>
      <c r="BW127" s="55">
        <f>SUMIFS('Disbursements Summary'!$E:$E,'Disbursements Summary'!$C:$C,$C127,'Disbursements Summary'!$A:$A,"TROOPERS")</f>
        <v>0</v>
      </c>
      <c r="BX127" s="55">
        <f>SUMIFS('Awards Summary'!$H:$H,'Awards Summary'!$B:$B,$C127,'Awards Summary'!$J:$J,"DVA")</f>
        <v>0</v>
      </c>
      <c r="BY127" s="55">
        <f>SUMIFS('Disbursements Summary'!$E:$E,'Disbursements Summary'!$C:$C,$C127,'Disbursements Summary'!$A:$A,"DVA")</f>
        <v>0</v>
      </c>
      <c r="BZ127" s="55">
        <f>SUMIFS('Awards Summary'!$H:$H,'Awards Summary'!$B:$B,$C127,'Awards Summary'!$J:$J,"DASNY")</f>
        <v>0</v>
      </c>
      <c r="CA127" s="55">
        <f>SUMIFS('Disbursements Summary'!$E:$E,'Disbursements Summary'!$C:$C,$C127,'Disbursements Summary'!$A:$A,"DASNY")</f>
        <v>0</v>
      </c>
      <c r="CB127" s="55">
        <f>SUMIFS('Awards Summary'!$H:$H,'Awards Summary'!$B:$B,$C127,'Awards Summary'!$J:$J,"EGG")</f>
        <v>0</v>
      </c>
      <c r="CC127" s="55">
        <f>SUMIFS('Disbursements Summary'!$E:$E,'Disbursements Summary'!$C:$C,$C127,'Disbursements Summary'!$A:$A,"EGG")</f>
        <v>0</v>
      </c>
      <c r="CD127" s="55">
        <f>SUMIFS('Awards Summary'!$H:$H,'Awards Summary'!$B:$B,$C127,'Awards Summary'!$J:$J,"ESD")</f>
        <v>0</v>
      </c>
      <c r="CE127" s="55">
        <f>SUMIFS('Disbursements Summary'!$E:$E,'Disbursements Summary'!$C:$C,$C127,'Disbursements Summary'!$A:$A,"ESD")</f>
        <v>0</v>
      </c>
      <c r="CF127" s="55">
        <f>SUMIFS('Awards Summary'!$H:$H,'Awards Summary'!$B:$B,$C127,'Awards Summary'!$J:$J,"EFC")</f>
        <v>0</v>
      </c>
      <c r="CG127" s="55">
        <f>SUMIFS('Disbursements Summary'!$E:$E,'Disbursements Summary'!$C:$C,$C127,'Disbursements Summary'!$A:$A,"EFC")</f>
        <v>0</v>
      </c>
      <c r="CH127" s="55">
        <f>SUMIFS('Awards Summary'!$H:$H,'Awards Summary'!$B:$B,$C127,'Awards Summary'!$J:$J,"ECFSA")</f>
        <v>0</v>
      </c>
      <c r="CI127" s="55">
        <f>SUMIFS('Disbursements Summary'!$E:$E,'Disbursements Summary'!$C:$C,$C127,'Disbursements Summary'!$A:$A,"ECFSA")</f>
        <v>0</v>
      </c>
      <c r="CJ127" s="55">
        <f>SUMIFS('Awards Summary'!$H:$H,'Awards Summary'!$B:$B,$C127,'Awards Summary'!$J:$J,"ECMC")</f>
        <v>0</v>
      </c>
      <c r="CK127" s="55">
        <f>SUMIFS('Disbursements Summary'!$E:$E,'Disbursements Summary'!$C:$C,$C127,'Disbursements Summary'!$A:$A,"ECMC")</f>
        <v>0</v>
      </c>
      <c r="CL127" s="55">
        <f>SUMIFS('Awards Summary'!$H:$H,'Awards Summary'!$B:$B,$C127,'Awards Summary'!$J:$J,"CHAMBER")</f>
        <v>0</v>
      </c>
      <c r="CM127" s="55">
        <f>SUMIFS('Disbursements Summary'!$E:$E,'Disbursements Summary'!$C:$C,$C127,'Disbursements Summary'!$A:$A,"CHAMBER")</f>
        <v>0</v>
      </c>
      <c r="CN127" s="55">
        <f>SUMIFS('Awards Summary'!$H:$H,'Awards Summary'!$B:$B,$C127,'Awards Summary'!$J:$J,"GAMING")</f>
        <v>0</v>
      </c>
      <c r="CO127" s="55">
        <f>SUMIFS('Disbursements Summary'!$E:$E,'Disbursements Summary'!$C:$C,$C127,'Disbursements Summary'!$A:$A,"GAMING")</f>
        <v>0</v>
      </c>
      <c r="CP127" s="55">
        <f>SUMIFS('Awards Summary'!$H:$H,'Awards Summary'!$B:$B,$C127,'Awards Summary'!$J:$J,"GOER")</f>
        <v>0</v>
      </c>
      <c r="CQ127" s="55">
        <f>SUMIFS('Disbursements Summary'!$E:$E,'Disbursements Summary'!$C:$C,$C127,'Disbursements Summary'!$A:$A,"GOER")</f>
        <v>0</v>
      </c>
      <c r="CR127" s="55">
        <f>SUMIFS('Awards Summary'!$H:$H,'Awards Summary'!$B:$B,$C127,'Awards Summary'!$J:$J,"HESC")</f>
        <v>0</v>
      </c>
      <c r="CS127" s="55">
        <f>SUMIFS('Disbursements Summary'!$E:$E,'Disbursements Summary'!$C:$C,$C127,'Disbursements Summary'!$A:$A,"HESC")</f>
        <v>0</v>
      </c>
      <c r="CT127" s="55">
        <f>SUMIFS('Awards Summary'!$H:$H,'Awards Summary'!$B:$B,$C127,'Awards Summary'!$J:$J,"GOSR")</f>
        <v>0</v>
      </c>
      <c r="CU127" s="55">
        <f>SUMIFS('Disbursements Summary'!$E:$E,'Disbursements Summary'!$C:$C,$C127,'Disbursements Summary'!$A:$A,"GOSR")</f>
        <v>0</v>
      </c>
      <c r="CV127" s="55">
        <f>SUMIFS('Awards Summary'!$H:$H,'Awards Summary'!$B:$B,$C127,'Awards Summary'!$J:$J,"HRPT")</f>
        <v>0</v>
      </c>
      <c r="CW127" s="55">
        <f>SUMIFS('Disbursements Summary'!$E:$E,'Disbursements Summary'!$C:$C,$C127,'Disbursements Summary'!$A:$A,"HRPT")</f>
        <v>0</v>
      </c>
      <c r="CX127" s="55">
        <f>SUMIFS('Awards Summary'!$H:$H,'Awards Summary'!$B:$B,$C127,'Awards Summary'!$J:$J,"HRBRRD")</f>
        <v>0</v>
      </c>
      <c r="CY127" s="55">
        <f>SUMIFS('Disbursements Summary'!$E:$E,'Disbursements Summary'!$C:$C,$C127,'Disbursements Summary'!$A:$A,"HRBRRD")</f>
        <v>0</v>
      </c>
      <c r="CZ127" s="55">
        <f>SUMIFS('Awards Summary'!$H:$H,'Awards Summary'!$B:$B,$C127,'Awards Summary'!$J:$J,"ITS")</f>
        <v>0</v>
      </c>
      <c r="DA127" s="55">
        <f>SUMIFS('Disbursements Summary'!$E:$E,'Disbursements Summary'!$C:$C,$C127,'Disbursements Summary'!$A:$A,"ITS")</f>
        <v>0</v>
      </c>
      <c r="DB127" s="55">
        <f>SUMIFS('Awards Summary'!$H:$H,'Awards Summary'!$B:$B,$C127,'Awards Summary'!$J:$J,"JAVITS")</f>
        <v>0</v>
      </c>
      <c r="DC127" s="55">
        <f>SUMIFS('Disbursements Summary'!$E:$E,'Disbursements Summary'!$C:$C,$C127,'Disbursements Summary'!$A:$A,"JAVITS")</f>
        <v>0</v>
      </c>
      <c r="DD127" s="55">
        <f>SUMIFS('Awards Summary'!$H:$H,'Awards Summary'!$B:$B,$C127,'Awards Summary'!$J:$J,"JCOPE")</f>
        <v>0</v>
      </c>
      <c r="DE127" s="55">
        <f>SUMIFS('Disbursements Summary'!$E:$E,'Disbursements Summary'!$C:$C,$C127,'Disbursements Summary'!$A:$A,"JCOPE")</f>
        <v>0</v>
      </c>
      <c r="DF127" s="55">
        <f>SUMIFS('Awards Summary'!$H:$H,'Awards Summary'!$B:$B,$C127,'Awards Summary'!$J:$J,"JUSTICE")</f>
        <v>0</v>
      </c>
      <c r="DG127" s="55">
        <f>SUMIFS('Disbursements Summary'!$E:$E,'Disbursements Summary'!$C:$C,$C127,'Disbursements Summary'!$A:$A,"JUSTICE")</f>
        <v>0</v>
      </c>
      <c r="DH127" s="55">
        <f>SUMIFS('Awards Summary'!$H:$H,'Awards Summary'!$B:$B,$C127,'Awards Summary'!$J:$J,"LCWSA")</f>
        <v>0</v>
      </c>
      <c r="DI127" s="55">
        <f>SUMIFS('Disbursements Summary'!$E:$E,'Disbursements Summary'!$C:$C,$C127,'Disbursements Summary'!$A:$A,"LCWSA")</f>
        <v>0</v>
      </c>
      <c r="DJ127" s="55">
        <f>SUMIFS('Awards Summary'!$H:$H,'Awards Summary'!$B:$B,$C127,'Awards Summary'!$J:$J,"LIPA")</f>
        <v>0</v>
      </c>
      <c r="DK127" s="55">
        <f>SUMIFS('Disbursements Summary'!$E:$E,'Disbursements Summary'!$C:$C,$C127,'Disbursements Summary'!$A:$A,"LIPA")</f>
        <v>0</v>
      </c>
      <c r="DL127" s="55">
        <f>SUMIFS('Awards Summary'!$H:$H,'Awards Summary'!$B:$B,$C127,'Awards Summary'!$J:$J,"MTA")</f>
        <v>0</v>
      </c>
      <c r="DM127" s="55">
        <f>SUMIFS('Disbursements Summary'!$E:$E,'Disbursements Summary'!$C:$C,$C127,'Disbursements Summary'!$A:$A,"MTA")</f>
        <v>0</v>
      </c>
      <c r="DN127" s="55">
        <f>SUMIFS('Awards Summary'!$H:$H,'Awards Summary'!$B:$B,$C127,'Awards Summary'!$J:$J,"NIFA")</f>
        <v>0</v>
      </c>
      <c r="DO127" s="55">
        <f>SUMIFS('Disbursements Summary'!$E:$E,'Disbursements Summary'!$C:$C,$C127,'Disbursements Summary'!$A:$A,"NIFA")</f>
        <v>0</v>
      </c>
      <c r="DP127" s="55">
        <f>SUMIFS('Awards Summary'!$H:$H,'Awards Summary'!$B:$B,$C127,'Awards Summary'!$J:$J,"NHCC")</f>
        <v>0</v>
      </c>
      <c r="DQ127" s="55">
        <f>SUMIFS('Disbursements Summary'!$E:$E,'Disbursements Summary'!$C:$C,$C127,'Disbursements Summary'!$A:$A,"NHCC")</f>
        <v>0</v>
      </c>
      <c r="DR127" s="55">
        <f>SUMIFS('Awards Summary'!$H:$H,'Awards Summary'!$B:$B,$C127,'Awards Summary'!$J:$J,"NHT")</f>
        <v>0</v>
      </c>
      <c r="DS127" s="55">
        <f>SUMIFS('Disbursements Summary'!$E:$E,'Disbursements Summary'!$C:$C,$C127,'Disbursements Summary'!$A:$A,"NHT")</f>
        <v>0</v>
      </c>
      <c r="DT127" s="55">
        <f>SUMIFS('Awards Summary'!$H:$H,'Awards Summary'!$B:$B,$C127,'Awards Summary'!$J:$J,"NYPA")</f>
        <v>0</v>
      </c>
      <c r="DU127" s="55">
        <f>SUMIFS('Disbursements Summary'!$E:$E,'Disbursements Summary'!$C:$C,$C127,'Disbursements Summary'!$A:$A,"NYPA")</f>
        <v>0</v>
      </c>
      <c r="DV127" s="55">
        <f>SUMIFS('Awards Summary'!$H:$H,'Awards Summary'!$B:$B,$C127,'Awards Summary'!$J:$J,"NYSBA")</f>
        <v>0</v>
      </c>
      <c r="DW127" s="55">
        <f>SUMIFS('Disbursements Summary'!$E:$E,'Disbursements Summary'!$C:$C,$C127,'Disbursements Summary'!$A:$A,"NYSBA")</f>
        <v>0</v>
      </c>
      <c r="DX127" s="55">
        <f>SUMIFS('Awards Summary'!$H:$H,'Awards Summary'!$B:$B,$C127,'Awards Summary'!$J:$J,"NYSERDA")</f>
        <v>0</v>
      </c>
      <c r="DY127" s="55">
        <f>SUMIFS('Disbursements Summary'!$E:$E,'Disbursements Summary'!$C:$C,$C127,'Disbursements Summary'!$A:$A,"NYSERDA")</f>
        <v>0</v>
      </c>
      <c r="DZ127" s="55">
        <f>SUMIFS('Awards Summary'!$H:$H,'Awards Summary'!$B:$B,$C127,'Awards Summary'!$J:$J,"DHCR")</f>
        <v>0</v>
      </c>
      <c r="EA127" s="55">
        <f>SUMIFS('Disbursements Summary'!$E:$E,'Disbursements Summary'!$C:$C,$C127,'Disbursements Summary'!$A:$A,"DHCR")</f>
        <v>0</v>
      </c>
      <c r="EB127" s="55">
        <f>SUMIFS('Awards Summary'!$H:$H,'Awards Summary'!$B:$B,$C127,'Awards Summary'!$J:$J,"HFA")</f>
        <v>0</v>
      </c>
      <c r="EC127" s="55">
        <f>SUMIFS('Disbursements Summary'!$E:$E,'Disbursements Summary'!$C:$C,$C127,'Disbursements Summary'!$A:$A,"HFA")</f>
        <v>0</v>
      </c>
      <c r="ED127" s="55">
        <f>SUMIFS('Awards Summary'!$H:$H,'Awards Summary'!$B:$B,$C127,'Awards Summary'!$J:$J,"NYSIF")</f>
        <v>0</v>
      </c>
      <c r="EE127" s="55">
        <f>SUMIFS('Disbursements Summary'!$E:$E,'Disbursements Summary'!$C:$C,$C127,'Disbursements Summary'!$A:$A,"NYSIF")</f>
        <v>0</v>
      </c>
      <c r="EF127" s="55">
        <f>SUMIFS('Awards Summary'!$H:$H,'Awards Summary'!$B:$B,$C127,'Awards Summary'!$J:$J,"NYBREDS")</f>
        <v>0</v>
      </c>
      <c r="EG127" s="55">
        <f>SUMIFS('Disbursements Summary'!$E:$E,'Disbursements Summary'!$C:$C,$C127,'Disbursements Summary'!$A:$A,"NYBREDS")</f>
        <v>0</v>
      </c>
      <c r="EH127" s="55">
        <f>SUMIFS('Awards Summary'!$H:$H,'Awards Summary'!$B:$B,$C127,'Awards Summary'!$J:$J,"NYSTA")</f>
        <v>0</v>
      </c>
      <c r="EI127" s="55">
        <f>SUMIFS('Disbursements Summary'!$E:$E,'Disbursements Summary'!$C:$C,$C127,'Disbursements Summary'!$A:$A,"NYSTA")</f>
        <v>0</v>
      </c>
      <c r="EJ127" s="55">
        <f>SUMIFS('Awards Summary'!$H:$H,'Awards Summary'!$B:$B,$C127,'Awards Summary'!$J:$J,"NFWB")</f>
        <v>0</v>
      </c>
      <c r="EK127" s="55">
        <f>SUMIFS('Disbursements Summary'!$E:$E,'Disbursements Summary'!$C:$C,$C127,'Disbursements Summary'!$A:$A,"NFWB")</f>
        <v>0</v>
      </c>
      <c r="EL127" s="55">
        <f>SUMIFS('Awards Summary'!$H:$H,'Awards Summary'!$B:$B,$C127,'Awards Summary'!$J:$J,"NFTA")</f>
        <v>0</v>
      </c>
      <c r="EM127" s="55">
        <f>SUMIFS('Disbursements Summary'!$E:$E,'Disbursements Summary'!$C:$C,$C127,'Disbursements Summary'!$A:$A,"NFTA")</f>
        <v>0</v>
      </c>
      <c r="EN127" s="55">
        <f>SUMIFS('Awards Summary'!$H:$H,'Awards Summary'!$B:$B,$C127,'Awards Summary'!$J:$J,"OPWDD")</f>
        <v>0</v>
      </c>
      <c r="EO127" s="55">
        <f>SUMIFS('Disbursements Summary'!$E:$E,'Disbursements Summary'!$C:$C,$C127,'Disbursements Summary'!$A:$A,"OPWDD")</f>
        <v>0</v>
      </c>
      <c r="EP127" s="55">
        <f>SUMIFS('Awards Summary'!$H:$H,'Awards Summary'!$B:$B,$C127,'Awards Summary'!$J:$J,"AGING")</f>
        <v>0</v>
      </c>
      <c r="EQ127" s="55">
        <f>SUMIFS('Disbursements Summary'!$E:$E,'Disbursements Summary'!$C:$C,$C127,'Disbursements Summary'!$A:$A,"AGING")</f>
        <v>0</v>
      </c>
      <c r="ER127" s="55">
        <f>SUMIFS('Awards Summary'!$H:$H,'Awards Summary'!$B:$B,$C127,'Awards Summary'!$J:$J,"OPDV")</f>
        <v>0</v>
      </c>
      <c r="ES127" s="55">
        <f>SUMIFS('Disbursements Summary'!$E:$E,'Disbursements Summary'!$C:$C,$C127,'Disbursements Summary'!$A:$A,"OPDV")</f>
        <v>0</v>
      </c>
      <c r="ET127" s="55">
        <f>SUMIFS('Awards Summary'!$H:$H,'Awards Summary'!$B:$B,$C127,'Awards Summary'!$J:$J,"OVS")</f>
        <v>0</v>
      </c>
      <c r="EU127" s="55">
        <f>SUMIFS('Disbursements Summary'!$E:$E,'Disbursements Summary'!$C:$C,$C127,'Disbursements Summary'!$A:$A,"OVS")</f>
        <v>0</v>
      </c>
      <c r="EV127" s="55">
        <f>SUMIFS('Awards Summary'!$H:$H,'Awards Summary'!$B:$B,$C127,'Awards Summary'!$J:$J,"OASAS")</f>
        <v>0</v>
      </c>
      <c r="EW127" s="55">
        <f>SUMIFS('Disbursements Summary'!$E:$E,'Disbursements Summary'!$C:$C,$C127,'Disbursements Summary'!$A:$A,"OASAS")</f>
        <v>0</v>
      </c>
      <c r="EX127" s="55">
        <f>SUMIFS('Awards Summary'!$H:$H,'Awards Summary'!$B:$B,$C127,'Awards Summary'!$J:$J,"OCFS")</f>
        <v>0</v>
      </c>
      <c r="EY127" s="55">
        <f>SUMIFS('Disbursements Summary'!$E:$E,'Disbursements Summary'!$C:$C,$C127,'Disbursements Summary'!$A:$A,"OCFS")</f>
        <v>0</v>
      </c>
      <c r="EZ127" s="55">
        <f>SUMIFS('Awards Summary'!$H:$H,'Awards Summary'!$B:$B,$C127,'Awards Summary'!$J:$J,"OGS")</f>
        <v>0</v>
      </c>
      <c r="FA127" s="55">
        <f>SUMIFS('Disbursements Summary'!$E:$E,'Disbursements Summary'!$C:$C,$C127,'Disbursements Summary'!$A:$A,"OGS")</f>
        <v>0</v>
      </c>
      <c r="FB127" s="55">
        <f>SUMIFS('Awards Summary'!$H:$H,'Awards Summary'!$B:$B,$C127,'Awards Summary'!$J:$J,"OMH")</f>
        <v>0</v>
      </c>
      <c r="FC127" s="55">
        <f>SUMIFS('Disbursements Summary'!$E:$E,'Disbursements Summary'!$C:$C,$C127,'Disbursements Summary'!$A:$A,"OMH")</f>
        <v>0</v>
      </c>
      <c r="FD127" s="55">
        <f>SUMIFS('Awards Summary'!$H:$H,'Awards Summary'!$B:$B,$C127,'Awards Summary'!$J:$J,"PARKS")</f>
        <v>0</v>
      </c>
      <c r="FE127" s="55">
        <f>SUMIFS('Disbursements Summary'!$E:$E,'Disbursements Summary'!$C:$C,$C127,'Disbursements Summary'!$A:$A,"PARKS")</f>
        <v>0</v>
      </c>
      <c r="FF127" s="55">
        <f>SUMIFS('Awards Summary'!$H:$H,'Awards Summary'!$B:$B,$C127,'Awards Summary'!$J:$J,"OTDA")</f>
        <v>0</v>
      </c>
      <c r="FG127" s="55">
        <f>SUMIFS('Disbursements Summary'!$E:$E,'Disbursements Summary'!$C:$C,$C127,'Disbursements Summary'!$A:$A,"OTDA")</f>
        <v>0</v>
      </c>
      <c r="FH127" s="55">
        <f>SUMIFS('Awards Summary'!$H:$H,'Awards Summary'!$B:$B,$C127,'Awards Summary'!$J:$J,"OIG")</f>
        <v>0</v>
      </c>
      <c r="FI127" s="55">
        <f>SUMIFS('Disbursements Summary'!$E:$E,'Disbursements Summary'!$C:$C,$C127,'Disbursements Summary'!$A:$A,"OIG")</f>
        <v>0</v>
      </c>
      <c r="FJ127" s="55">
        <f>SUMIFS('Awards Summary'!$H:$H,'Awards Summary'!$B:$B,$C127,'Awards Summary'!$J:$J,"OMIG")</f>
        <v>0</v>
      </c>
      <c r="FK127" s="55">
        <f>SUMIFS('Disbursements Summary'!$E:$E,'Disbursements Summary'!$C:$C,$C127,'Disbursements Summary'!$A:$A,"OMIG")</f>
        <v>0</v>
      </c>
      <c r="FL127" s="55">
        <f>SUMIFS('Awards Summary'!$H:$H,'Awards Summary'!$B:$B,$C127,'Awards Summary'!$J:$J,"OSC")</f>
        <v>0</v>
      </c>
      <c r="FM127" s="55">
        <f>SUMIFS('Disbursements Summary'!$E:$E,'Disbursements Summary'!$C:$C,$C127,'Disbursements Summary'!$A:$A,"OSC")</f>
        <v>0</v>
      </c>
      <c r="FN127" s="55">
        <f>SUMIFS('Awards Summary'!$H:$H,'Awards Summary'!$B:$B,$C127,'Awards Summary'!$J:$J,"OWIG")</f>
        <v>0</v>
      </c>
      <c r="FO127" s="55">
        <f>SUMIFS('Disbursements Summary'!$E:$E,'Disbursements Summary'!$C:$C,$C127,'Disbursements Summary'!$A:$A,"OWIG")</f>
        <v>0</v>
      </c>
      <c r="FP127" s="55">
        <f>SUMIFS('Awards Summary'!$H:$H,'Awards Summary'!$B:$B,$C127,'Awards Summary'!$J:$J,"OGDEN")</f>
        <v>0</v>
      </c>
      <c r="FQ127" s="55">
        <f>SUMIFS('Disbursements Summary'!$E:$E,'Disbursements Summary'!$C:$C,$C127,'Disbursements Summary'!$A:$A,"OGDEN")</f>
        <v>0</v>
      </c>
      <c r="FR127" s="55">
        <f>SUMIFS('Awards Summary'!$H:$H,'Awards Summary'!$B:$B,$C127,'Awards Summary'!$J:$J,"ORDA")</f>
        <v>0</v>
      </c>
      <c r="FS127" s="55">
        <f>SUMIFS('Disbursements Summary'!$E:$E,'Disbursements Summary'!$C:$C,$C127,'Disbursements Summary'!$A:$A,"ORDA")</f>
        <v>0</v>
      </c>
      <c r="FT127" s="55">
        <f>SUMIFS('Awards Summary'!$H:$H,'Awards Summary'!$B:$B,$C127,'Awards Summary'!$J:$J,"OSWEGO")</f>
        <v>0</v>
      </c>
      <c r="FU127" s="55">
        <f>SUMIFS('Disbursements Summary'!$E:$E,'Disbursements Summary'!$C:$C,$C127,'Disbursements Summary'!$A:$A,"OSWEGO")</f>
        <v>0</v>
      </c>
      <c r="FV127" s="55">
        <f>SUMIFS('Awards Summary'!$H:$H,'Awards Summary'!$B:$B,$C127,'Awards Summary'!$J:$J,"PERB")</f>
        <v>0</v>
      </c>
      <c r="FW127" s="55">
        <f>SUMIFS('Disbursements Summary'!$E:$E,'Disbursements Summary'!$C:$C,$C127,'Disbursements Summary'!$A:$A,"PERB")</f>
        <v>0</v>
      </c>
      <c r="FX127" s="55">
        <f>SUMIFS('Awards Summary'!$H:$H,'Awards Summary'!$B:$B,$C127,'Awards Summary'!$J:$J,"RGRTA")</f>
        <v>0</v>
      </c>
      <c r="FY127" s="55">
        <f>SUMIFS('Disbursements Summary'!$E:$E,'Disbursements Summary'!$C:$C,$C127,'Disbursements Summary'!$A:$A,"RGRTA")</f>
        <v>0</v>
      </c>
      <c r="FZ127" s="55">
        <f>SUMIFS('Awards Summary'!$H:$H,'Awards Summary'!$B:$B,$C127,'Awards Summary'!$J:$J,"RIOC")</f>
        <v>0</v>
      </c>
      <c r="GA127" s="55">
        <f>SUMIFS('Disbursements Summary'!$E:$E,'Disbursements Summary'!$C:$C,$C127,'Disbursements Summary'!$A:$A,"RIOC")</f>
        <v>0</v>
      </c>
      <c r="GB127" s="55">
        <f>SUMIFS('Awards Summary'!$H:$H,'Awards Summary'!$B:$B,$C127,'Awards Summary'!$J:$J,"RPCI")</f>
        <v>0</v>
      </c>
      <c r="GC127" s="55">
        <f>SUMIFS('Disbursements Summary'!$E:$E,'Disbursements Summary'!$C:$C,$C127,'Disbursements Summary'!$A:$A,"RPCI")</f>
        <v>0</v>
      </c>
      <c r="GD127" s="55">
        <f>SUMIFS('Awards Summary'!$H:$H,'Awards Summary'!$B:$B,$C127,'Awards Summary'!$J:$J,"SMDA")</f>
        <v>0</v>
      </c>
      <c r="GE127" s="55">
        <f>SUMIFS('Disbursements Summary'!$E:$E,'Disbursements Summary'!$C:$C,$C127,'Disbursements Summary'!$A:$A,"SMDA")</f>
        <v>0</v>
      </c>
      <c r="GF127" s="55">
        <f>SUMIFS('Awards Summary'!$H:$H,'Awards Summary'!$B:$B,$C127,'Awards Summary'!$J:$J,"SCOC")</f>
        <v>0</v>
      </c>
      <c r="GG127" s="55">
        <f>SUMIFS('Disbursements Summary'!$E:$E,'Disbursements Summary'!$C:$C,$C127,'Disbursements Summary'!$A:$A,"SCOC")</f>
        <v>0</v>
      </c>
      <c r="GH127" s="55">
        <f>SUMIFS('Awards Summary'!$H:$H,'Awards Summary'!$B:$B,$C127,'Awards Summary'!$J:$J,"SUCF")</f>
        <v>0</v>
      </c>
      <c r="GI127" s="55">
        <f>SUMIFS('Disbursements Summary'!$E:$E,'Disbursements Summary'!$C:$C,$C127,'Disbursements Summary'!$A:$A,"SUCF")</f>
        <v>0</v>
      </c>
      <c r="GJ127" s="55">
        <f>SUMIFS('Awards Summary'!$H:$H,'Awards Summary'!$B:$B,$C127,'Awards Summary'!$J:$J,"SUNY")</f>
        <v>0</v>
      </c>
      <c r="GK127" s="55">
        <f>SUMIFS('Disbursements Summary'!$E:$E,'Disbursements Summary'!$C:$C,$C127,'Disbursements Summary'!$A:$A,"SUNY")</f>
        <v>0</v>
      </c>
      <c r="GL127" s="55">
        <f>SUMIFS('Awards Summary'!$H:$H,'Awards Summary'!$B:$B,$C127,'Awards Summary'!$J:$J,"SRAA")</f>
        <v>0</v>
      </c>
      <c r="GM127" s="55">
        <f>SUMIFS('Disbursements Summary'!$E:$E,'Disbursements Summary'!$C:$C,$C127,'Disbursements Summary'!$A:$A,"SRAA")</f>
        <v>0</v>
      </c>
      <c r="GN127" s="55">
        <f>SUMIFS('Awards Summary'!$H:$H,'Awards Summary'!$B:$B,$C127,'Awards Summary'!$J:$J,"UNDC")</f>
        <v>0</v>
      </c>
      <c r="GO127" s="55">
        <f>SUMIFS('Disbursements Summary'!$E:$E,'Disbursements Summary'!$C:$C,$C127,'Disbursements Summary'!$A:$A,"UNDC")</f>
        <v>0</v>
      </c>
      <c r="GP127" s="55">
        <f>SUMIFS('Awards Summary'!$H:$H,'Awards Summary'!$B:$B,$C127,'Awards Summary'!$J:$J,"MVWA")</f>
        <v>0</v>
      </c>
      <c r="GQ127" s="55">
        <f>SUMIFS('Disbursements Summary'!$E:$E,'Disbursements Summary'!$C:$C,$C127,'Disbursements Summary'!$A:$A,"MVWA")</f>
        <v>0</v>
      </c>
      <c r="GR127" s="55">
        <f>SUMIFS('Awards Summary'!$H:$H,'Awards Summary'!$B:$B,$C127,'Awards Summary'!$J:$J,"WMC")</f>
        <v>0</v>
      </c>
      <c r="GS127" s="55">
        <f>SUMIFS('Disbursements Summary'!$E:$E,'Disbursements Summary'!$C:$C,$C127,'Disbursements Summary'!$A:$A,"WMC")</f>
        <v>0</v>
      </c>
      <c r="GT127" s="55">
        <f>SUMIFS('Awards Summary'!$H:$H,'Awards Summary'!$B:$B,$C127,'Awards Summary'!$J:$J,"WCB")</f>
        <v>0</v>
      </c>
      <c r="GU127" s="55">
        <f>SUMIFS('Disbursements Summary'!$E:$E,'Disbursements Summary'!$C:$C,$C127,'Disbursements Summary'!$A:$A,"WCB")</f>
        <v>0</v>
      </c>
      <c r="GV127" s="32">
        <f t="shared" si="10"/>
        <v>0</v>
      </c>
      <c r="GW127" s="32">
        <f t="shared" si="11"/>
        <v>0</v>
      </c>
      <c r="GX127" s="30" t="b">
        <f t="shared" si="12"/>
        <v>1</v>
      </c>
      <c r="GY127" s="30" t="b">
        <f t="shared" si="13"/>
        <v>1</v>
      </c>
    </row>
    <row r="128" spans="1:207" s="30" customFormat="1">
      <c r="A128" s="22" t="str">
        <f>IF(D128&gt;0,"X","")</f>
        <v/>
      </c>
      <c r="B128" s="64" t="s">
        <v>486</v>
      </c>
      <c r="C128" s="29">
        <v>161317</v>
      </c>
      <c r="D128" s="26">
        <f>COUNTIF('Awards Summary'!B:B,"161317")</f>
        <v>0</v>
      </c>
      <c r="E128" s="45">
        <f>SUMIFS('Awards Summary'!H:H,'Awards Summary'!B:B,"161317")</f>
        <v>0</v>
      </c>
      <c r="F128" s="46">
        <f>SUMIFS('Disbursements Summary'!E:E,'Disbursements Summary'!C:C, "161317")</f>
        <v>0</v>
      </c>
      <c r="H128" s="55">
        <f>SUMIFS('Awards Summary'!$H:$H,'Awards Summary'!$B:$B,$C128,'Awards Summary'!$J:$J,"APA")</f>
        <v>0</v>
      </c>
      <c r="I128" s="55">
        <f>SUMIFS('Disbursements Summary'!$E:$E,'Disbursements Summary'!$C:$C,$C128,'Disbursements Summary'!$A:$A,"APA")</f>
        <v>0</v>
      </c>
      <c r="J128" s="55">
        <f>SUMIFS('Awards Summary'!$H:$H,'Awards Summary'!$B:$B,$C128,'Awards Summary'!$J:$J,"Ag&amp;Horse")</f>
        <v>0</v>
      </c>
      <c r="K128" s="55">
        <f>SUMIFS('Disbursements Summary'!$E:$E,'Disbursements Summary'!$C:$C,$C128,'Disbursements Summary'!$A:$A,"Ag&amp;Horse")</f>
        <v>0</v>
      </c>
      <c r="L128" s="55">
        <f>SUMIFS('Awards Summary'!$H:$H,'Awards Summary'!$B:$B,$C128,'Awards Summary'!$J:$J,"ACAA")</f>
        <v>0</v>
      </c>
      <c r="M128" s="55">
        <f>SUMIFS('Disbursements Summary'!$E:$E,'Disbursements Summary'!$C:$C,$C128,'Disbursements Summary'!$A:$A,"ACAA")</f>
        <v>0</v>
      </c>
      <c r="N128" s="55">
        <f>SUMIFS('Awards Summary'!$H:$H,'Awards Summary'!$B:$B,$C128,'Awards Summary'!$J:$J,"PortAlbany")</f>
        <v>0</v>
      </c>
      <c r="O128" s="55">
        <f>SUMIFS('Disbursements Summary'!$E:$E,'Disbursements Summary'!$C:$C,$C128,'Disbursements Summary'!$A:$A,"PortAlbany")</f>
        <v>0</v>
      </c>
      <c r="P128" s="55">
        <f>SUMIFS('Awards Summary'!$H:$H,'Awards Summary'!$B:$B,$C128,'Awards Summary'!$J:$J,"SLA")</f>
        <v>0</v>
      </c>
      <c r="Q128" s="55">
        <f>SUMIFS('Disbursements Summary'!$E:$E,'Disbursements Summary'!$C:$C,$C128,'Disbursements Summary'!$A:$A,"SLA")</f>
        <v>0</v>
      </c>
      <c r="R128" s="55">
        <f>SUMIFS('Awards Summary'!$H:$H,'Awards Summary'!$B:$B,$C128,'Awards Summary'!$J:$J,"BPCA")</f>
        <v>0</v>
      </c>
      <c r="S128" s="55">
        <f>SUMIFS('Disbursements Summary'!$E:$E,'Disbursements Summary'!$C:$C,$C128,'Disbursements Summary'!$A:$A,"BPCA")</f>
        <v>0</v>
      </c>
      <c r="T128" s="55">
        <f>SUMIFS('Awards Summary'!$H:$H,'Awards Summary'!$B:$B,$C128,'Awards Summary'!$J:$J,"ELECTIONS")</f>
        <v>0</v>
      </c>
      <c r="U128" s="55">
        <f>SUMIFS('Disbursements Summary'!$E:$E,'Disbursements Summary'!$C:$C,$C128,'Disbursements Summary'!$A:$A,"ELECTIONS")</f>
        <v>0</v>
      </c>
      <c r="V128" s="55">
        <f>SUMIFS('Awards Summary'!$H:$H,'Awards Summary'!$B:$B,$C128,'Awards Summary'!$J:$J,"BFSA")</f>
        <v>0</v>
      </c>
      <c r="W128" s="55">
        <f>SUMIFS('Disbursements Summary'!$E:$E,'Disbursements Summary'!$C:$C,$C128,'Disbursements Summary'!$A:$A,"BFSA")</f>
        <v>0</v>
      </c>
      <c r="X128" s="55">
        <f>SUMIFS('Awards Summary'!$H:$H,'Awards Summary'!$B:$B,$C128,'Awards Summary'!$J:$J,"CDTA")</f>
        <v>0</v>
      </c>
      <c r="Y128" s="55">
        <f>SUMIFS('Disbursements Summary'!$E:$E,'Disbursements Summary'!$C:$C,$C128,'Disbursements Summary'!$A:$A,"CDTA")</f>
        <v>0</v>
      </c>
      <c r="Z128" s="55">
        <f>SUMIFS('Awards Summary'!$H:$H,'Awards Summary'!$B:$B,$C128,'Awards Summary'!$J:$J,"CCWSA")</f>
        <v>0</v>
      </c>
      <c r="AA128" s="55">
        <f>SUMIFS('Disbursements Summary'!$E:$E,'Disbursements Summary'!$C:$C,$C128,'Disbursements Summary'!$A:$A,"CCWSA")</f>
        <v>0</v>
      </c>
      <c r="AB128" s="55">
        <f>SUMIFS('Awards Summary'!$H:$H,'Awards Summary'!$B:$B,$C128,'Awards Summary'!$J:$J,"CNYRTA")</f>
        <v>0</v>
      </c>
      <c r="AC128" s="55">
        <f>SUMIFS('Disbursements Summary'!$E:$E,'Disbursements Summary'!$C:$C,$C128,'Disbursements Summary'!$A:$A,"CNYRTA")</f>
        <v>0</v>
      </c>
      <c r="AD128" s="55">
        <f>SUMIFS('Awards Summary'!$H:$H,'Awards Summary'!$B:$B,$C128,'Awards Summary'!$J:$J,"CUCF")</f>
        <v>0</v>
      </c>
      <c r="AE128" s="55">
        <f>SUMIFS('Disbursements Summary'!$E:$E,'Disbursements Summary'!$C:$C,$C128,'Disbursements Summary'!$A:$A,"CUCF")</f>
        <v>0</v>
      </c>
      <c r="AF128" s="55">
        <f>SUMIFS('Awards Summary'!$H:$H,'Awards Summary'!$B:$B,$C128,'Awards Summary'!$J:$J,"CUNY")</f>
        <v>0</v>
      </c>
      <c r="AG128" s="55">
        <f>SUMIFS('Disbursements Summary'!$E:$E,'Disbursements Summary'!$C:$C,$C128,'Disbursements Summary'!$A:$A,"CUNY")</f>
        <v>0</v>
      </c>
      <c r="AH128" s="55">
        <f>SUMIFS('Awards Summary'!$H:$H,'Awards Summary'!$B:$B,$C128,'Awards Summary'!$J:$J,"ARTS")</f>
        <v>0</v>
      </c>
      <c r="AI128" s="55">
        <f>SUMIFS('Disbursements Summary'!$E:$E,'Disbursements Summary'!$C:$C,$C128,'Disbursements Summary'!$A:$A,"ARTS")</f>
        <v>0</v>
      </c>
      <c r="AJ128" s="55">
        <f>SUMIFS('Awards Summary'!$H:$H,'Awards Summary'!$B:$B,$C128,'Awards Summary'!$J:$J,"AG&amp;MKTS")</f>
        <v>0</v>
      </c>
      <c r="AK128" s="55">
        <f>SUMIFS('Disbursements Summary'!$E:$E,'Disbursements Summary'!$C:$C,$C128,'Disbursements Summary'!$A:$A,"AG&amp;MKTS")</f>
        <v>0</v>
      </c>
      <c r="AL128" s="55">
        <f>SUMIFS('Awards Summary'!$H:$H,'Awards Summary'!$B:$B,$C128,'Awards Summary'!$J:$J,"CS")</f>
        <v>0</v>
      </c>
      <c r="AM128" s="55">
        <f>SUMIFS('Disbursements Summary'!$E:$E,'Disbursements Summary'!$C:$C,$C128,'Disbursements Summary'!$A:$A,"CS")</f>
        <v>0</v>
      </c>
      <c r="AN128" s="55">
        <f>SUMIFS('Awards Summary'!$H:$H,'Awards Summary'!$B:$B,$C128,'Awards Summary'!$J:$J,"DOCCS")</f>
        <v>0</v>
      </c>
      <c r="AO128" s="55">
        <f>SUMIFS('Disbursements Summary'!$E:$E,'Disbursements Summary'!$C:$C,$C128,'Disbursements Summary'!$A:$A,"DOCCS")</f>
        <v>0</v>
      </c>
      <c r="AP128" s="55">
        <f>SUMIFS('Awards Summary'!$H:$H,'Awards Summary'!$B:$B,$C128,'Awards Summary'!$J:$J,"DED")</f>
        <v>0</v>
      </c>
      <c r="AQ128" s="55">
        <f>SUMIFS('Disbursements Summary'!$E:$E,'Disbursements Summary'!$C:$C,$C128,'Disbursements Summary'!$A:$A,"DED")</f>
        <v>0</v>
      </c>
      <c r="AR128" s="55">
        <f>SUMIFS('Awards Summary'!$H:$H,'Awards Summary'!$B:$B,$C128,'Awards Summary'!$J:$J,"DEC")</f>
        <v>0</v>
      </c>
      <c r="AS128" s="55">
        <f>SUMIFS('Disbursements Summary'!$E:$E,'Disbursements Summary'!$C:$C,$C128,'Disbursements Summary'!$A:$A,"DEC")</f>
        <v>0</v>
      </c>
      <c r="AT128" s="55">
        <f>SUMIFS('Awards Summary'!$H:$H,'Awards Summary'!$B:$B,$C128,'Awards Summary'!$J:$J,"DFS")</f>
        <v>0</v>
      </c>
      <c r="AU128" s="55">
        <f>SUMIFS('Disbursements Summary'!$E:$E,'Disbursements Summary'!$C:$C,$C128,'Disbursements Summary'!$A:$A,"DFS")</f>
        <v>0</v>
      </c>
      <c r="AV128" s="55">
        <f>SUMIFS('Awards Summary'!$H:$H,'Awards Summary'!$B:$B,$C128,'Awards Summary'!$J:$J,"DOH")</f>
        <v>0</v>
      </c>
      <c r="AW128" s="55">
        <f>SUMIFS('Disbursements Summary'!$E:$E,'Disbursements Summary'!$C:$C,$C128,'Disbursements Summary'!$A:$A,"DOH")</f>
        <v>0</v>
      </c>
      <c r="AX128" s="55">
        <f>SUMIFS('Awards Summary'!$H:$H,'Awards Summary'!$B:$B,$C128,'Awards Summary'!$J:$J,"DOL")</f>
        <v>0</v>
      </c>
      <c r="AY128" s="55">
        <f>SUMIFS('Disbursements Summary'!$E:$E,'Disbursements Summary'!$C:$C,$C128,'Disbursements Summary'!$A:$A,"DOL")</f>
        <v>0</v>
      </c>
      <c r="AZ128" s="55">
        <f>SUMIFS('Awards Summary'!$H:$H,'Awards Summary'!$B:$B,$C128,'Awards Summary'!$J:$J,"DMV")</f>
        <v>0</v>
      </c>
      <c r="BA128" s="55">
        <f>SUMIFS('Disbursements Summary'!$E:$E,'Disbursements Summary'!$C:$C,$C128,'Disbursements Summary'!$A:$A,"DMV")</f>
        <v>0</v>
      </c>
      <c r="BB128" s="55">
        <f>SUMIFS('Awards Summary'!$H:$H,'Awards Summary'!$B:$B,$C128,'Awards Summary'!$J:$J,"DPS")</f>
        <v>0</v>
      </c>
      <c r="BC128" s="55">
        <f>SUMIFS('Disbursements Summary'!$E:$E,'Disbursements Summary'!$C:$C,$C128,'Disbursements Summary'!$A:$A,"DPS")</f>
        <v>0</v>
      </c>
      <c r="BD128" s="55">
        <f>SUMIFS('Awards Summary'!$H:$H,'Awards Summary'!$B:$B,$C128,'Awards Summary'!$J:$J,"DOS")</f>
        <v>0</v>
      </c>
      <c r="BE128" s="55">
        <f>SUMIFS('Disbursements Summary'!$E:$E,'Disbursements Summary'!$C:$C,$C128,'Disbursements Summary'!$A:$A,"DOS")</f>
        <v>0</v>
      </c>
      <c r="BF128" s="55">
        <f>SUMIFS('Awards Summary'!$H:$H,'Awards Summary'!$B:$B,$C128,'Awards Summary'!$J:$J,"TAX")</f>
        <v>0</v>
      </c>
      <c r="BG128" s="55">
        <f>SUMIFS('Disbursements Summary'!$E:$E,'Disbursements Summary'!$C:$C,$C128,'Disbursements Summary'!$A:$A,"TAX")</f>
        <v>0</v>
      </c>
      <c r="BH128" s="55">
        <f>SUMIFS('Awards Summary'!$H:$H,'Awards Summary'!$B:$B,$C128,'Awards Summary'!$J:$J,"DOT")</f>
        <v>0</v>
      </c>
      <c r="BI128" s="55">
        <f>SUMIFS('Disbursements Summary'!$E:$E,'Disbursements Summary'!$C:$C,$C128,'Disbursements Summary'!$A:$A,"DOT")</f>
        <v>0</v>
      </c>
      <c r="BJ128" s="55">
        <f>SUMIFS('Awards Summary'!$H:$H,'Awards Summary'!$B:$B,$C128,'Awards Summary'!$J:$J,"DANC")</f>
        <v>0</v>
      </c>
      <c r="BK128" s="55">
        <f>SUMIFS('Disbursements Summary'!$E:$E,'Disbursements Summary'!$C:$C,$C128,'Disbursements Summary'!$A:$A,"DANC")</f>
        <v>0</v>
      </c>
      <c r="BL128" s="55">
        <f>SUMIFS('Awards Summary'!$H:$H,'Awards Summary'!$B:$B,$C128,'Awards Summary'!$J:$J,"DOB")</f>
        <v>0</v>
      </c>
      <c r="BM128" s="55">
        <f>SUMIFS('Disbursements Summary'!$E:$E,'Disbursements Summary'!$C:$C,$C128,'Disbursements Summary'!$A:$A,"DOB")</f>
        <v>0</v>
      </c>
      <c r="BN128" s="55">
        <f>SUMIFS('Awards Summary'!$H:$H,'Awards Summary'!$B:$B,$C128,'Awards Summary'!$J:$J,"DCJS")</f>
        <v>0</v>
      </c>
      <c r="BO128" s="55">
        <f>SUMIFS('Disbursements Summary'!$E:$E,'Disbursements Summary'!$C:$C,$C128,'Disbursements Summary'!$A:$A,"DCJS")</f>
        <v>0</v>
      </c>
      <c r="BP128" s="55">
        <f>SUMIFS('Awards Summary'!$H:$H,'Awards Summary'!$B:$B,$C128,'Awards Summary'!$J:$J,"DHSES")</f>
        <v>0</v>
      </c>
      <c r="BQ128" s="55">
        <f>SUMIFS('Disbursements Summary'!$E:$E,'Disbursements Summary'!$C:$C,$C128,'Disbursements Summary'!$A:$A,"DHSES")</f>
        <v>0</v>
      </c>
      <c r="BR128" s="55">
        <f>SUMIFS('Awards Summary'!$H:$H,'Awards Summary'!$B:$B,$C128,'Awards Summary'!$J:$J,"DHR")</f>
        <v>0</v>
      </c>
      <c r="BS128" s="55">
        <f>SUMIFS('Disbursements Summary'!$E:$E,'Disbursements Summary'!$C:$C,$C128,'Disbursements Summary'!$A:$A,"DHR")</f>
        <v>0</v>
      </c>
      <c r="BT128" s="55">
        <f>SUMIFS('Awards Summary'!$H:$H,'Awards Summary'!$B:$B,$C128,'Awards Summary'!$J:$J,"DMNA")</f>
        <v>0</v>
      </c>
      <c r="BU128" s="55">
        <f>SUMIFS('Disbursements Summary'!$E:$E,'Disbursements Summary'!$C:$C,$C128,'Disbursements Summary'!$A:$A,"DMNA")</f>
        <v>0</v>
      </c>
      <c r="BV128" s="55">
        <f>SUMIFS('Awards Summary'!$H:$H,'Awards Summary'!$B:$B,$C128,'Awards Summary'!$J:$J,"TROOPERS")</f>
        <v>0</v>
      </c>
      <c r="BW128" s="55">
        <f>SUMIFS('Disbursements Summary'!$E:$E,'Disbursements Summary'!$C:$C,$C128,'Disbursements Summary'!$A:$A,"TROOPERS")</f>
        <v>0</v>
      </c>
      <c r="BX128" s="55">
        <f>SUMIFS('Awards Summary'!$H:$H,'Awards Summary'!$B:$B,$C128,'Awards Summary'!$J:$J,"DVA")</f>
        <v>0</v>
      </c>
      <c r="BY128" s="55">
        <f>SUMIFS('Disbursements Summary'!$E:$E,'Disbursements Summary'!$C:$C,$C128,'Disbursements Summary'!$A:$A,"DVA")</f>
        <v>0</v>
      </c>
      <c r="BZ128" s="55">
        <f>SUMIFS('Awards Summary'!$H:$H,'Awards Summary'!$B:$B,$C128,'Awards Summary'!$J:$J,"DASNY")</f>
        <v>0</v>
      </c>
      <c r="CA128" s="55">
        <f>SUMIFS('Disbursements Summary'!$E:$E,'Disbursements Summary'!$C:$C,$C128,'Disbursements Summary'!$A:$A,"DASNY")</f>
        <v>0</v>
      </c>
      <c r="CB128" s="55">
        <f>SUMIFS('Awards Summary'!$H:$H,'Awards Summary'!$B:$B,$C128,'Awards Summary'!$J:$J,"EGG")</f>
        <v>0</v>
      </c>
      <c r="CC128" s="55">
        <f>SUMIFS('Disbursements Summary'!$E:$E,'Disbursements Summary'!$C:$C,$C128,'Disbursements Summary'!$A:$A,"EGG")</f>
        <v>0</v>
      </c>
      <c r="CD128" s="55">
        <f>SUMIFS('Awards Summary'!$H:$H,'Awards Summary'!$B:$B,$C128,'Awards Summary'!$J:$J,"ESD")</f>
        <v>0</v>
      </c>
      <c r="CE128" s="55">
        <f>SUMIFS('Disbursements Summary'!$E:$E,'Disbursements Summary'!$C:$C,$C128,'Disbursements Summary'!$A:$A,"ESD")</f>
        <v>0</v>
      </c>
      <c r="CF128" s="55">
        <f>SUMIFS('Awards Summary'!$H:$H,'Awards Summary'!$B:$B,$C128,'Awards Summary'!$J:$J,"EFC")</f>
        <v>0</v>
      </c>
      <c r="CG128" s="55">
        <f>SUMIFS('Disbursements Summary'!$E:$E,'Disbursements Summary'!$C:$C,$C128,'Disbursements Summary'!$A:$A,"EFC")</f>
        <v>0</v>
      </c>
      <c r="CH128" s="55">
        <f>SUMIFS('Awards Summary'!$H:$H,'Awards Summary'!$B:$B,$C128,'Awards Summary'!$J:$J,"ECFSA")</f>
        <v>0</v>
      </c>
      <c r="CI128" s="55">
        <f>SUMIFS('Disbursements Summary'!$E:$E,'Disbursements Summary'!$C:$C,$C128,'Disbursements Summary'!$A:$A,"ECFSA")</f>
        <v>0</v>
      </c>
      <c r="CJ128" s="55">
        <f>SUMIFS('Awards Summary'!$H:$H,'Awards Summary'!$B:$B,$C128,'Awards Summary'!$J:$J,"ECMC")</f>
        <v>0</v>
      </c>
      <c r="CK128" s="55">
        <f>SUMIFS('Disbursements Summary'!$E:$E,'Disbursements Summary'!$C:$C,$C128,'Disbursements Summary'!$A:$A,"ECMC")</f>
        <v>0</v>
      </c>
      <c r="CL128" s="55">
        <f>SUMIFS('Awards Summary'!$H:$H,'Awards Summary'!$B:$B,$C128,'Awards Summary'!$J:$J,"CHAMBER")</f>
        <v>0</v>
      </c>
      <c r="CM128" s="55">
        <f>SUMIFS('Disbursements Summary'!$E:$E,'Disbursements Summary'!$C:$C,$C128,'Disbursements Summary'!$A:$A,"CHAMBER")</f>
        <v>0</v>
      </c>
      <c r="CN128" s="55">
        <f>SUMIFS('Awards Summary'!$H:$H,'Awards Summary'!$B:$B,$C128,'Awards Summary'!$J:$J,"GAMING")</f>
        <v>0</v>
      </c>
      <c r="CO128" s="55">
        <f>SUMIFS('Disbursements Summary'!$E:$E,'Disbursements Summary'!$C:$C,$C128,'Disbursements Summary'!$A:$A,"GAMING")</f>
        <v>0</v>
      </c>
      <c r="CP128" s="55">
        <f>SUMIFS('Awards Summary'!$H:$H,'Awards Summary'!$B:$B,$C128,'Awards Summary'!$J:$J,"GOER")</f>
        <v>0</v>
      </c>
      <c r="CQ128" s="55">
        <f>SUMIFS('Disbursements Summary'!$E:$E,'Disbursements Summary'!$C:$C,$C128,'Disbursements Summary'!$A:$A,"GOER")</f>
        <v>0</v>
      </c>
      <c r="CR128" s="55">
        <f>SUMIFS('Awards Summary'!$H:$H,'Awards Summary'!$B:$B,$C128,'Awards Summary'!$J:$J,"HESC")</f>
        <v>0</v>
      </c>
      <c r="CS128" s="55">
        <f>SUMIFS('Disbursements Summary'!$E:$E,'Disbursements Summary'!$C:$C,$C128,'Disbursements Summary'!$A:$A,"HESC")</f>
        <v>0</v>
      </c>
      <c r="CT128" s="55">
        <f>SUMIFS('Awards Summary'!$H:$H,'Awards Summary'!$B:$B,$C128,'Awards Summary'!$J:$J,"GOSR")</f>
        <v>0</v>
      </c>
      <c r="CU128" s="55">
        <f>SUMIFS('Disbursements Summary'!$E:$E,'Disbursements Summary'!$C:$C,$C128,'Disbursements Summary'!$A:$A,"GOSR")</f>
        <v>0</v>
      </c>
      <c r="CV128" s="55">
        <f>SUMIFS('Awards Summary'!$H:$H,'Awards Summary'!$B:$B,$C128,'Awards Summary'!$J:$J,"HRPT")</f>
        <v>0</v>
      </c>
      <c r="CW128" s="55">
        <f>SUMIFS('Disbursements Summary'!$E:$E,'Disbursements Summary'!$C:$C,$C128,'Disbursements Summary'!$A:$A,"HRPT")</f>
        <v>0</v>
      </c>
      <c r="CX128" s="55">
        <f>SUMIFS('Awards Summary'!$H:$H,'Awards Summary'!$B:$B,$C128,'Awards Summary'!$J:$J,"HRBRRD")</f>
        <v>0</v>
      </c>
      <c r="CY128" s="55">
        <f>SUMIFS('Disbursements Summary'!$E:$E,'Disbursements Summary'!$C:$C,$C128,'Disbursements Summary'!$A:$A,"HRBRRD")</f>
        <v>0</v>
      </c>
      <c r="CZ128" s="55">
        <f>SUMIFS('Awards Summary'!$H:$H,'Awards Summary'!$B:$B,$C128,'Awards Summary'!$J:$J,"ITS")</f>
        <v>0</v>
      </c>
      <c r="DA128" s="55">
        <f>SUMIFS('Disbursements Summary'!$E:$E,'Disbursements Summary'!$C:$C,$C128,'Disbursements Summary'!$A:$A,"ITS")</f>
        <v>0</v>
      </c>
      <c r="DB128" s="55">
        <f>SUMIFS('Awards Summary'!$H:$H,'Awards Summary'!$B:$B,$C128,'Awards Summary'!$J:$J,"JAVITS")</f>
        <v>0</v>
      </c>
      <c r="DC128" s="55">
        <f>SUMIFS('Disbursements Summary'!$E:$E,'Disbursements Summary'!$C:$C,$C128,'Disbursements Summary'!$A:$A,"JAVITS")</f>
        <v>0</v>
      </c>
      <c r="DD128" s="55">
        <f>SUMIFS('Awards Summary'!$H:$H,'Awards Summary'!$B:$B,$C128,'Awards Summary'!$J:$J,"JCOPE")</f>
        <v>0</v>
      </c>
      <c r="DE128" s="55">
        <f>SUMIFS('Disbursements Summary'!$E:$E,'Disbursements Summary'!$C:$C,$C128,'Disbursements Summary'!$A:$A,"JCOPE")</f>
        <v>0</v>
      </c>
      <c r="DF128" s="55">
        <f>SUMIFS('Awards Summary'!$H:$H,'Awards Summary'!$B:$B,$C128,'Awards Summary'!$J:$J,"JUSTICE")</f>
        <v>0</v>
      </c>
      <c r="DG128" s="55">
        <f>SUMIFS('Disbursements Summary'!$E:$E,'Disbursements Summary'!$C:$C,$C128,'Disbursements Summary'!$A:$A,"JUSTICE")</f>
        <v>0</v>
      </c>
      <c r="DH128" s="55">
        <f>SUMIFS('Awards Summary'!$H:$H,'Awards Summary'!$B:$B,$C128,'Awards Summary'!$J:$J,"LCWSA")</f>
        <v>0</v>
      </c>
      <c r="DI128" s="55">
        <f>SUMIFS('Disbursements Summary'!$E:$E,'Disbursements Summary'!$C:$C,$C128,'Disbursements Summary'!$A:$A,"LCWSA")</f>
        <v>0</v>
      </c>
      <c r="DJ128" s="55">
        <f>SUMIFS('Awards Summary'!$H:$H,'Awards Summary'!$B:$B,$C128,'Awards Summary'!$J:$J,"LIPA")</f>
        <v>0</v>
      </c>
      <c r="DK128" s="55">
        <f>SUMIFS('Disbursements Summary'!$E:$E,'Disbursements Summary'!$C:$C,$C128,'Disbursements Summary'!$A:$A,"LIPA")</f>
        <v>0</v>
      </c>
      <c r="DL128" s="55">
        <f>SUMIFS('Awards Summary'!$H:$H,'Awards Summary'!$B:$B,$C128,'Awards Summary'!$J:$J,"MTA")</f>
        <v>0</v>
      </c>
      <c r="DM128" s="55">
        <f>SUMIFS('Disbursements Summary'!$E:$E,'Disbursements Summary'!$C:$C,$C128,'Disbursements Summary'!$A:$A,"MTA")</f>
        <v>0</v>
      </c>
      <c r="DN128" s="55">
        <f>SUMIFS('Awards Summary'!$H:$H,'Awards Summary'!$B:$B,$C128,'Awards Summary'!$J:$J,"NIFA")</f>
        <v>0</v>
      </c>
      <c r="DO128" s="55">
        <f>SUMIFS('Disbursements Summary'!$E:$E,'Disbursements Summary'!$C:$C,$C128,'Disbursements Summary'!$A:$A,"NIFA")</f>
        <v>0</v>
      </c>
      <c r="DP128" s="55">
        <f>SUMIFS('Awards Summary'!$H:$H,'Awards Summary'!$B:$B,$C128,'Awards Summary'!$J:$J,"NHCC")</f>
        <v>0</v>
      </c>
      <c r="DQ128" s="55">
        <f>SUMIFS('Disbursements Summary'!$E:$E,'Disbursements Summary'!$C:$C,$C128,'Disbursements Summary'!$A:$A,"NHCC")</f>
        <v>0</v>
      </c>
      <c r="DR128" s="55">
        <f>SUMIFS('Awards Summary'!$H:$H,'Awards Summary'!$B:$B,$C128,'Awards Summary'!$J:$J,"NHT")</f>
        <v>0</v>
      </c>
      <c r="DS128" s="55">
        <f>SUMIFS('Disbursements Summary'!$E:$E,'Disbursements Summary'!$C:$C,$C128,'Disbursements Summary'!$A:$A,"NHT")</f>
        <v>0</v>
      </c>
      <c r="DT128" s="55">
        <f>SUMIFS('Awards Summary'!$H:$H,'Awards Summary'!$B:$B,$C128,'Awards Summary'!$J:$J,"NYPA")</f>
        <v>0</v>
      </c>
      <c r="DU128" s="55">
        <f>SUMIFS('Disbursements Summary'!$E:$E,'Disbursements Summary'!$C:$C,$C128,'Disbursements Summary'!$A:$A,"NYPA")</f>
        <v>0</v>
      </c>
      <c r="DV128" s="55">
        <f>SUMIFS('Awards Summary'!$H:$H,'Awards Summary'!$B:$B,$C128,'Awards Summary'!$J:$J,"NYSBA")</f>
        <v>0</v>
      </c>
      <c r="DW128" s="55">
        <f>SUMIFS('Disbursements Summary'!$E:$E,'Disbursements Summary'!$C:$C,$C128,'Disbursements Summary'!$A:$A,"NYSBA")</f>
        <v>0</v>
      </c>
      <c r="DX128" s="55">
        <f>SUMIFS('Awards Summary'!$H:$H,'Awards Summary'!$B:$B,$C128,'Awards Summary'!$J:$J,"NYSERDA")</f>
        <v>0</v>
      </c>
      <c r="DY128" s="55">
        <f>SUMIFS('Disbursements Summary'!$E:$E,'Disbursements Summary'!$C:$C,$C128,'Disbursements Summary'!$A:$A,"NYSERDA")</f>
        <v>0</v>
      </c>
      <c r="DZ128" s="55">
        <f>SUMIFS('Awards Summary'!$H:$H,'Awards Summary'!$B:$B,$C128,'Awards Summary'!$J:$J,"DHCR")</f>
        <v>0</v>
      </c>
      <c r="EA128" s="55">
        <f>SUMIFS('Disbursements Summary'!$E:$E,'Disbursements Summary'!$C:$C,$C128,'Disbursements Summary'!$A:$A,"DHCR")</f>
        <v>0</v>
      </c>
      <c r="EB128" s="55">
        <f>SUMIFS('Awards Summary'!$H:$H,'Awards Summary'!$B:$B,$C128,'Awards Summary'!$J:$J,"HFA")</f>
        <v>0</v>
      </c>
      <c r="EC128" s="55">
        <f>SUMIFS('Disbursements Summary'!$E:$E,'Disbursements Summary'!$C:$C,$C128,'Disbursements Summary'!$A:$A,"HFA")</f>
        <v>0</v>
      </c>
      <c r="ED128" s="55">
        <f>SUMIFS('Awards Summary'!$H:$H,'Awards Summary'!$B:$B,$C128,'Awards Summary'!$J:$J,"NYSIF")</f>
        <v>0</v>
      </c>
      <c r="EE128" s="55">
        <f>SUMIFS('Disbursements Summary'!$E:$E,'Disbursements Summary'!$C:$C,$C128,'Disbursements Summary'!$A:$A,"NYSIF")</f>
        <v>0</v>
      </c>
      <c r="EF128" s="55">
        <f>SUMIFS('Awards Summary'!$H:$H,'Awards Summary'!$B:$B,$C128,'Awards Summary'!$J:$J,"NYBREDS")</f>
        <v>0</v>
      </c>
      <c r="EG128" s="55">
        <f>SUMIFS('Disbursements Summary'!$E:$E,'Disbursements Summary'!$C:$C,$C128,'Disbursements Summary'!$A:$A,"NYBREDS")</f>
        <v>0</v>
      </c>
      <c r="EH128" s="55">
        <f>SUMIFS('Awards Summary'!$H:$H,'Awards Summary'!$B:$B,$C128,'Awards Summary'!$J:$J,"NYSTA")</f>
        <v>0</v>
      </c>
      <c r="EI128" s="55">
        <f>SUMIFS('Disbursements Summary'!$E:$E,'Disbursements Summary'!$C:$C,$C128,'Disbursements Summary'!$A:$A,"NYSTA")</f>
        <v>0</v>
      </c>
      <c r="EJ128" s="55">
        <f>SUMIFS('Awards Summary'!$H:$H,'Awards Summary'!$B:$B,$C128,'Awards Summary'!$J:$J,"NFWB")</f>
        <v>0</v>
      </c>
      <c r="EK128" s="55">
        <f>SUMIFS('Disbursements Summary'!$E:$E,'Disbursements Summary'!$C:$C,$C128,'Disbursements Summary'!$A:$A,"NFWB")</f>
        <v>0</v>
      </c>
      <c r="EL128" s="55">
        <f>SUMIFS('Awards Summary'!$H:$H,'Awards Summary'!$B:$B,$C128,'Awards Summary'!$J:$J,"NFTA")</f>
        <v>0</v>
      </c>
      <c r="EM128" s="55">
        <f>SUMIFS('Disbursements Summary'!$E:$E,'Disbursements Summary'!$C:$C,$C128,'Disbursements Summary'!$A:$A,"NFTA")</f>
        <v>0</v>
      </c>
      <c r="EN128" s="55">
        <f>SUMIFS('Awards Summary'!$H:$H,'Awards Summary'!$B:$B,$C128,'Awards Summary'!$J:$J,"OPWDD")</f>
        <v>0</v>
      </c>
      <c r="EO128" s="55">
        <f>SUMIFS('Disbursements Summary'!$E:$E,'Disbursements Summary'!$C:$C,$C128,'Disbursements Summary'!$A:$A,"OPWDD")</f>
        <v>0</v>
      </c>
      <c r="EP128" s="55">
        <f>SUMIFS('Awards Summary'!$H:$H,'Awards Summary'!$B:$B,$C128,'Awards Summary'!$J:$J,"AGING")</f>
        <v>0</v>
      </c>
      <c r="EQ128" s="55">
        <f>SUMIFS('Disbursements Summary'!$E:$E,'Disbursements Summary'!$C:$C,$C128,'Disbursements Summary'!$A:$A,"AGING")</f>
        <v>0</v>
      </c>
      <c r="ER128" s="55">
        <f>SUMIFS('Awards Summary'!$H:$H,'Awards Summary'!$B:$B,$C128,'Awards Summary'!$J:$J,"OPDV")</f>
        <v>0</v>
      </c>
      <c r="ES128" s="55">
        <f>SUMIFS('Disbursements Summary'!$E:$E,'Disbursements Summary'!$C:$C,$C128,'Disbursements Summary'!$A:$A,"OPDV")</f>
        <v>0</v>
      </c>
      <c r="ET128" s="55">
        <f>SUMIFS('Awards Summary'!$H:$H,'Awards Summary'!$B:$B,$C128,'Awards Summary'!$J:$J,"OVS")</f>
        <v>0</v>
      </c>
      <c r="EU128" s="55">
        <f>SUMIFS('Disbursements Summary'!$E:$E,'Disbursements Summary'!$C:$C,$C128,'Disbursements Summary'!$A:$A,"OVS")</f>
        <v>0</v>
      </c>
      <c r="EV128" s="55">
        <f>SUMIFS('Awards Summary'!$H:$H,'Awards Summary'!$B:$B,$C128,'Awards Summary'!$J:$J,"OASAS")</f>
        <v>0</v>
      </c>
      <c r="EW128" s="55">
        <f>SUMIFS('Disbursements Summary'!$E:$E,'Disbursements Summary'!$C:$C,$C128,'Disbursements Summary'!$A:$A,"OASAS")</f>
        <v>0</v>
      </c>
      <c r="EX128" s="55">
        <f>SUMIFS('Awards Summary'!$H:$H,'Awards Summary'!$B:$B,$C128,'Awards Summary'!$J:$J,"OCFS")</f>
        <v>0</v>
      </c>
      <c r="EY128" s="55">
        <f>SUMIFS('Disbursements Summary'!$E:$E,'Disbursements Summary'!$C:$C,$C128,'Disbursements Summary'!$A:$A,"OCFS")</f>
        <v>0</v>
      </c>
      <c r="EZ128" s="55">
        <f>SUMIFS('Awards Summary'!$H:$H,'Awards Summary'!$B:$B,$C128,'Awards Summary'!$J:$J,"OGS")</f>
        <v>0</v>
      </c>
      <c r="FA128" s="55">
        <f>SUMIFS('Disbursements Summary'!$E:$E,'Disbursements Summary'!$C:$C,$C128,'Disbursements Summary'!$A:$A,"OGS")</f>
        <v>0</v>
      </c>
      <c r="FB128" s="55">
        <f>SUMIFS('Awards Summary'!$H:$H,'Awards Summary'!$B:$B,$C128,'Awards Summary'!$J:$J,"OMH")</f>
        <v>0</v>
      </c>
      <c r="FC128" s="55">
        <f>SUMIFS('Disbursements Summary'!$E:$E,'Disbursements Summary'!$C:$C,$C128,'Disbursements Summary'!$A:$A,"OMH")</f>
        <v>0</v>
      </c>
      <c r="FD128" s="55">
        <f>SUMIFS('Awards Summary'!$H:$H,'Awards Summary'!$B:$B,$C128,'Awards Summary'!$J:$J,"PARKS")</f>
        <v>0</v>
      </c>
      <c r="FE128" s="55">
        <f>SUMIFS('Disbursements Summary'!$E:$E,'Disbursements Summary'!$C:$C,$C128,'Disbursements Summary'!$A:$A,"PARKS")</f>
        <v>0</v>
      </c>
      <c r="FF128" s="55">
        <f>SUMIFS('Awards Summary'!$H:$H,'Awards Summary'!$B:$B,$C128,'Awards Summary'!$J:$J,"OTDA")</f>
        <v>0</v>
      </c>
      <c r="FG128" s="55">
        <f>SUMIFS('Disbursements Summary'!$E:$E,'Disbursements Summary'!$C:$C,$C128,'Disbursements Summary'!$A:$A,"OTDA")</f>
        <v>0</v>
      </c>
      <c r="FH128" s="55">
        <f>SUMIFS('Awards Summary'!$H:$H,'Awards Summary'!$B:$B,$C128,'Awards Summary'!$J:$J,"OIG")</f>
        <v>0</v>
      </c>
      <c r="FI128" s="55">
        <f>SUMIFS('Disbursements Summary'!$E:$E,'Disbursements Summary'!$C:$C,$C128,'Disbursements Summary'!$A:$A,"OIG")</f>
        <v>0</v>
      </c>
      <c r="FJ128" s="55">
        <f>SUMIFS('Awards Summary'!$H:$H,'Awards Summary'!$B:$B,$C128,'Awards Summary'!$J:$J,"OMIG")</f>
        <v>0</v>
      </c>
      <c r="FK128" s="55">
        <f>SUMIFS('Disbursements Summary'!$E:$E,'Disbursements Summary'!$C:$C,$C128,'Disbursements Summary'!$A:$A,"OMIG")</f>
        <v>0</v>
      </c>
      <c r="FL128" s="55">
        <f>SUMIFS('Awards Summary'!$H:$H,'Awards Summary'!$B:$B,$C128,'Awards Summary'!$J:$J,"OSC")</f>
        <v>0</v>
      </c>
      <c r="FM128" s="55">
        <f>SUMIFS('Disbursements Summary'!$E:$E,'Disbursements Summary'!$C:$C,$C128,'Disbursements Summary'!$A:$A,"OSC")</f>
        <v>0</v>
      </c>
      <c r="FN128" s="55">
        <f>SUMIFS('Awards Summary'!$H:$H,'Awards Summary'!$B:$B,$C128,'Awards Summary'!$J:$J,"OWIG")</f>
        <v>0</v>
      </c>
      <c r="FO128" s="55">
        <f>SUMIFS('Disbursements Summary'!$E:$E,'Disbursements Summary'!$C:$C,$C128,'Disbursements Summary'!$A:$A,"OWIG")</f>
        <v>0</v>
      </c>
      <c r="FP128" s="55">
        <f>SUMIFS('Awards Summary'!$H:$H,'Awards Summary'!$B:$B,$C128,'Awards Summary'!$J:$J,"OGDEN")</f>
        <v>0</v>
      </c>
      <c r="FQ128" s="55">
        <f>SUMIFS('Disbursements Summary'!$E:$E,'Disbursements Summary'!$C:$C,$C128,'Disbursements Summary'!$A:$A,"OGDEN")</f>
        <v>0</v>
      </c>
      <c r="FR128" s="55">
        <f>SUMIFS('Awards Summary'!$H:$H,'Awards Summary'!$B:$B,$C128,'Awards Summary'!$J:$J,"ORDA")</f>
        <v>0</v>
      </c>
      <c r="FS128" s="55">
        <f>SUMIFS('Disbursements Summary'!$E:$E,'Disbursements Summary'!$C:$C,$C128,'Disbursements Summary'!$A:$A,"ORDA")</f>
        <v>0</v>
      </c>
      <c r="FT128" s="55">
        <f>SUMIFS('Awards Summary'!$H:$H,'Awards Summary'!$B:$B,$C128,'Awards Summary'!$J:$J,"OSWEGO")</f>
        <v>0</v>
      </c>
      <c r="FU128" s="55">
        <f>SUMIFS('Disbursements Summary'!$E:$E,'Disbursements Summary'!$C:$C,$C128,'Disbursements Summary'!$A:$A,"OSWEGO")</f>
        <v>0</v>
      </c>
      <c r="FV128" s="55">
        <f>SUMIFS('Awards Summary'!$H:$H,'Awards Summary'!$B:$B,$C128,'Awards Summary'!$J:$J,"PERB")</f>
        <v>0</v>
      </c>
      <c r="FW128" s="55">
        <f>SUMIFS('Disbursements Summary'!$E:$E,'Disbursements Summary'!$C:$C,$C128,'Disbursements Summary'!$A:$A,"PERB")</f>
        <v>0</v>
      </c>
      <c r="FX128" s="55">
        <f>SUMIFS('Awards Summary'!$H:$H,'Awards Summary'!$B:$B,$C128,'Awards Summary'!$J:$J,"RGRTA")</f>
        <v>0</v>
      </c>
      <c r="FY128" s="55">
        <f>SUMIFS('Disbursements Summary'!$E:$E,'Disbursements Summary'!$C:$C,$C128,'Disbursements Summary'!$A:$A,"RGRTA")</f>
        <v>0</v>
      </c>
      <c r="FZ128" s="55">
        <f>SUMIFS('Awards Summary'!$H:$H,'Awards Summary'!$B:$B,$C128,'Awards Summary'!$J:$J,"RIOC")</f>
        <v>0</v>
      </c>
      <c r="GA128" s="55">
        <f>SUMIFS('Disbursements Summary'!$E:$E,'Disbursements Summary'!$C:$C,$C128,'Disbursements Summary'!$A:$A,"RIOC")</f>
        <v>0</v>
      </c>
      <c r="GB128" s="55">
        <f>SUMIFS('Awards Summary'!$H:$H,'Awards Summary'!$B:$B,$C128,'Awards Summary'!$J:$J,"RPCI")</f>
        <v>0</v>
      </c>
      <c r="GC128" s="55">
        <f>SUMIFS('Disbursements Summary'!$E:$E,'Disbursements Summary'!$C:$C,$C128,'Disbursements Summary'!$A:$A,"RPCI")</f>
        <v>0</v>
      </c>
      <c r="GD128" s="55">
        <f>SUMIFS('Awards Summary'!$H:$H,'Awards Summary'!$B:$B,$C128,'Awards Summary'!$J:$J,"SMDA")</f>
        <v>0</v>
      </c>
      <c r="GE128" s="55">
        <f>SUMIFS('Disbursements Summary'!$E:$E,'Disbursements Summary'!$C:$C,$C128,'Disbursements Summary'!$A:$A,"SMDA")</f>
        <v>0</v>
      </c>
      <c r="GF128" s="55">
        <f>SUMIFS('Awards Summary'!$H:$H,'Awards Summary'!$B:$B,$C128,'Awards Summary'!$J:$J,"SCOC")</f>
        <v>0</v>
      </c>
      <c r="GG128" s="55">
        <f>SUMIFS('Disbursements Summary'!$E:$E,'Disbursements Summary'!$C:$C,$C128,'Disbursements Summary'!$A:$A,"SCOC")</f>
        <v>0</v>
      </c>
      <c r="GH128" s="55">
        <f>SUMIFS('Awards Summary'!$H:$H,'Awards Summary'!$B:$B,$C128,'Awards Summary'!$J:$J,"SUCF")</f>
        <v>0</v>
      </c>
      <c r="GI128" s="55">
        <f>SUMIFS('Disbursements Summary'!$E:$E,'Disbursements Summary'!$C:$C,$C128,'Disbursements Summary'!$A:$A,"SUCF")</f>
        <v>0</v>
      </c>
      <c r="GJ128" s="55">
        <f>SUMIFS('Awards Summary'!$H:$H,'Awards Summary'!$B:$B,$C128,'Awards Summary'!$J:$J,"SUNY")</f>
        <v>0</v>
      </c>
      <c r="GK128" s="55">
        <f>SUMIFS('Disbursements Summary'!$E:$E,'Disbursements Summary'!$C:$C,$C128,'Disbursements Summary'!$A:$A,"SUNY")</f>
        <v>0</v>
      </c>
      <c r="GL128" s="55">
        <f>SUMIFS('Awards Summary'!$H:$H,'Awards Summary'!$B:$B,$C128,'Awards Summary'!$J:$J,"SRAA")</f>
        <v>0</v>
      </c>
      <c r="GM128" s="55">
        <f>SUMIFS('Disbursements Summary'!$E:$E,'Disbursements Summary'!$C:$C,$C128,'Disbursements Summary'!$A:$A,"SRAA")</f>
        <v>0</v>
      </c>
      <c r="GN128" s="55">
        <f>SUMIFS('Awards Summary'!$H:$H,'Awards Summary'!$B:$B,$C128,'Awards Summary'!$J:$J,"UNDC")</f>
        <v>0</v>
      </c>
      <c r="GO128" s="55">
        <f>SUMIFS('Disbursements Summary'!$E:$E,'Disbursements Summary'!$C:$C,$C128,'Disbursements Summary'!$A:$A,"UNDC")</f>
        <v>0</v>
      </c>
      <c r="GP128" s="55">
        <f>SUMIFS('Awards Summary'!$H:$H,'Awards Summary'!$B:$B,$C128,'Awards Summary'!$J:$J,"MVWA")</f>
        <v>0</v>
      </c>
      <c r="GQ128" s="55">
        <f>SUMIFS('Disbursements Summary'!$E:$E,'Disbursements Summary'!$C:$C,$C128,'Disbursements Summary'!$A:$A,"MVWA")</f>
        <v>0</v>
      </c>
      <c r="GR128" s="55">
        <f>SUMIFS('Awards Summary'!$H:$H,'Awards Summary'!$B:$B,$C128,'Awards Summary'!$J:$J,"WMC")</f>
        <v>0</v>
      </c>
      <c r="GS128" s="55">
        <f>SUMIFS('Disbursements Summary'!$E:$E,'Disbursements Summary'!$C:$C,$C128,'Disbursements Summary'!$A:$A,"WMC")</f>
        <v>0</v>
      </c>
      <c r="GT128" s="55">
        <f>SUMIFS('Awards Summary'!$H:$H,'Awards Summary'!$B:$B,$C128,'Awards Summary'!$J:$J,"WCB")</f>
        <v>0</v>
      </c>
      <c r="GU128" s="55">
        <f>SUMIFS('Disbursements Summary'!$E:$E,'Disbursements Summary'!$C:$C,$C128,'Disbursements Summary'!$A:$A,"WCB")</f>
        <v>0</v>
      </c>
      <c r="GV128" s="32">
        <f t="shared" si="10"/>
        <v>0</v>
      </c>
      <c r="GW128" s="32">
        <f t="shared" si="11"/>
        <v>0</v>
      </c>
      <c r="GX128" s="30" t="b">
        <f t="shared" si="12"/>
        <v>1</v>
      </c>
      <c r="GY128" s="30" t="b">
        <f t="shared" si="13"/>
        <v>1</v>
      </c>
    </row>
    <row r="129" spans="1:16384" s="30" customFormat="1">
      <c r="A129" s="22" t="str">
        <f t="shared" si="9"/>
        <v/>
      </c>
      <c r="B129" s="21" t="s">
        <v>256</v>
      </c>
      <c r="C129" s="29">
        <v>161318</v>
      </c>
      <c r="D129" s="26">
        <f>COUNTIF('Awards Summary'!B:B,"161318")</f>
        <v>0</v>
      </c>
      <c r="E129" s="45">
        <f>SUMIFS('Awards Summary'!H:H,'Awards Summary'!B:B,"161318")</f>
        <v>0</v>
      </c>
      <c r="F129" s="46">
        <f>SUMIFS('Disbursements Summary'!E:E,'Disbursements Summary'!C:C, "161318")</f>
        <v>0</v>
      </c>
      <c r="H129" s="55">
        <f>SUMIFS('Awards Summary'!$H:$H,'Awards Summary'!$B:$B,$C129,'Awards Summary'!$J:$J,"APA")</f>
        <v>0</v>
      </c>
      <c r="I129" s="55">
        <f>SUMIFS('Disbursements Summary'!$E:$E,'Disbursements Summary'!$C:$C,$C129,'Disbursements Summary'!$A:$A,"APA")</f>
        <v>0</v>
      </c>
      <c r="J129" s="55">
        <f>SUMIFS('Awards Summary'!$H:$H,'Awards Summary'!$B:$B,$C129,'Awards Summary'!$J:$J,"Ag&amp;Horse")</f>
        <v>0</v>
      </c>
      <c r="K129" s="55">
        <f>SUMIFS('Disbursements Summary'!$E:$E,'Disbursements Summary'!$C:$C,$C129,'Disbursements Summary'!$A:$A,"Ag&amp;Horse")</f>
        <v>0</v>
      </c>
      <c r="L129" s="55">
        <f>SUMIFS('Awards Summary'!$H:$H,'Awards Summary'!$B:$B,$C129,'Awards Summary'!$J:$J,"ACAA")</f>
        <v>0</v>
      </c>
      <c r="M129" s="55">
        <f>SUMIFS('Disbursements Summary'!$E:$E,'Disbursements Summary'!$C:$C,$C129,'Disbursements Summary'!$A:$A,"ACAA")</f>
        <v>0</v>
      </c>
      <c r="N129" s="55">
        <f>SUMIFS('Awards Summary'!$H:$H,'Awards Summary'!$B:$B,$C129,'Awards Summary'!$J:$J,"PortAlbany")</f>
        <v>0</v>
      </c>
      <c r="O129" s="55">
        <f>SUMIFS('Disbursements Summary'!$E:$E,'Disbursements Summary'!$C:$C,$C129,'Disbursements Summary'!$A:$A,"PortAlbany")</f>
        <v>0</v>
      </c>
      <c r="P129" s="55">
        <f>SUMIFS('Awards Summary'!$H:$H,'Awards Summary'!$B:$B,$C129,'Awards Summary'!$J:$J,"SLA")</f>
        <v>0</v>
      </c>
      <c r="Q129" s="55">
        <f>SUMIFS('Disbursements Summary'!$E:$E,'Disbursements Summary'!$C:$C,$C129,'Disbursements Summary'!$A:$A,"SLA")</f>
        <v>0</v>
      </c>
      <c r="R129" s="55">
        <f>SUMIFS('Awards Summary'!$H:$H,'Awards Summary'!$B:$B,$C129,'Awards Summary'!$J:$J,"BPCA")</f>
        <v>0</v>
      </c>
      <c r="S129" s="55">
        <f>SUMIFS('Disbursements Summary'!$E:$E,'Disbursements Summary'!$C:$C,$C129,'Disbursements Summary'!$A:$A,"BPCA")</f>
        <v>0</v>
      </c>
      <c r="T129" s="55">
        <f>SUMIFS('Awards Summary'!$H:$H,'Awards Summary'!$B:$B,$C129,'Awards Summary'!$J:$J,"ELECTIONS")</f>
        <v>0</v>
      </c>
      <c r="U129" s="55">
        <f>SUMIFS('Disbursements Summary'!$E:$E,'Disbursements Summary'!$C:$C,$C129,'Disbursements Summary'!$A:$A,"ELECTIONS")</f>
        <v>0</v>
      </c>
      <c r="V129" s="55">
        <f>SUMIFS('Awards Summary'!$H:$H,'Awards Summary'!$B:$B,$C129,'Awards Summary'!$J:$J,"BFSA")</f>
        <v>0</v>
      </c>
      <c r="W129" s="55">
        <f>SUMIFS('Disbursements Summary'!$E:$E,'Disbursements Summary'!$C:$C,$C129,'Disbursements Summary'!$A:$A,"BFSA")</f>
        <v>0</v>
      </c>
      <c r="X129" s="55">
        <f>SUMIFS('Awards Summary'!$H:$H,'Awards Summary'!$B:$B,$C129,'Awards Summary'!$J:$J,"CDTA")</f>
        <v>0</v>
      </c>
      <c r="Y129" s="55">
        <f>SUMIFS('Disbursements Summary'!$E:$E,'Disbursements Summary'!$C:$C,$C129,'Disbursements Summary'!$A:$A,"CDTA")</f>
        <v>0</v>
      </c>
      <c r="Z129" s="55">
        <f>SUMIFS('Awards Summary'!$H:$H,'Awards Summary'!$B:$B,$C129,'Awards Summary'!$J:$J,"CCWSA")</f>
        <v>0</v>
      </c>
      <c r="AA129" s="55">
        <f>SUMIFS('Disbursements Summary'!$E:$E,'Disbursements Summary'!$C:$C,$C129,'Disbursements Summary'!$A:$A,"CCWSA")</f>
        <v>0</v>
      </c>
      <c r="AB129" s="55">
        <f>SUMIFS('Awards Summary'!$H:$H,'Awards Summary'!$B:$B,$C129,'Awards Summary'!$J:$J,"CNYRTA")</f>
        <v>0</v>
      </c>
      <c r="AC129" s="55">
        <f>SUMIFS('Disbursements Summary'!$E:$E,'Disbursements Summary'!$C:$C,$C129,'Disbursements Summary'!$A:$A,"CNYRTA")</f>
        <v>0</v>
      </c>
      <c r="AD129" s="55">
        <f>SUMIFS('Awards Summary'!$H:$H,'Awards Summary'!$B:$B,$C129,'Awards Summary'!$J:$J,"CUCF")</f>
        <v>0</v>
      </c>
      <c r="AE129" s="55">
        <f>SUMIFS('Disbursements Summary'!$E:$E,'Disbursements Summary'!$C:$C,$C129,'Disbursements Summary'!$A:$A,"CUCF")</f>
        <v>0</v>
      </c>
      <c r="AF129" s="55">
        <f>SUMIFS('Awards Summary'!$H:$H,'Awards Summary'!$B:$B,$C129,'Awards Summary'!$J:$J,"CUNY")</f>
        <v>0</v>
      </c>
      <c r="AG129" s="55">
        <f>SUMIFS('Disbursements Summary'!$E:$E,'Disbursements Summary'!$C:$C,$C129,'Disbursements Summary'!$A:$A,"CUNY")</f>
        <v>0</v>
      </c>
      <c r="AH129" s="55">
        <f>SUMIFS('Awards Summary'!$H:$H,'Awards Summary'!$B:$B,$C129,'Awards Summary'!$J:$J,"ARTS")</f>
        <v>0</v>
      </c>
      <c r="AI129" s="55">
        <f>SUMIFS('Disbursements Summary'!$E:$E,'Disbursements Summary'!$C:$C,$C129,'Disbursements Summary'!$A:$A,"ARTS")</f>
        <v>0</v>
      </c>
      <c r="AJ129" s="55">
        <f>SUMIFS('Awards Summary'!$H:$H,'Awards Summary'!$B:$B,$C129,'Awards Summary'!$J:$J,"AG&amp;MKTS")</f>
        <v>0</v>
      </c>
      <c r="AK129" s="55">
        <f>SUMIFS('Disbursements Summary'!$E:$E,'Disbursements Summary'!$C:$C,$C129,'Disbursements Summary'!$A:$A,"AG&amp;MKTS")</f>
        <v>0</v>
      </c>
      <c r="AL129" s="55">
        <f>SUMIFS('Awards Summary'!$H:$H,'Awards Summary'!$B:$B,$C129,'Awards Summary'!$J:$J,"CS")</f>
        <v>0</v>
      </c>
      <c r="AM129" s="55">
        <f>SUMIFS('Disbursements Summary'!$E:$E,'Disbursements Summary'!$C:$C,$C129,'Disbursements Summary'!$A:$A,"CS")</f>
        <v>0</v>
      </c>
      <c r="AN129" s="55">
        <f>SUMIFS('Awards Summary'!$H:$H,'Awards Summary'!$B:$B,$C129,'Awards Summary'!$J:$J,"DOCCS")</f>
        <v>0</v>
      </c>
      <c r="AO129" s="55">
        <f>SUMIFS('Disbursements Summary'!$E:$E,'Disbursements Summary'!$C:$C,$C129,'Disbursements Summary'!$A:$A,"DOCCS")</f>
        <v>0</v>
      </c>
      <c r="AP129" s="55">
        <f>SUMIFS('Awards Summary'!$H:$H,'Awards Summary'!$B:$B,$C129,'Awards Summary'!$J:$J,"DED")</f>
        <v>0</v>
      </c>
      <c r="AQ129" s="55">
        <f>SUMIFS('Disbursements Summary'!$E:$E,'Disbursements Summary'!$C:$C,$C129,'Disbursements Summary'!$A:$A,"DED")</f>
        <v>0</v>
      </c>
      <c r="AR129" s="55">
        <f>SUMIFS('Awards Summary'!$H:$H,'Awards Summary'!$B:$B,$C129,'Awards Summary'!$J:$J,"DEC")</f>
        <v>0</v>
      </c>
      <c r="AS129" s="55">
        <f>SUMIFS('Disbursements Summary'!$E:$E,'Disbursements Summary'!$C:$C,$C129,'Disbursements Summary'!$A:$A,"DEC")</f>
        <v>0</v>
      </c>
      <c r="AT129" s="55">
        <f>SUMIFS('Awards Summary'!$H:$H,'Awards Summary'!$B:$B,$C129,'Awards Summary'!$J:$J,"DFS")</f>
        <v>0</v>
      </c>
      <c r="AU129" s="55">
        <f>SUMIFS('Disbursements Summary'!$E:$E,'Disbursements Summary'!$C:$C,$C129,'Disbursements Summary'!$A:$A,"DFS")</f>
        <v>0</v>
      </c>
      <c r="AV129" s="55">
        <f>SUMIFS('Awards Summary'!$H:$H,'Awards Summary'!$B:$B,$C129,'Awards Summary'!$J:$J,"DOH")</f>
        <v>0</v>
      </c>
      <c r="AW129" s="55">
        <f>SUMIFS('Disbursements Summary'!$E:$E,'Disbursements Summary'!$C:$C,$C129,'Disbursements Summary'!$A:$A,"DOH")</f>
        <v>0</v>
      </c>
      <c r="AX129" s="55">
        <f>SUMIFS('Awards Summary'!$H:$H,'Awards Summary'!$B:$B,$C129,'Awards Summary'!$J:$J,"DOL")</f>
        <v>0</v>
      </c>
      <c r="AY129" s="55">
        <f>SUMIFS('Disbursements Summary'!$E:$E,'Disbursements Summary'!$C:$C,$C129,'Disbursements Summary'!$A:$A,"DOL")</f>
        <v>0</v>
      </c>
      <c r="AZ129" s="55">
        <f>SUMIFS('Awards Summary'!$H:$H,'Awards Summary'!$B:$B,$C129,'Awards Summary'!$J:$J,"DMV")</f>
        <v>0</v>
      </c>
      <c r="BA129" s="55">
        <f>SUMIFS('Disbursements Summary'!$E:$E,'Disbursements Summary'!$C:$C,$C129,'Disbursements Summary'!$A:$A,"DMV")</f>
        <v>0</v>
      </c>
      <c r="BB129" s="55">
        <f>SUMIFS('Awards Summary'!$H:$H,'Awards Summary'!$B:$B,$C129,'Awards Summary'!$J:$J,"DPS")</f>
        <v>0</v>
      </c>
      <c r="BC129" s="55">
        <f>SUMIFS('Disbursements Summary'!$E:$E,'Disbursements Summary'!$C:$C,$C129,'Disbursements Summary'!$A:$A,"DPS")</f>
        <v>0</v>
      </c>
      <c r="BD129" s="55">
        <f>SUMIFS('Awards Summary'!$H:$H,'Awards Summary'!$B:$B,$C129,'Awards Summary'!$J:$J,"DOS")</f>
        <v>0</v>
      </c>
      <c r="BE129" s="55">
        <f>SUMIFS('Disbursements Summary'!$E:$E,'Disbursements Summary'!$C:$C,$C129,'Disbursements Summary'!$A:$A,"DOS")</f>
        <v>0</v>
      </c>
      <c r="BF129" s="55">
        <f>SUMIFS('Awards Summary'!$H:$H,'Awards Summary'!$B:$B,$C129,'Awards Summary'!$J:$J,"TAX")</f>
        <v>0</v>
      </c>
      <c r="BG129" s="55">
        <f>SUMIFS('Disbursements Summary'!$E:$E,'Disbursements Summary'!$C:$C,$C129,'Disbursements Summary'!$A:$A,"TAX")</f>
        <v>0</v>
      </c>
      <c r="BH129" s="55">
        <f>SUMIFS('Awards Summary'!$H:$H,'Awards Summary'!$B:$B,$C129,'Awards Summary'!$J:$J,"DOT")</f>
        <v>0</v>
      </c>
      <c r="BI129" s="55">
        <f>SUMIFS('Disbursements Summary'!$E:$E,'Disbursements Summary'!$C:$C,$C129,'Disbursements Summary'!$A:$A,"DOT")</f>
        <v>0</v>
      </c>
      <c r="BJ129" s="55">
        <f>SUMIFS('Awards Summary'!$H:$H,'Awards Summary'!$B:$B,$C129,'Awards Summary'!$J:$J,"DANC")</f>
        <v>0</v>
      </c>
      <c r="BK129" s="55">
        <f>SUMIFS('Disbursements Summary'!$E:$E,'Disbursements Summary'!$C:$C,$C129,'Disbursements Summary'!$A:$A,"DANC")</f>
        <v>0</v>
      </c>
      <c r="BL129" s="55">
        <f>SUMIFS('Awards Summary'!$H:$H,'Awards Summary'!$B:$B,$C129,'Awards Summary'!$J:$J,"DOB")</f>
        <v>0</v>
      </c>
      <c r="BM129" s="55">
        <f>SUMIFS('Disbursements Summary'!$E:$E,'Disbursements Summary'!$C:$C,$C129,'Disbursements Summary'!$A:$A,"DOB")</f>
        <v>0</v>
      </c>
      <c r="BN129" s="55">
        <f>SUMIFS('Awards Summary'!$H:$H,'Awards Summary'!$B:$B,$C129,'Awards Summary'!$J:$J,"DCJS")</f>
        <v>0</v>
      </c>
      <c r="BO129" s="55">
        <f>SUMIFS('Disbursements Summary'!$E:$E,'Disbursements Summary'!$C:$C,$C129,'Disbursements Summary'!$A:$A,"DCJS")</f>
        <v>0</v>
      </c>
      <c r="BP129" s="55">
        <f>SUMIFS('Awards Summary'!$H:$H,'Awards Summary'!$B:$B,$C129,'Awards Summary'!$J:$J,"DHSES")</f>
        <v>0</v>
      </c>
      <c r="BQ129" s="55">
        <f>SUMIFS('Disbursements Summary'!$E:$E,'Disbursements Summary'!$C:$C,$C129,'Disbursements Summary'!$A:$A,"DHSES")</f>
        <v>0</v>
      </c>
      <c r="BR129" s="55">
        <f>SUMIFS('Awards Summary'!$H:$H,'Awards Summary'!$B:$B,$C129,'Awards Summary'!$J:$J,"DHR")</f>
        <v>0</v>
      </c>
      <c r="BS129" s="55">
        <f>SUMIFS('Disbursements Summary'!$E:$E,'Disbursements Summary'!$C:$C,$C129,'Disbursements Summary'!$A:$A,"DHR")</f>
        <v>0</v>
      </c>
      <c r="BT129" s="55">
        <f>SUMIFS('Awards Summary'!$H:$H,'Awards Summary'!$B:$B,$C129,'Awards Summary'!$J:$J,"DMNA")</f>
        <v>0</v>
      </c>
      <c r="BU129" s="55">
        <f>SUMIFS('Disbursements Summary'!$E:$E,'Disbursements Summary'!$C:$C,$C129,'Disbursements Summary'!$A:$A,"DMNA")</f>
        <v>0</v>
      </c>
      <c r="BV129" s="55">
        <f>SUMIFS('Awards Summary'!$H:$H,'Awards Summary'!$B:$B,$C129,'Awards Summary'!$J:$J,"TROOPERS")</f>
        <v>0</v>
      </c>
      <c r="BW129" s="55">
        <f>SUMIFS('Disbursements Summary'!$E:$E,'Disbursements Summary'!$C:$C,$C129,'Disbursements Summary'!$A:$A,"TROOPERS")</f>
        <v>0</v>
      </c>
      <c r="BX129" s="55">
        <f>SUMIFS('Awards Summary'!$H:$H,'Awards Summary'!$B:$B,$C129,'Awards Summary'!$J:$J,"DVA")</f>
        <v>0</v>
      </c>
      <c r="BY129" s="55">
        <f>SUMIFS('Disbursements Summary'!$E:$E,'Disbursements Summary'!$C:$C,$C129,'Disbursements Summary'!$A:$A,"DVA")</f>
        <v>0</v>
      </c>
      <c r="BZ129" s="55">
        <f>SUMIFS('Awards Summary'!$H:$H,'Awards Summary'!$B:$B,$C129,'Awards Summary'!$J:$J,"DASNY")</f>
        <v>0</v>
      </c>
      <c r="CA129" s="55">
        <f>SUMIFS('Disbursements Summary'!$E:$E,'Disbursements Summary'!$C:$C,$C129,'Disbursements Summary'!$A:$A,"DASNY")</f>
        <v>0</v>
      </c>
      <c r="CB129" s="55">
        <f>SUMIFS('Awards Summary'!$H:$H,'Awards Summary'!$B:$B,$C129,'Awards Summary'!$J:$J,"EGG")</f>
        <v>0</v>
      </c>
      <c r="CC129" s="55">
        <f>SUMIFS('Disbursements Summary'!$E:$E,'Disbursements Summary'!$C:$C,$C129,'Disbursements Summary'!$A:$A,"EGG")</f>
        <v>0</v>
      </c>
      <c r="CD129" s="55">
        <f>SUMIFS('Awards Summary'!$H:$H,'Awards Summary'!$B:$B,$C129,'Awards Summary'!$J:$J,"ESD")</f>
        <v>0</v>
      </c>
      <c r="CE129" s="55">
        <f>SUMIFS('Disbursements Summary'!$E:$E,'Disbursements Summary'!$C:$C,$C129,'Disbursements Summary'!$A:$A,"ESD")</f>
        <v>0</v>
      </c>
      <c r="CF129" s="55">
        <f>SUMIFS('Awards Summary'!$H:$H,'Awards Summary'!$B:$B,$C129,'Awards Summary'!$J:$J,"EFC")</f>
        <v>0</v>
      </c>
      <c r="CG129" s="55">
        <f>SUMIFS('Disbursements Summary'!$E:$E,'Disbursements Summary'!$C:$C,$C129,'Disbursements Summary'!$A:$A,"EFC")</f>
        <v>0</v>
      </c>
      <c r="CH129" s="55">
        <f>SUMIFS('Awards Summary'!$H:$H,'Awards Summary'!$B:$B,$C129,'Awards Summary'!$J:$J,"ECFSA")</f>
        <v>0</v>
      </c>
      <c r="CI129" s="55">
        <f>SUMIFS('Disbursements Summary'!$E:$E,'Disbursements Summary'!$C:$C,$C129,'Disbursements Summary'!$A:$A,"ECFSA")</f>
        <v>0</v>
      </c>
      <c r="CJ129" s="55">
        <f>SUMIFS('Awards Summary'!$H:$H,'Awards Summary'!$B:$B,$C129,'Awards Summary'!$J:$J,"ECMC")</f>
        <v>0</v>
      </c>
      <c r="CK129" s="55">
        <f>SUMIFS('Disbursements Summary'!$E:$E,'Disbursements Summary'!$C:$C,$C129,'Disbursements Summary'!$A:$A,"ECMC")</f>
        <v>0</v>
      </c>
      <c r="CL129" s="55">
        <f>SUMIFS('Awards Summary'!$H:$H,'Awards Summary'!$B:$B,$C129,'Awards Summary'!$J:$J,"CHAMBER")</f>
        <v>0</v>
      </c>
      <c r="CM129" s="55">
        <f>SUMIFS('Disbursements Summary'!$E:$E,'Disbursements Summary'!$C:$C,$C129,'Disbursements Summary'!$A:$A,"CHAMBER")</f>
        <v>0</v>
      </c>
      <c r="CN129" s="55">
        <f>SUMIFS('Awards Summary'!$H:$H,'Awards Summary'!$B:$B,$C129,'Awards Summary'!$J:$J,"GAMING")</f>
        <v>0</v>
      </c>
      <c r="CO129" s="55">
        <f>SUMIFS('Disbursements Summary'!$E:$E,'Disbursements Summary'!$C:$C,$C129,'Disbursements Summary'!$A:$A,"GAMING")</f>
        <v>0</v>
      </c>
      <c r="CP129" s="55">
        <f>SUMIFS('Awards Summary'!$H:$H,'Awards Summary'!$B:$B,$C129,'Awards Summary'!$J:$J,"GOER")</f>
        <v>0</v>
      </c>
      <c r="CQ129" s="55">
        <f>SUMIFS('Disbursements Summary'!$E:$E,'Disbursements Summary'!$C:$C,$C129,'Disbursements Summary'!$A:$A,"GOER")</f>
        <v>0</v>
      </c>
      <c r="CR129" s="55">
        <f>SUMIFS('Awards Summary'!$H:$H,'Awards Summary'!$B:$B,$C129,'Awards Summary'!$J:$J,"HESC")</f>
        <v>0</v>
      </c>
      <c r="CS129" s="55">
        <f>SUMIFS('Disbursements Summary'!$E:$E,'Disbursements Summary'!$C:$C,$C129,'Disbursements Summary'!$A:$A,"HESC")</f>
        <v>0</v>
      </c>
      <c r="CT129" s="55">
        <f>SUMIFS('Awards Summary'!$H:$H,'Awards Summary'!$B:$B,$C129,'Awards Summary'!$J:$J,"GOSR")</f>
        <v>0</v>
      </c>
      <c r="CU129" s="55">
        <f>SUMIFS('Disbursements Summary'!$E:$E,'Disbursements Summary'!$C:$C,$C129,'Disbursements Summary'!$A:$A,"GOSR")</f>
        <v>0</v>
      </c>
      <c r="CV129" s="55">
        <f>SUMIFS('Awards Summary'!$H:$H,'Awards Summary'!$B:$B,$C129,'Awards Summary'!$J:$J,"HRPT")</f>
        <v>0</v>
      </c>
      <c r="CW129" s="55">
        <f>SUMIFS('Disbursements Summary'!$E:$E,'Disbursements Summary'!$C:$C,$C129,'Disbursements Summary'!$A:$A,"HRPT")</f>
        <v>0</v>
      </c>
      <c r="CX129" s="55">
        <f>SUMIFS('Awards Summary'!$H:$H,'Awards Summary'!$B:$B,$C129,'Awards Summary'!$J:$J,"HRBRRD")</f>
        <v>0</v>
      </c>
      <c r="CY129" s="55">
        <f>SUMIFS('Disbursements Summary'!$E:$E,'Disbursements Summary'!$C:$C,$C129,'Disbursements Summary'!$A:$A,"HRBRRD")</f>
        <v>0</v>
      </c>
      <c r="CZ129" s="55">
        <f>SUMIFS('Awards Summary'!$H:$H,'Awards Summary'!$B:$B,$C129,'Awards Summary'!$J:$J,"ITS")</f>
        <v>0</v>
      </c>
      <c r="DA129" s="55">
        <f>SUMIFS('Disbursements Summary'!$E:$E,'Disbursements Summary'!$C:$C,$C129,'Disbursements Summary'!$A:$A,"ITS")</f>
        <v>0</v>
      </c>
      <c r="DB129" s="55">
        <f>SUMIFS('Awards Summary'!$H:$H,'Awards Summary'!$B:$B,$C129,'Awards Summary'!$J:$J,"JAVITS")</f>
        <v>0</v>
      </c>
      <c r="DC129" s="55">
        <f>SUMIFS('Disbursements Summary'!$E:$E,'Disbursements Summary'!$C:$C,$C129,'Disbursements Summary'!$A:$A,"JAVITS")</f>
        <v>0</v>
      </c>
      <c r="DD129" s="55">
        <f>SUMIFS('Awards Summary'!$H:$H,'Awards Summary'!$B:$B,$C129,'Awards Summary'!$J:$J,"JCOPE")</f>
        <v>0</v>
      </c>
      <c r="DE129" s="55">
        <f>SUMIFS('Disbursements Summary'!$E:$E,'Disbursements Summary'!$C:$C,$C129,'Disbursements Summary'!$A:$A,"JCOPE")</f>
        <v>0</v>
      </c>
      <c r="DF129" s="55">
        <f>SUMIFS('Awards Summary'!$H:$H,'Awards Summary'!$B:$B,$C129,'Awards Summary'!$J:$J,"JUSTICE")</f>
        <v>0</v>
      </c>
      <c r="DG129" s="55">
        <f>SUMIFS('Disbursements Summary'!$E:$E,'Disbursements Summary'!$C:$C,$C129,'Disbursements Summary'!$A:$A,"JUSTICE")</f>
        <v>0</v>
      </c>
      <c r="DH129" s="55">
        <f>SUMIFS('Awards Summary'!$H:$H,'Awards Summary'!$B:$B,$C129,'Awards Summary'!$J:$J,"LCWSA")</f>
        <v>0</v>
      </c>
      <c r="DI129" s="55">
        <f>SUMIFS('Disbursements Summary'!$E:$E,'Disbursements Summary'!$C:$C,$C129,'Disbursements Summary'!$A:$A,"LCWSA")</f>
        <v>0</v>
      </c>
      <c r="DJ129" s="55">
        <f>SUMIFS('Awards Summary'!$H:$H,'Awards Summary'!$B:$B,$C129,'Awards Summary'!$J:$J,"LIPA")</f>
        <v>0</v>
      </c>
      <c r="DK129" s="55">
        <f>SUMIFS('Disbursements Summary'!$E:$E,'Disbursements Summary'!$C:$C,$C129,'Disbursements Summary'!$A:$A,"LIPA")</f>
        <v>0</v>
      </c>
      <c r="DL129" s="55">
        <f>SUMIFS('Awards Summary'!$H:$H,'Awards Summary'!$B:$B,$C129,'Awards Summary'!$J:$J,"MTA")</f>
        <v>0</v>
      </c>
      <c r="DM129" s="55">
        <f>SUMIFS('Disbursements Summary'!$E:$E,'Disbursements Summary'!$C:$C,$C129,'Disbursements Summary'!$A:$A,"MTA")</f>
        <v>0</v>
      </c>
      <c r="DN129" s="55">
        <f>SUMIFS('Awards Summary'!$H:$H,'Awards Summary'!$B:$B,$C129,'Awards Summary'!$J:$J,"NIFA")</f>
        <v>0</v>
      </c>
      <c r="DO129" s="55">
        <f>SUMIFS('Disbursements Summary'!$E:$E,'Disbursements Summary'!$C:$C,$C129,'Disbursements Summary'!$A:$A,"NIFA")</f>
        <v>0</v>
      </c>
      <c r="DP129" s="55">
        <f>SUMIFS('Awards Summary'!$H:$H,'Awards Summary'!$B:$B,$C129,'Awards Summary'!$J:$J,"NHCC")</f>
        <v>0</v>
      </c>
      <c r="DQ129" s="55">
        <f>SUMIFS('Disbursements Summary'!$E:$E,'Disbursements Summary'!$C:$C,$C129,'Disbursements Summary'!$A:$A,"NHCC")</f>
        <v>0</v>
      </c>
      <c r="DR129" s="55">
        <f>SUMIFS('Awards Summary'!$H:$H,'Awards Summary'!$B:$B,$C129,'Awards Summary'!$J:$J,"NHT")</f>
        <v>0</v>
      </c>
      <c r="DS129" s="55">
        <f>SUMIFS('Disbursements Summary'!$E:$E,'Disbursements Summary'!$C:$C,$C129,'Disbursements Summary'!$A:$A,"NHT")</f>
        <v>0</v>
      </c>
      <c r="DT129" s="55">
        <f>SUMIFS('Awards Summary'!$H:$H,'Awards Summary'!$B:$B,$C129,'Awards Summary'!$J:$J,"NYPA")</f>
        <v>0</v>
      </c>
      <c r="DU129" s="55">
        <f>SUMIFS('Disbursements Summary'!$E:$E,'Disbursements Summary'!$C:$C,$C129,'Disbursements Summary'!$A:$A,"NYPA")</f>
        <v>0</v>
      </c>
      <c r="DV129" s="55">
        <f>SUMIFS('Awards Summary'!$H:$H,'Awards Summary'!$B:$B,$C129,'Awards Summary'!$J:$J,"NYSBA")</f>
        <v>0</v>
      </c>
      <c r="DW129" s="55">
        <f>SUMIFS('Disbursements Summary'!$E:$E,'Disbursements Summary'!$C:$C,$C129,'Disbursements Summary'!$A:$A,"NYSBA")</f>
        <v>0</v>
      </c>
      <c r="DX129" s="55">
        <f>SUMIFS('Awards Summary'!$H:$H,'Awards Summary'!$B:$B,$C129,'Awards Summary'!$J:$J,"NYSERDA")</f>
        <v>0</v>
      </c>
      <c r="DY129" s="55">
        <f>SUMIFS('Disbursements Summary'!$E:$E,'Disbursements Summary'!$C:$C,$C129,'Disbursements Summary'!$A:$A,"NYSERDA")</f>
        <v>0</v>
      </c>
      <c r="DZ129" s="55">
        <f>SUMIFS('Awards Summary'!$H:$H,'Awards Summary'!$B:$B,$C129,'Awards Summary'!$J:$J,"DHCR")</f>
        <v>0</v>
      </c>
      <c r="EA129" s="55">
        <f>SUMIFS('Disbursements Summary'!$E:$E,'Disbursements Summary'!$C:$C,$C129,'Disbursements Summary'!$A:$A,"DHCR")</f>
        <v>0</v>
      </c>
      <c r="EB129" s="55">
        <f>SUMIFS('Awards Summary'!$H:$H,'Awards Summary'!$B:$B,$C129,'Awards Summary'!$J:$J,"HFA")</f>
        <v>0</v>
      </c>
      <c r="EC129" s="55">
        <f>SUMIFS('Disbursements Summary'!$E:$E,'Disbursements Summary'!$C:$C,$C129,'Disbursements Summary'!$A:$A,"HFA")</f>
        <v>0</v>
      </c>
      <c r="ED129" s="55">
        <f>SUMIFS('Awards Summary'!$H:$H,'Awards Summary'!$B:$B,$C129,'Awards Summary'!$J:$J,"NYSIF")</f>
        <v>0</v>
      </c>
      <c r="EE129" s="55">
        <f>SUMIFS('Disbursements Summary'!$E:$E,'Disbursements Summary'!$C:$C,$C129,'Disbursements Summary'!$A:$A,"NYSIF")</f>
        <v>0</v>
      </c>
      <c r="EF129" s="55">
        <f>SUMIFS('Awards Summary'!$H:$H,'Awards Summary'!$B:$B,$C129,'Awards Summary'!$J:$J,"NYBREDS")</f>
        <v>0</v>
      </c>
      <c r="EG129" s="55">
        <f>SUMIFS('Disbursements Summary'!$E:$E,'Disbursements Summary'!$C:$C,$C129,'Disbursements Summary'!$A:$A,"NYBREDS")</f>
        <v>0</v>
      </c>
      <c r="EH129" s="55">
        <f>SUMIFS('Awards Summary'!$H:$H,'Awards Summary'!$B:$B,$C129,'Awards Summary'!$J:$J,"NYSTA")</f>
        <v>0</v>
      </c>
      <c r="EI129" s="55">
        <f>SUMIFS('Disbursements Summary'!$E:$E,'Disbursements Summary'!$C:$C,$C129,'Disbursements Summary'!$A:$A,"NYSTA")</f>
        <v>0</v>
      </c>
      <c r="EJ129" s="55">
        <f>SUMIFS('Awards Summary'!$H:$H,'Awards Summary'!$B:$B,$C129,'Awards Summary'!$J:$J,"NFWB")</f>
        <v>0</v>
      </c>
      <c r="EK129" s="55">
        <f>SUMIFS('Disbursements Summary'!$E:$E,'Disbursements Summary'!$C:$C,$C129,'Disbursements Summary'!$A:$A,"NFWB")</f>
        <v>0</v>
      </c>
      <c r="EL129" s="55">
        <f>SUMIFS('Awards Summary'!$H:$H,'Awards Summary'!$B:$B,$C129,'Awards Summary'!$J:$J,"NFTA")</f>
        <v>0</v>
      </c>
      <c r="EM129" s="55">
        <f>SUMIFS('Disbursements Summary'!$E:$E,'Disbursements Summary'!$C:$C,$C129,'Disbursements Summary'!$A:$A,"NFTA")</f>
        <v>0</v>
      </c>
      <c r="EN129" s="55">
        <f>SUMIFS('Awards Summary'!$H:$H,'Awards Summary'!$B:$B,$C129,'Awards Summary'!$J:$J,"OPWDD")</f>
        <v>0</v>
      </c>
      <c r="EO129" s="55">
        <f>SUMIFS('Disbursements Summary'!$E:$E,'Disbursements Summary'!$C:$C,$C129,'Disbursements Summary'!$A:$A,"OPWDD")</f>
        <v>0</v>
      </c>
      <c r="EP129" s="55">
        <f>SUMIFS('Awards Summary'!$H:$H,'Awards Summary'!$B:$B,$C129,'Awards Summary'!$J:$J,"AGING")</f>
        <v>0</v>
      </c>
      <c r="EQ129" s="55">
        <f>SUMIFS('Disbursements Summary'!$E:$E,'Disbursements Summary'!$C:$C,$C129,'Disbursements Summary'!$A:$A,"AGING")</f>
        <v>0</v>
      </c>
      <c r="ER129" s="55">
        <f>SUMIFS('Awards Summary'!$H:$H,'Awards Summary'!$B:$B,$C129,'Awards Summary'!$J:$J,"OPDV")</f>
        <v>0</v>
      </c>
      <c r="ES129" s="55">
        <f>SUMIFS('Disbursements Summary'!$E:$E,'Disbursements Summary'!$C:$C,$C129,'Disbursements Summary'!$A:$A,"OPDV")</f>
        <v>0</v>
      </c>
      <c r="ET129" s="55">
        <f>SUMIFS('Awards Summary'!$H:$H,'Awards Summary'!$B:$B,$C129,'Awards Summary'!$J:$J,"OVS")</f>
        <v>0</v>
      </c>
      <c r="EU129" s="55">
        <f>SUMIFS('Disbursements Summary'!$E:$E,'Disbursements Summary'!$C:$C,$C129,'Disbursements Summary'!$A:$A,"OVS")</f>
        <v>0</v>
      </c>
      <c r="EV129" s="55">
        <f>SUMIFS('Awards Summary'!$H:$H,'Awards Summary'!$B:$B,$C129,'Awards Summary'!$J:$J,"OASAS")</f>
        <v>0</v>
      </c>
      <c r="EW129" s="55">
        <f>SUMIFS('Disbursements Summary'!$E:$E,'Disbursements Summary'!$C:$C,$C129,'Disbursements Summary'!$A:$A,"OASAS")</f>
        <v>0</v>
      </c>
      <c r="EX129" s="55">
        <f>SUMIFS('Awards Summary'!$H:$H,'Awards Summary'!$B:$B,$C129,'Awards Summary'!$J:$J,"OCFS")</f>
        <v>0</v>
      </c>
      <c r="EY129" s="55">
        <f>SUMIFS('Disbursements Summary'!$E:$E,'Disbursements Summary'!$C:$C,$C129,'Disbursements Summary'!$A:$A,"OCFS")</f>
        <v>0</v>
      </c>
      <c r="EZ129" s="55">
        <f>SUMIFS('Awards Summary'!$H:$H,'Awards Summary'!$B:$B,$C129,'Awards Summary'!$J:$J,"OGS")</f>
        <v>0</v>
      </c>
      <c r="FA129" s="55">
        <f>SUMIFS('Disbursements Summary'!$E:$E,'Disbursements Summary'!$C:$C,$C129,'Disbursements Summary'!$A:$A,"OGS")</f>
        <v>0</v>
      </c>
      <c r="FB129" s="55">
        <f>SUMIFS('Awards Summary'!$H:$H,'Awards Summary'!$B:$B,$C129,'Awards Summary'!$J:$J,"OMH")</f>
        <v>0</v>
      </c>
      <c r="FC129" s="55">
        <f>SUMIFS('Disbursements Summary'!$E:$E,'Disbursements Summary'!$C:$C,$C129,'Disbursements Summary'!$A:$A,"OMH")</f>
        <v>0</v>
      </c>
      <c r="FD129" s="55">
        <f>SUMIFS('Awards Summary'!$H:$H,'Awards Summary'!$B:$B,$C129,'Awards Summary'!$J:$J,"PARKS")</f>
        <v>0</v>
      </c>
      <c r="FE129" s="55">
        <f>SUMIFS('Disbursements Summary'!$E:$E,'Disbursements Summary'!$C:$C,$C129,'Disbursements Summary'!$A:$A,"PARKS")</f>
        <v>0</v>
      </c>
      <c r="FF129" s="55">
        <f>SUMIFS('Awards Summary'!$H:$H,'Awards Summary'!$B:$B,$C129,'Awards Summary'!$J:$J,"OTDA")</f>
        <v>0</v>
      </c>
      <c r="FG129" s="55">
        <f>SUMIFS('Disbursements Summary'!$E:$E,'Disbursements Summary'!$C:$C,$C129,'Disbursements Summary'!$A:$A,"OTDA")</f>
        <v>0</v>
      </c>
      <c r="FH129" s="55">
        <f>SUMIFS('Awards Summary'!$H:$H,'Awards Summary'!$B:$B,$C129,'Awards Summary'!$J:$J,"OIG")</f>
        <v>0</v>
      </c>
      <c r="FI129" s="55">
        <f>SUMIFS('Disbursements Summary'!$E:$E,'Disbursements Summary'!$C:$C,$C129,'Disbursements Summary'!$A:$A,"OIG")</f>
        <v>0</v>
      </c>
      <c r="FJ129" s="55">
        <f>SUMIFS('Awards Summary'!$H:$H,'Awards Summary'!$B:$B,$C129,'Awards Summary'!$J:$J,"OMIG")</f>
        <v>0</v>
      </c>
      <c r="FK129" s="55">
        <f>SUMIFS('Disbursements Summary'!$E:$E,'Disbursements Summary'!$C:$C,$C129,'Disbursements Summary'!$A:$A,"OMIG")</f>
        <v>0</v>
      </c>
      <c r="FL129" s="55">
        <f>SUMIFS('Awards Summary'!$H:$H,'Awards Summary'!$B:$B,$C129,'Awards Summary'!$J:$J,"OSC")</f>
        <v>0</v>
      </c>
      <c r="FM129" s="55">
        <f>SUMIFS('Disbursements Summary'!$E:$E,'Disbursements Summary'!$C:$C,$C129,'Disbursements Summary'!$A:$A,"OSC")</f>
        <v>0</v>
      </c>
      <c r="FN129" s="55">
        <f>SUMIFS('Awards Summary'!$H:$H,'Awards Summary'!$B:$B,$C129,'Awards Summary'!$J:$J,"OWIG")</f>
        <v>0</v>
      </c>
      <c r="FO129" s="55">
        <f>SUMIFS('Disbursements Summary'!$E:$E,'Disbursements Summary'!$C:$C,$C129,'Disbursements Summary'!$A:$A,"OWIG")</f>
        <v>0</v>
      </c>
      <c r="FP129" s="55">
        <f>SUMIFS('Awards Summary'!$H:$H,'Awards Summary'!$B:$B,$C129,'Awards Summary'!$J:$J,"OGDEN")</f>
        <v>0</v>
      </c>
      <c r="FQ129" s="55">
        <f>SUMIFS('Disbursements Summary'!$E:$E,'Disbursements Summary'!$C:$C,$C129,'Disbursements Summary'!$A:$A,"OGDEN")</f>
        <v>0</v>
      </c>
      <c r="FR129" s="55">
        <f>SUMIFS('Awards Summary'!$H:$H,'Awards Summary'!$B:$B,$C129,'Awards Summary'!$J:$J,"ORDA")</f>
        <v>0</v>
      </c>
      <c r="FS129" s="55">
        <f>SUMIFS('Disbursements Summary'!$E:$E,'Disbursements Summary'!$C:$C,$C129,'Disbursements Summary'!$A:$A,"ORDA")</f>
        <v>0</v>
      </c>
      <c r="FT129" s="55">
        <f>SUMIFS('Awards Summary'!$H:$H,'Awards Summary'!$B:$B,$C129,'Awards Summary'!$J:$J,"OSWEGO")</f>
        <v>0</v>
      </c>
      <c r="FU129" s="55">
        <f>SUMIFS('Disbursements Summary'!$E:$E,'Disbursements Summary'!$C:$C,$C129,'Disbursements Summary'!$A:$A,"OSWEGO")</f>
        <v>0</v>
      </c>
      <c r="FV129" s="55">
        <f>SUMIFS('Awards Summary'!$H:$H,'Awards Summary'!$B:$B,$C129,'Awards Summary'!$J:$J,"PERB")</f>
        <v>0</v>
      </c>
      <c r="FW129" s="55">
        <f>SUMIFS('Disbursements Summary'!$E:$E,'Disbursements Summary'!$C:$C,$C129,'Disbursements Summary'!$A:$A,"PERB")</f>
        <v>0</v>
      </c>
      <c r="FX129" s="55">
        <f>SUMIFS('Awards Summary'!$H:$H,'Awards Summary'!$B:$B,$C129,'Awards Summary'!$J:$J,"RGRTA")</f>
        <v>0</v>
      </c>
      <c r="FY129" s="55">
        <f>SUMIFS('Disbursements Summary'!$E:$E,'Disbursements Summary'!$C:$C,$C129,'Disbursements Summary'!$A:$A,"RGRTA")</f>
        <v>0</v>
      </c>
      <c r="FZ129" s="55">
        <f>SUMIFS('Awards Summary'!$H:$H,'Awards Summary'!$B:$B,$C129,'Awards Summary'!$J:$J,"RIOC")</f>
        <v>0</v>
      </c>
      <c r="GA129" s="55">
        <f>SUMIFS('Disbursements Summary'!$E:$E,'Disbursements Summary'!$C:$C,$C129,'Disbursements Summary'!$A:$A,"RIOC")</f>
        <v>0</v>
      </c>
      <c r="GB129" s="55">
        <f>SUMIFS('Awards Summary'!$H:$H,'Awards Summary'!$B:$B,$C129,'Awards Summary'!$J:$J,"RPCI")</f>
        <v>0</v>
      </c>
      <c r="GC129" s="55">
        <f>SUMIFS('Disbursements Summary'!$E:$E,'Disbursements Summary'!$C:$C,$C129,'Disbursements Summary'!$A:$A,"RPCI")</f>
        <v>0</v>
      </c>
      <c r="GD129" s="55">
        <f>SUMIFS('Awards Summary'!$H:$H,'Awards Summary'!$B:$B,$C129,'Awards Summary'!$J:$J,"SMDA")</f>
        <v>0</v>
      </c>
      <c r="GE129" s="55">
        <f>SUMIFS('Disbursements Summary'!$E:$E,'Disbursements Summary'!$C:$C,$C129,'Disbursements Summary'!$A:$A,"SMDA")</f>
        <v>0</v>
      </c>
      <c r="GF129" s="55">
        <f>SUMIFS('Awards Summary'!$H:$H,'Awards Summary'!$B:$B,$C129,'Awards Summary'!$J:$J,"SCOC")</f>
        <v>0</v>
      </c>
      <c r="GG129" s="55">
        <f>SUMIFS('Disbursements Summary'!$E:$E,'Disbursements Summary'!$C:$C,$C129,'Disbursements Summary'!$A:$A,"SCOC")</f>
        <v>0</v>
      </c>
      <c r="GH129" s="55">
        <f>SUMIFS('Awards Summary'!$H:$H,'Awards Summary'!$B:$B,$C129,'Awards Summary'!$J:$J,"SUCF")</f>
        <v>0</v>
      </c>
      <c r="GI129" s="55">
        <f>SUMIFS('Disbursements Summary'!$E:$E,'Disbursements Summary'!$C:$C,$C129,'Disbursements Summary'!$A:$A,"SUCF")</f>
        <v>0</v>
      </c>
      <c r="GJ129" s="55">
        <f>SUMIFS('Awards Summary'!$H:$H,'Awards Summary'!$B:$B,$C129,'Awards Summary'!$J:$J,"SUNY")</f>
        <v>0</v>
      </c>
      <c r="GK129" s="55">
        <f>SUMIFS('Disbursements Summary'!$E:$E,'Disbursements Summary'!$C:$C,$C129,'Disbursements Summary'!$A:$A,"SUNY")</f>
        <v>0</v>
      </c>
      <c r="GL129" s="55">
        <f>SUMIFS('Awards Summary'!$H:$H,'Awards Summary'!$B:$B,$C129,'Awards Summary'!$J:$J,"SRAA")</f>
        <v>0</v>
      </c>
      <c r="GM129" s="55">
        <f>SUMIFS('Disbursements Summary'!$E:$E,'Disbursements Summary'!$C:$C,$C129,'Disbursements Summary'!$A:$A,"SRAA")</f>
        <v>0</v>
      </c>
      <c r="GN129" s="55">
        <f>SUMIFS('Awards Summary'!$H:$H,'Awards Summary'!$B:$B,$C129,'Awards Summary'!$J:$J,"UNDC")</f>
        <v>0</v>
      </c>
      <c r="GO129" s="55">
        <f>SUMIFS('Disbursements Summary'!$E:$E,'Disbursements Summary'!$C:$C,$C129,'Disbursements Summary'!$A:$A,"UNDC")</f>
        <v>0</v>
      </c>
      <c r="GP129" s="55">
        <f>SUMIFS('Awards Summary'!$H:$H,'Awards Summary'!$B:$B,$C129,'Awards Summary'!$J:$J,"MVWA")</f>
        <v>0</v>
      </c>
      <c r="GQ129" s="55">
        <f>SUMIFS('Disbursements Summary'!$E:$E,'Disbursements Summary'!$C:$C,$C129,'Disbursements Summary'!$A:$A,"MVWA")</f>
        <v>0</v>
      </c>
      <c r="GR129" s="55">
        <f>SUMIFS('Awards Summary'!$H:$H,'Awards Summary'!$B:$B,$C129,'Awards Summary'!$J:$J,"WMC")</f>
        <v>0</v>
      </c>
      <c r="GS129" s="55">
        <f>SUMIFS('Disbursements Summary'!$E:$E,'Disbursements Summary'!$C:$C,$C129,'Disbursements Summary'!$A:$A,"WMC")</f>
        <v>0</v>
      </c>
      <c r="GT129" s="55">
        <f>SUMIFS('Awards Summary'!$H:$H,'Awards Summary'!$B:$B,$C129,'Awards Summary'!$J:$J,"WCB")</f>
        <v>0</v>
      </c>
      <c r="GU129" s="55">
        <f>SUMIFS('Disbursements Summary'!$E:$E,'Disbursements Summary'!$C:$C,$C129,'Disbursements Summary'!$A:$A,"WCB")</f>
        <v>0</v>
      </c>
      <c r="GV129" s="32">
        <f t="shared" si="10"/>
        <v>0</v>
      </c>
      <c r="GW129" s="32">
        <f t="shared" si="11"/>
        <v>0</v>
      </c>
      <c r="GX129" s="30" t="b">
        <f t="shared" si="12"/>
        <v>1</v>
      </c>
      <c r="GY129" s="30" t="b">
        <f t="shared" si="13"/>
        <v>1</v>
      </c>
    </row>
    <row r="130" spans="1:16384" s="30" customFormat="1">
      <c r="A130" s="22" t="str">
        <f t="shared" si="9"/>
        <v/>
      </c>
      <c r="B130" s="18" t="s">
        <v>240</v>
      </c>
      <c r="C130" s="16">
        <v>161320</v>
      </c>
      <c r="D130" s="26">
        <f>COUNTIF('Awards Summary'!B:B,"161320")</f>
        <v>0</v>
      </c>
      <c r="E130" s="45">
        <f>SUMIFS('Awards Summary'!H:H,'Awards Summary'!B:B,"161320")</f>
        <v>0</v>
      </c>
      <c r="F130" s="46">
        <f>SUMIFS('Disbursements Summary'!E:E,'Disbursements Summary'!C:C, "161320")</f>
        <v>0</v>
      </c>
      <c r="H130" s="55">
        <f>SUMIFS('Awards Summary'!$H:$H,'Awards Summary'!$B:$B,$C130,'Awards Summary'!$J:$J,"APA")</f>
        <v>0</v>
      </c>
      <c r="I130" s="55">
        <f>SUMIFS('Disbursements Summary'!$E:$E,'Disbursements Summary'!$C:$C,$C130,'Disbursements Summary'!$A:$A,"APA")</f>
        <v>0</v>
      </c>
      <c r="J130" s="55">
        <f>SUMIFS('Awards Summary'!$H:$H,'Awards Summary'!$B:$B,$C130,'Awards Summary'!$J:$J,"Ag&amp;Horse")</f>
        <v>0</v>
      </c>
      <c r="K130" s="55">
        <f>SUMIFS('Disbursements Summary'!$E:$E,'Disbursements Summary'!$C:$C,$C130,'Disbursements Summary'!$A:$A,"Ag&amp;Horse")</f>
        <v>0</v>
      </c>
      <c r="L130" s="55">
        <f>SUMIFS('Awards Summary'!$H:$H,'Awards Summary'!$B:$B,$C130,'Awards Summary'!$J:$J,"ACAA")</f>
        <v>0</v>
      </c>
      <c r="M130" s="55">
        <f>SUMIFS('Disbursements Summary'!$E:$E,'Disbursements Summary'!$C:$C,$C130,'Disbursements Summary'!$A:$A,"ACAA")</f>
        <v>0</v>
      </c>
      <c r="N130" s="55">
        <f>SUMIFS('Awards Summary'!$H:$H,'Awards Summary'!$B:$B,$C130,'Awards Summary'!$J:$J,"PortAlbany")</f>
        <v>0</v>
      </c>
      <c r="O130" s="55">
        <f>SUMIFS('Disbursements Summary'!$E:$E,'Disbursements Summary'!$C:$C,$C130,'Disbursements Summary'!$A:$A,"PortAlbany")</f>
        <v>0</v>
      </c>
      <c r="P130" s="55">
        <f>SUMIFS('Awards Summary'!$H:$H,'Awards Summary'!$B:$B,$C130,'Awards Summary'!$J:$J,"SLA")</f>
        <v>0</v>
      </c>
      <c r="Q130" s="55">
        <f>SUMIFS('Disbursements Summary'!$E:$E,'Disbursements Summary'!$C:$C,$C130,'Disbursements Summary'!$A:$A,"SLA")</f>
        <v>0</v>
      </c>
      <c r="R130" s="55">
        <f>SUMIFS('Awards Summary'!$H:$H,'Awards Summary'!$B:$B,$C130,'Awards Summary'!$J:$J,"BPCA")</f>
        <v>0</v>
      </c>
      <c r="S130" s="55">
        <f>SUMIFS('Disbursements Summary'!$E:$E,'Disbursements Summary'!$C:$C,$C130,'Disbursements Summary'!$A:$A,"BPCA")</f>
        <v>0</v>
      </c>
      <c r="T130" s="55">
        <f>SUMIFS('Awards Summary'!$H:$H,'Awards Summary'!$B:$B,$C130,'Awards Summary'!$J:$J,"ELECTIONS")</f>
        <v>0</v>
      </c>
      <c r="U130" s="55">
        <f>SUMIFS('Disbursements Summary'!$E:$E,'Disbursements Summary'!$C:$C,$C130,'Disbursements Summary'!$A:$A,"ELECTIONS")</f>
        <v>0</v>
      </c>
      <c r="V130" s="55">
        <f>SUMIFS('Awards Summary'!$H:$H,'Awards Summary'!$B:$B,$C130,'Awards Summary'!$J:$J,"BFSA")</f>
        <v>0</v>
      </c>
      <c r="W130" s="55">
        <f>SUMIFS('Disbursements Summary'!$E:$E,'Disbursements Summary'!$C:$C,$C130,'Disbursements Summary'!$A:$A,"BFSA")</f>
        <v>0</v>
      </c>
      <c r="X130" s="55">
        <f>SUMIFS('Awards Summary'!$H:$H,'Awards Summary'!$B:$B,$C130,'Awards Summary'!$J:$J,"CDTA")</f>
        <v>0</v>
      </c>
      <c r="Y130" s="55">
        <f>SUMIFS('Disbursements Summary'!$E:$E,'Disbursements Summary'!$C:$C,$C130,'Disbursements Summary'!$A:$A,"CDTA")</f>
        <v>0</v>
      </c>
      <c r="Z130" s="55">
        <f>SUMIFS('Awards Summary'!$H:$H,'Awards Summary'!$B:$B,$C130,'Awards Summary'!$J:$J,"CCWSA")</f>
        <v>0</v>
      </c>
      <c r="AA130" s="55">
        <f>SUMIFS('Disbursements Summary'!$E:$E,'Disbursements Summary'!$C:$C,$C130,'Disbursements Summary'!$A:$A,"CCWSA")</f>
        <v>0</v>
      </c>
      <c r="AB130" s="55">
        <f>SUMIFS('Awards Summary'!$H:$H,'Awards Summary'!$B:$B,$C130,'Awards Summary'!$J:$J,"CNYRTA")</f>
        <v>0</v>
      </c>
      <c r="AC130" s="55">
        <f>SUMIFS('Disbursements Summary'!$E:$E,'Disbursements Summary'!$C:$C,$C130,'Disbursements Summary'!$A:$A,"CNYRTA")</f>
        <v>0</v>
      </c>
      <c r="AD130" s="55">
        <f>SUMIFS('Awards Summary'!$H:$H,'Awards Summary'!$B:$B,$C130,'Awards Summary'!$J:$J,"CUCF")</f>
        <v>0</v>
      </c>
      <c r="AE130" s="55">
        <f>SUMIFS('Disbursements Summary'!$E:$E,'Disbursements Summary'!$C:$C,$C130,'Disbursements Summary'!$A:$A,"CUCF")</f>
        <v>0</v>
      </c>
      <c r="AF130" s="55">
        <f>SUMIFS('Awards Summary'!$H:$H,'Awards Summary'!$B:$B,$C130,'Awards Summary'!$J:$J,"CUNY")</f>
        <v>0</v>
      </c>
      <c r="AG130" s="55">
        <f>SUMIFS('Disbursements Summary'!$E:$E,'Disbursements Summary'!$C:$C,$C130,'Disbursements Summary'!$A:$A,"CUNY")</f>
        <v>0</v>
      </c>
      <c r="AH130" s="55">
        <f>SUMIFS('Awards Summary'!$H:$H,'Awards Summary'!$B:$B,$C130,'Awards Summary'!$J:$J,"ARTS")</f>
        <v>0</v>
      </c>
      <c r="AI130" s="55">
        <f>SUMIFS('Disbursements Summary'!$E:$E,'Disbursements Summary'!$C:$C,$C130,'Disbursements Summary'!$A:$A,"ARTS")</f>
        <v>0</v>
      </c>
      <c r="AJ130" s="55">
        <f>SUMIFS('Awards Summary'!$H:$H,'Awards Summary'!$B:$B,$C130,'Awards Summary'!$J:$J,"AG&amp;MKTS")</f>
        <v>0</v>
      </c>
      <c r="AK130" s="55">
        <f>SUMIFS('Disbursements Summary'!$E:$E,'Disbursements Summary'!$C:$C,$C130,'Disbursements Summary'!$A:$A,"AG&amp;MKTS")</f>
        <v>0</v>
      </c>
      <c r="AL130" s="55">
        <f>SUMIFS('Awards Summary'!$H:$H,'Awards Summary'!$B:$B,$C130,'Awards Summary'!$J:$J,"CS")</f>
        <v>0</v>
      </c>
      <c r="AM130" s="55">
        <f>SUMIFS('Disbursements Summary'!$E:$E,'Disbursements Summary'!$C:$C,$C130,'Disbursements Summary'!$A:$A,"CS")</f>
        <v>0</v>
      </c>
      <c r="AN130" s="55">
        <f>SUMIFS('Awards Summary'!$H:$H,'Awards Summary'!$B:$B,$C130,'Awards Summary'!$J:$J,"DOCCS")</f>
        <v>0</v>
      </c>
      <c r="AO130" s="55">
        <f>SUMIFS('Disbursements Summary'!$E:$E,'Disbursements Summary'!$C:$C,$C130,'Disbursements Summary'!$A:$A,"DOCCS")</f>
        <v>0</v>
      </c>
      <c r="AP130" s="55">
        <f>SUMIFS('Awards Summary'!$H:$H,'Awards Summary'!$B:$B,$C130,'Awards Summary'!$J:$J,"DED")</f>
        <v>0</v>
      </c>
      <c r="AQ130" s="55">
        <f>SUMIFS('Disbursements Summary'!$E:$E,'Disbursements Summary'!$C:$C,$C130,'Disbursements Summary'!$A:$A,"DED")</f>
        <v>0</v>
      </c>
      <c r="AR130" s="55">
        <f>SUMIFS('Awards Summary'!$H:$H,'Awards Summary'!$B:$B,$C130,'Awards Summary'!$J:$J,"DEC")</f>
        <v>0</v>
      </c>
      <c r="AS130" s="55">
        <f>SUMIFS('Disbursements Summary'!$E:$E,'Disbursements Summary'!$C:$C,$C130,'Disbursements Summary'!$A:$A,"DEC")</f>
        <v>0</v>
      </c>
      <c r="AT130" s="55">
        <f>SUMIFS('Awards Summary'!$H:$H,'Awards Summary'!$B:$B,$C130,'Awards Summary'!$J:$J,"DFS")</f>
        <v>0</v>
      </c>
      <c r="AU130" s="55">
        <f>SUMIFS('Disbursements Summary'!$E:$E,'Disbursements Summary'!$C:$C,$C130,'Disbursements Summary'!$A:$A,"DFS")</f>
        <v>0</v>
      </c>
      <c r="AV130" s="55">
        <f>SUMIFS('Awards Summary'!$H:$H,'Awards Summary'!$B:$B,$C130,'Awards Summary'!$J:$J,"DOH")</f>
        <v>0</v>
      </c>
      <c r="AW130" s="55">
        <f>SUMIFS('Disbursements Summary'!$E:$E,'Disbursements Summary'!$C:$C,$C130,'Disbursements Summary'!$A:$A,"DOH")</f>
        <v>0</v>
      </c>
      <c r="AX130" s="55">
        <f>SUMIFS('Awards Summary'!$H:$H,'Awards Summary'!$B:$B,$C130,'Awards Summary'!$J:$J,"DOL")</f>
        <v>0</v>
      </c>
      <c r="AY130" s="55">
        <f>SUMIFS('Disbursements Summary'!$E:$E,'Disbursements Summary'!$C:$C,$C130,'Disbursements Summary'!$A:$A,"DOL")</f>
        <v>0</v>
      </c>
      <c r="AZ130" s="55">
        <f>SUMIFS('Awards Summary'!$H:$H,'Awards Summary'!$B:$B,$C130,'Awards Summary'!$J:$J,"DMV")</f>
        <v>0</v>
      </c>
      <c r="BA130" s="55">
        <f>SUMIFS('Disbursements Summary'!$E:$E,'Disbursements Summary'!$C:$C,$C130,'Disbursements Summary'!$A:$A,"DMV")</f>
        <v>0</v>
      </c>
      <c r="BB130" s="55">
        <f>SUMIFS('Awards Summary'!$H:$H,'Awards Summary'!$B:$B,$C130,'Awards Summary'!$J:$J,"DPS")</f>
        <v>0</v>
      </c>
      <c r="BC130" s="55">
        <f>SUMIFS('Disbursements Summary'!$E:$E,'Disbursements Summary'!$C:$C,$C130,'Disbursements Summary'!$A:$A,"DPS")</f>
        <v>0</v>
      </c>
      <c r="BD130" s="55">
        <f>SUMIFS('Awards Summary'!$H:$H,'Awards Summary'!$B:$B,$C130,'Awards Summary'!$J:$J,"DOS")</f>
        <v>0</v>
      </c>
      <c r="BE130" s="55">
        <f>SUMIFS('Disbursements Summary'!$E:$E,'Disbursements Summary'!$C:$C,$C130,'Disbursements Summary'!$A:$A,"DOS")</f>
        <v>0</v>
      </c>
      <c r="BF130" s="55">
        <f>SUMIFS('Awards Summary'!$H:$H,'Awards Summary'!$B:$B,$C130,'Awards Summary'!$J:$J,"TAX")</f>
        <v>0</v>
      </c>
      <c r="BG130" s="55">
        <f>SUMIFS('Disbursements Summary'!$E:$E,'Disbursements Summary'!$C:$C,$C130,'Disbursements Summary'!$A:$A,"TAX")</f>
        <v>0</v>
      </c>
      <c r="BH130" s="55">
        <f>SUMIFS('Awards Summary'!$H:$H,'Awards Summary'!$B:$B,$C130,'Awards Summary'!$J:$J,"DOT")</f>
        <v>0</v>
      </c>
      <c r="BI130" s="55">
        <f>SUMIFS('Disbursements Summary'!$E:$E,'Disbursements Summary'!$C:$C,$C130,'Disbursements Summary'!$A:$A,"DOT")</f>
        <v>0</v>
      </c>
      <c r="BJ130" s="55">
        <f>SUMIFS('Awards Summary'!$H:$H,'Awards Summary'!$B:$B,$C130,'Awards Summary'!$J:$J,"DANC")</f>
        <v>0</v>
      </c>
      <c r="BK130" s="55">
        <f>SUMIFS('Disbursements Summary'!$E:$E,'Disbursements Summary'!$C:$C,$C130,'Disbursements Summary'!$A:$A,"DANC")</f>
        <v>0</v>
      </c>
      <c r="BL130" s="55">
        <f>SUMIFS('Awards Summary'!$H:$H,'Awards Summary'!$B:$B,$C130,'Awards Summary'!$J:$J,"DOB")</f>
        <v>0</v>
      </c>
      <c r="BM130" s="55">
        <f>SUMIFS('Disbursements Summary'!$E:$E,'Disbursements Summary'!$C:$C,$C130,'Disbursements Summary'!$A:$A,"DOB")</f>
        <v>0</v>
      </c>
      <c r="BN130" s="55">
        <f>SUMIFS('Awards Summary'!$H:$H,'Awards Summary'!$B:$B,$C130,'Awards Summary'!$J:$J,"DCJS")</f>
        <v>0</v>
      </c>
      <c r="BO130" s="55">
        <f>SUMIFS('Disbursements Summary'!$E:$E,'Disbursements Summary'!$C:$C,$C130,'Disbursements Summary'!$A:$A,"DCJS")</f>
        <v>0</v>
      </c>
      <c r="BP130" s="55">
        <f>SUMIFS('Awards Summary'!$H:$H,'Awards Summary'!$B:$B,$C130,'Awards Summary'!$J:$J,"DHSES")</f>
        <v>0</v>
      </c>
      <c r="BQ130" s="55">
        <f>SUMIFS('Disbursements Summary'!$E:$E,'Disbursements Summary'!$C:$C,$C130,'Disbursements Summary'!$A:$A,"DHSES")</f>
        <v>0</v>
      </c>
      <c r="BR130" s="55">
        <f>SUMIFS('Awards Summary'!$H:$H,'Awards Summary'!$B:$B,$C130,'Awards Summary'!$J:$J,"DHR")</f>
        <v>0</v>
      </c>
      <c r="BS130" s="55">
        <f>SUMIFS('Disbursements Summary'!$E:$E,'Disbursements Summary'!$C:$C,$C130,'Disbursements Summary'!$A:$A,"DHR")</f>
        <v>0</v>
      </c>
      <c r="BT130" s="55">
        <f>SUMIFS('Awards Summary'!$H:$H,'Awards Summary'!$B:$B,$C130,'Awards Summary'!$J:$J,"DMNA")</f>
        <v>0</v>
      </c>
      <c r="BU130" s="55">
        <f>SUMIFS('Disbursements Summary'!$E:$E,'Disbursements Summary'!$C:$C,$C130,'Disbursements Summary'!$A:$A,"DMNA")</f>
        <v>0</v>
      </c>
      <c r="BV130" s="55">
        <f>SUMIFS('Awards Summary'!$H:$H,'Awards Summary'!$B:$B,$C130,'Awards Summary'!$J:$J,"TROOPERS")</f>
        <v>0</v>
      </c>
      <c r="BW130" s="55">
        <f>SUMIFS('Disbursements Summary'!$E:$E,'Disbursements Summary'!$C:$C,$C130,'Disbursements Summary'!$A:$A,"TROOPERS")</f>
        <v>0</v>
      </c>
      <c r="BX130" s="55">
        <f>SUMIFS('Awards Summary'!$H:$H,'Awards Summary'!$B:$B,$C130,'Awards Summary'!$J:$J,"DVA")</f>
        <v>0</v>
      </c>
      <c r="BY130" s="55">
        <f>SUMIFS('Disbursements Summary'!$E:$E,'Disbursements Summary'!$C:$C,$C130,'Disbursements Summary'!$A:$A,"DVA")</f>
        <v>0</v>
      </c>
      <c r="BZ130" s="55">
        <f>SUMIFS('Awards Summary'!$H:$H,'Awards Summary'!$B:$B,$C130,'Awards Summary'!$J:$J,"DASNY")</f>
        <v>0</v>
      </c>
      <c r="CA130" s="55">
        <f>SUMIFS('Disbursements Summary'!$E:$E,'Disbursements Summary'!$C:$C,$C130,'Disbursements Summary'!$A:$A,"DASNY")</f>
        <v>0</v>
      </c>
      <c r="CB130" s="55">
        <f>SUMIFS('Awards Summary'!$H:$H,'Awards Summary'!$B:$B,$C130,'Awards Summary'!$J:$J,"EGG")</f>
        <v>0</v>
      </c>
      <c r="CC130" s="55">
        <f>SUMIFS('Disbursements Summary'!$E:$E,'Disbursements Summary'!$C:$C,$C130,'Disbursements Summary'!$A:$A,"EGG")</f>
        <v>0</v>
      </c>
      <c r="CD130" s="55">
        <f>SUMIFS('Awards Summary'!$H:$H,'Awards Summary'!$B:$B,$C130,'Awards Summary'!$J:$J,"ESD")</f>
        <v>0</v>
      </c>
      <c r="CE130" s="55">
        <f>SUMIFS('Disbursements Summary'!$E:$E,'Disbursements Summary'!$C:$C,$C130,'Disbursements Summary'!$A:$A,"ESD")</f>
        <v>0</v>
      </c>
      <c r="CF130" s="55">
        <f>SUMIFS('Awards Summary'!$H:$H,'Awards Summary'!$B:$B,$C130,'Awards Summary'!$J:$J,"EFC")</f>
        <v>0</v>
      </c>
      <c r="CG130" s="55">
        <f>SUMIFS('Disbursements Summary'!$E:$E,'Disbursements Summary'!$C:$C,$C130,'Disbursements Summary'!$A:$A,"EFC")</f>
        <v>0</v>
      </c>
      <c r="CH130" s="55">
        <f>SUMIFS('Awards Summary'!$H:$H,'Awards Summary'!$B:$B,$C130,'Awards Summary'!$J:$J,"ECFSA")</f>
        <v>0</v>
      </c>
      <c r="CI130" s="55">
        <f>SUMIFS('Disbursements Summary'!$E:$E,'Disbursements Summary'!$C:$C,$C130,'Disbursements Summary'!$A:$A,"ECFSA")</f>
        <v>0</v>
      </c>
      <c r="CJ130" s="55">
        <f>SUMIFS('Awards Summary'!$H:$H,'Awards Summary'!$B:$B,$C130,'Awards Summary'!$J:$J,"ECMC")</f>
        <v>0</v>
      </c>
      <c r="CK130" s="55">
        <f>SUMIFS('Disbursements Summary'!$E:$E,'Disbursements Summary'!$C:$C,$C130,'Disbursements Summary'!$A:$A,"ECMC")</f>
        <v>0</v>
      </c>
      <c r="CL130" s="55">
        <f>SUMIFS('Awards Summary'!$H:$H,'Awards Summary'!$B:$B,$C130,'Awards Summary'!$J:$J,"CHAMBER")</f>
        <v>0</v>
      </c>
      <c r="CM130" s="55">
        <f>SUMIFS('Disbursements Summary'!$E:$E,'Disbursements Summary'!$C:$C,$C130,'Disbursements Summary'!$A:$A,"CHAMBER")</f>
        <v>0</v>
      </c>
      <c r="CN130" s="55">
        <f>SUMIFS('Awards Summary'!$H:$H,'Awards Summary'!$B:$B,$C130,'Awards Summary'!$J:$J,"GAMING")</f>
        <v>0</v>
      </c>
      <c r="CO130" s="55">
        <f>SUMIFS('Disbursements Summary'!$E:$E,'Disbursements Summary'!$C:$C,$C130,'Disbursements Summary'!$A:$A,"GAMING")</f>
        <v>0</v>
      </c>
      <c r="CP130" s="55">
        <f>SUMIFS('Awards Summary'!$H:$H,'Awards Summary'!$B:$B,$C130,'Awards Summary'!$J:$J,"GOER")</f>
        <v>0</v>
      </c>
      <c r="CQ130" s="55">
        <f>SUMIFS('Disbursements Summary'!$E:$E,'Disbursements Summary'!$C:$C,$C130,'Disbursements Summary'!$A:$A,"GOER")</f>
        <v>0</v>
      </c>
      <c r="CR130" s="55">
        <f>SUMIFS('Awards Summary'!$H:$H,'Awards Summary'!$B:$B,$C130,'Awards Summary'!$J:$J,"HESC")</f>
        <v>0</v>
      </c>
      <c r="CS130" s="55">
        <f>SUMIFS('Disbursements Summary'!$E:$E,'Disbursements Summary'!$C:$C,$C130,'Disbursements Summary'!$A:$A,"HESC")</f>
        <v>0</v>
      </c>
      <c r="CT130" s="55">
        <f>SUMIFS('Awards Summary'!$H:$H,'Awards Summary'!$B:$B,$C130,'Awards Summary'!$J:$J,"GOSR")</f>
        <v>0</v>
      </c>
      <c r="CU130" s="55">
        <f>SUMIFS('Disbursements Summary'!$E:$E,'Disbursements Summary'!$C:$C,$C130,'Disbursements Summary'!$A:$A,"GOSR")</f>
        <v>0</v>
      </c>
      <c r="CV130" s="55">
        <f>SUMIFS('Awards Summary'!$H:$H,'Awards Summary'!$B:$B,$C130,'Awards Summary'!$J:$J,"HRPT")</f>
        <v>0</v>
      </c>
      <c r="CW130" s="55">
        <f>SUMIFS('Disbursements Summary'!$E:$E,'Disbursements Summary'!$C:$C,$C130,'Disbursements Summary'!$A:$A,"HRPT")</f>
        <v>0</v>
      </c>
      <c r="CX130" s="55">
        <f>SUMIFS('Awards Summary'!$H:$H,'Awards Summary'!$B:$B,$C130,'Awards Summary'!$J:$J,"HRBRRD")</f>
        <v>0</v>
      </c>
      <c r="CY130" s="55">
        <f>SUMIFS('Disbursements Summary'!$E:$E,'Disbursements Summary'!$C:$C,$C130,'Disbursements Summary'!$A:$A,"HRBRRD")</f>
        <v>0</v>
      </c>
      <c r="CZ130" s="55">
        <f>SUMIFS('Awards Summary'!$H:$H,'Awards Summary'!$B:$B,$C130,'Awards Summary'!$J:$J,"ITS")</f>
        <v>0</v>
      </c>
      <c r="DA130" s="55">
        <f>SUMIFS('Disbursements Summary'!$E:$E,'Disbursements Summary'!$C:$C,$C130,'Disbursements Summary'!$A:$A,"ITS")</f>
        <v>0</v>
      </c>
      <c r="DB130" s="55">
        <f>SUMIFS('Awards Summary'!$H:$H,'Awards Summary'!$B:$B,$C130,'Awards Summary'!$J:$J,"JAVITS")</f>
        <v>0</v>
      </c>
      <c r="DC130" s="55">
        <f>SUMIFS('Disbursements Summary'!$E:$E,'Disbursements Summary'!$C:$C,$C130,'Disbursements Summary'!$A:$A,"JAVITS")</f>
        <v>0</v>
      </c>
      <c r="DD130" s="55">
        <f>SUMIFS('Awards Summary'!$H:$H,'Awards Summary'!$B:$B,$C130,'Awards Summary'!$J:$J,"JCOPE")</f>
        <v>0</v>
      </c>
      <c r="DE130" s="55">
        <f>SUMIFS('Disbursements Summary'!$E:$E,'Disbursements Summary'!$C:$C,$C130,'Disbursements Summary'!$A:$A,"JCOPE")</f>
        <v>0</v>
      </c>
      <c r="DF130" s="55">
        <f>SUMIFS('Awards Summary'!$H:$H,'Awards Summary'!$B:$B,$C130,'Awards Summary'!$J:$J,"JUSTICE")</f>
        <v>0</v>
      </c>
      <c r="DG130" s="55">
        <f>SUMIFS('Disbursements Summary'!$E:$E,'Disbursements Summary'!$C:$C,$C130,'Disbursements Summary'!$A:$A,"JUSTICE")</f>
        <v>0</v>
      </c>
      <c r="DH130" s="55">
        <f>SUMIFS('Awards Summary'!$H:$H,'Awards Summary'!$B:$B,$C130,'Awards Summary'!$J:$J,"LCWSA")</f>
        <v>0</v>
      </c>
      <c r="DI130" s="55">
        <f>SUMIFS('Disbursements Summary'!$E:$E,'Disbursements Summary'!$C:$C,$C130,'Disbursements Summary'!$A:$A,"LCWSA")</f>
        <v>0</v>
      </c>
      <c r="DJ130" s="55">
        <f>SUMIFS('Awards Summary'!$H:$H,'Awards Summary'!$B:$B,$C130,'Awards Summary'!$J:$J,"LIPA")</f>
        <v>0</v>
      </c>
      <c r="DK130" s="55">
        <f>SUMIFS('Disbursements Summary'!$E:$E,'Disbursements Summary'!$C:$C,$C130,'Disbursements Summary'!$A:$A,"LIPA")</f>
        <v>0</v>
      </c>
      <c r="DL130" s="55">
        <f>SUMIFS('Awards Summary'!$H:$H,'Awards Summary'!$B:$B,$C130,'Awards Summary'!$J:$J,"MTA")</f>
        <v>0</v>
      </c>
      <c r="DM130" s="55">
        <f>SUMIFS('Disbursements Summary'!$E:$E,'Disbursements Summary'!$C:$C,$C130,'Disbursements Summary'!$A:$A,"MTA")</f>
        <v>0</v>
      </c>
      <c r="DN130" s="55">
        <f>SUMIFS('Awards Summary'!$H:$H,'Awards Summary'!$B:$B,$C130,'Awards Summary'!$J:$J,"NIFA")</f>
        <v>0</v>
      </c>
      <c r="DO130" s="55">
        <f>SUMIFS('Disbursements Summary'!$E:$E,'Disbursements Summary'!$C:$C,$C130,'Disbursements Summary'!$A:$A,"NIFA")</f>
        <v>0</v>
      </c>
      <c r="DP130" s="55">
        <f>SUMIFS('Awards Summary'!$H:$H,'Awards Summary'!$B:$B,$C130,'Awards Summary'!$J:$J,"NHCC")</f>
        <v>0</v>
      </c>
      <c r="DQ130" s="55">
        <f>SUMIFS('Disbursements Summary'!$E:$E,'Disbursements Summary'!$C:$C,$C130,'Disbursements Summary'!$A:$A,"NHCC")</f>
        <v>0</v>
      </c>
      <c r="DR130" s="55">
        <f>SUMIFS('Awards Summary'!$H:$H,'Awards Summary'!$B:$B,$C130,'Awards Summary'!$J:$J,"NHT")</f>
        <v>0</v>
      </c>
      <c r="DS130" s="55">
        <f>SUMIFS('Disbursements Summary'!$E:$E,'Disbursements Summary'!$C:$C,$C130,'Disbursements Summary'!$A:$A,"NHT")</f>
        <v>0</v>
      </c>
      <c r="DT130" s="55">
        <f>SUMIFS('Awards Summary'!$H:$H,'Awards Summary'!$B:$B,$C130,'Awards Summary'!$J:$J,"NYPA")</f>
        <v>0</v>
      </c>
      <c r="DU130" s="55">
        <f>SUMIFS('Disbursements Summary'!$E:$E,'Disbursements Summary'!$C:$C,$C130,'Disbursements Summary'!$A:$A,"NYPA")</f>
        <v>0</v>
      </c>
      <c r="DV130" s="55">
        <f>SUMIFS('Awards Summary'!$H:$H,'Awards Summary'!$B:$B,$C130,'Awards Summary'!$J:$J,"NYSBA")</f>
        <v>0</v>
      </c>
      <c r="DW130" s="55">
        <f>SUMIFS('Disbursements Summary'!$E:$E,'Disbursements Summary'!$C:$C,$C130,'Disbursements Summary'!$A:$A,"NYSBA")</f>
        <v>0</v>
      </c>
      <c r="DX130" s="55">
        <f>SUMIFS('Awards Summary'!$H:$H,'Awards Summary'!$B:$B,$C130,'Awards Summary'!$J:$J,"NYSERDA")</f>
        <v>0</v>
      </c>
      <c r="DY130" s="55">
        <f>SUMIFS('Disbursements Summary'!$E:$E,'Disbursements Summary'!$C:$C,$C130,'Disbursements Summary'!$A:$A,"NYSERDA")</f>
        <v>0</v>
      </c>
      <c r="DZ130" s="55">
        <f>SUMIFS('Awards Summary'!$H:$H,'Awards Summary'!$B:$B,$C130,'Awards Summary'!$J:$J,"DHCR")</f>
        <v>0</v>
      </c>
      <c r="EA130" s="55">
        <f>SUMIFS('Disbursements Summary'!$E:$E,'Disbursements Summary'!$C:$C,$C130,'Disbursements Summary'!$A:$A,"DHCR")</f>
        <v>0</v>
      </c>
      <c r="EB130" s="55">
        <f>SUMIFS('Awards Summary'!$H:$H,'Awards Summary'!$B:$B,$C130,'Awards Summary'!$J:$J,"HFA")</f>
        <v>0</v>
      </c>
      <c r="EC130" s="55">
        <f>SUMIFS('Disbursements Summary'!$E:$E,'Disbursements Summary'!$C:$C,$C130,'Disbursements Summary'!$A:$A,"HFA")</f>
        <v>0</v>
      </c>
      <c r="ED130" s="55">
        <f>SUMIFS('Awards Summary'!$H:$H,'Awards Summary'!$B:$B,$C130,'Awards Summary'!$J:$J,"NYSIF")</f>
        <v>0</v>
      </c>
      <c r="EE130" s="55">
        <f>SUMIFS('Disbursements Summary'!$E:$E,'Disbursements Summary'!$C:$C,$C130,'Disbursements Summary'!$A:$A,"NYSIF")</f>
        <v>0</v>
      </c>
      <c r="EF130" s="55">
        <f>SUMIFS('Awards Summary'!$H:$H,'Awards Summary'!$B:$B,$C130,'Awards Summary'!$J:$J,"NYBREDS")</f>
        <v>0</v>
      </c>
      <c r="EG130" s="55">
        <f>SUMIFS('Disbursements Summary'!$E:$E,'Disbursements Summary'!$C:$C,$C130,'Disbursements Summary'!$A:$A,"NYBREDS")</f>
        <v>0</v>
      </c>
      <c r="EH130" s="55">
        <f>SUMIFS('Awards Summary'!$H:$H,'Awards Summary'!$B:$B,$C130,'Awards Summary'!$J:$J,"NYSTA")</f>
        <v>0</v>
      </c>
      <c r="EI130" s="55">
        <f>SUMIFS('Disbursements Summary'!$E:$E,'Disbursements Summary'!$C:$C,$C130,'Disbursements Summary'!$A:$A,"NYSTA")</f>
        <v>0</v>
      </c>
      <c r="EJ130" s="55">
        <f>SUMIFS('Awards Summary'!$H:$H,'Awards Summary'!$B:$B,$C130,'Awards Summary'!$J:$J,"NFWB")</f>
        <v>0</v>
      </c>
      <c r="EK130" s="55">
        <f>SUMIFS('Disbursements Summary'!$E:$E,'Disbursements Summary'!$C:$C,$C130,'Disbursements Summary'!$A:$A,"NFWB")</f>
        <v>0</v>
      </c>
      <c r="EL130" s="55">
        <f>SUMIFS('Awards Summary'!$H:$H,'Awards Summary'!$B:$B,$C130,'Awards Summary'!$J:$J,"NFTA")</f>
        <v>0</v>
      </c>
      <c r="EM130" s="55">
        <f>SUMIFS('Disbursements Summary'!$E:$E,'Disbursements Summary'!$C:$C,$C130,'Disbursements Summary'!$A:$A,"NFTA")</f>
        <v>0</v>
      </c>
      <c r="EN130" s="55">
        <f>SUMIFS('Awards Summary'!$H:$H,'Awards Summary'!$B:$B,$C130,'Awards Summary'!$J:$J,"OPWDD")</f>
        <v>0</v>
      </c>
      <c r="EO130" s="55">
        <f>SUMIFS('Disbursements Summary'!$E:$E,'Disbursements Summary'!$C:$C,$C130,'Disbursements Summary'!$A:$A,"OPWDD")</f>
        <v>0</v>
      </c>
      <c r="EP130" s="55">
        <f>SUMIFS('Awards Summary'!$H:$H,'Awards Summary'!$B:$B,$C130,'Awards Summary'!$J:$J,"AGING")</f>
        <v>0</v>
      </c>
      <c r="EQ130" s="55">
        <f>SUMIFS('Disbursements Summary'!$E:$E,'Disbursements Summary'!$C:$C,$C130,'Disbursements Summary'!$A:$A,"AGING")</f>
        <v>0</v>
      </c>
      <c r="ER130" s="55">
        <f>SUMIFS('Awards Summary'!$H:$H,'Awards Summary'!$B:$B,$C130,'Awards Summary'!$J:$J,"OPDV")</f>
        <v>0</v>
      </c>
      <c r="ES130" s="55">
        <f>SUMIFS('Disbursements Summary'!$E:$E,'Disbursements Summary'!$C:$C,$C130,'Disbursements Summary'!$A:$A,"OPDV")</f>
        <v>0</v>
      </c>
      <c r="ET130" s="55">
        <f>SUMIFS('Awards Summary'!$H:$H,'Awards Summary'!$B:$B,$C130,'Awards Summary'!$J:$J,"OVS")</f>
        <v>0</v>
      </c>
      <c r="EU130" s="55">
        <f>SUMIFS('Disbursements Summary'!$E:$E,'Disbursements Summary'!$C:$C,$C130,'Disbursements Summary'!$A:$A,"OVS")</f>
        <v>0</v>
      </c>
      <c r="EV130" s="55">
        <f>SUMIFS('Awards Summary'!$H:$H,'Awards Summary'!$B:$B,$C130,'Awards Summary'!$J:$J,"OASAS")</f>
        <v>0</v>
      </c>
      <c r="EW130" s="55">
        <f>SUMIFS('Disbursements Summary'!$E:$E,'Disbursements Summary'!$C:$C,$C130,'Disbursements Summary'!$A:$A,"OASAS")</f>
        <v>0</v>
      </c>
      <c r="EX130" s="55">
        <f>SUMIFS('Awards Summary'!$H:$H,'Awards Summary'!$B:$B,$C130,'Awards Summary'!$J:$J,"OCFS")</f>
        <v>0</v>
      </c>
      <c r="EY130" s="55">
        <f>SUMIFS('Disbursements Summary'!$E:$E,'Disbursements Summary'!$C:$C,$C130,'Disbursements Summary'!$A:$A,"OCFS")</f>
        <v>0</v>
      </c>
      <c r="EZ130" s="55">
        <f>SUMIFS('Awards Summary'!$H:$H,'Awards Summary'!$B:$B,$C130,'Awards Summary'!$J:$J,"OGS")</f>
        <v>0</v>
      </c>
      <c r="FA130" s="55">
        <f>SUMIFS('Disbursements Summary'!$E:$E,'Disbursements Summary'!$C:$C,$C130,'Disbursements Summary'!$A:$A,"OGS")</f>
        <v>0</v>
      </c>
      <c r="FB130" s="55">
        <f>SUMIFS('Awards Summary'!$H:$H,'Awards Summary'!$B:$B,$C130,'Awards Summary'!$J:$J,"OMH")</f>
        <v>0</v>
      </c>
      <c r="FC130" s="55">
        <f>SUMIFS('Disbursements Summary'!$E:$E,'Disbursements Summary'!$C:$C,$C130,'Disbursements Summary'!$A:$A,"OMH")</f>
        <v>0</v>
      </c>
      <c r="FD130" s="55">
        <f>SUMIFS('Awards Summary'!$H:$H,'Awards Summary'!$B:$B,$C130,'Awards Summary'!$J:$J,"PARKS")</f>
        <v>0</v>
      </c>
      <c r="FE130" s="55">
        <f>SUMIFS('Disbursements Summary'!$E:$E,'Disbursements Summary'!$C:$C,$C130,'Disbursements Summary'!$A:$A,"PARKS")</f>
        <v>0</v>
      </c>
      <c r="FF130" s="55">
        <f>SUMIFS('Awards Summary'!$H:$H,'Awards Summary'!$B:$B,$C130,'Awards Summary'!$J:$J,"OTDA")</f>
        <v>0</v>
      </c>
      <c r="FG130" s="55">
        <f>SUMIFS('Disbursements Summary'!$E:$E,'Disbursements Summary'!$C:$C,$C130,'Disbursements Summary'!$A:$A,"OTDA")</f>
        <v>0</v>
      </c>
      <c r="FH130" s="55">
        <f>SUMIFS('Awards Summary'!$H:$H,'Awards Summary'!$B:$B,$C130,'Awards Summary'!$J:$J,"OIG")</f>
        <v>0</v>
      </c>
      <c r="FI130" s="55">
        <f>SUMIFS('Disbursements Summary'!$E:$E,'Disbursements Summary'!$C:$C,$C130,'Disbursements Summary'!$A:$A,"OIG")</f>
        <v>0</v>
      </c>
      <c r="FJ130" s="55">
        <f>SUMIFS('Awards Summary'!$H:$H,'Awards Summary'!$B:$B,$C130,'Awards Summary'!$J:$J,"OMIG")</f>
        <v>0</v>
      </c>
      <c r="FK130" s="55">
        <f>SUMIFS('Disbursements Summary'!$E:$E,'Disbursements Summary'!$C:$C,$C130,'Disbursements Summary'!$A:$A,"OMIG")</f>
        <v>0</v>
      </c>
      <c r="FL130" s="55">
        <f>SUMIFS('Awards Summary'!$H:$H,'Awards Summary'!$B:$B,$C130,'Awards Summary'!$J:$J,"OSC")</f>
        <v>0</v>
      </c>
      <c r="FM130" s="55">
        <f>SUMIFS('Disbursements Summary'!$E:$E,'Disbursements Summary'!$C:$C,$C130,'Disbursements Summary'!$A:$A,"OSC")</f>
        <v>0</v>
      </c>
      <c r="FN130" s="55">
        <f>SUMIFS('Awards Summary'!$H:$H,'Awards Summary'!$B:$B,$C130,'Awards Summary'!$J:$J,"OWIG")</f>
        <v>0</v>
      </c>
      <c r="FO130" s="55">
        <f>SUMIFS('Disbursements Summary'!$E:$E,'Disbursements Summary'!$C:$C,$C130,'Disbursements Summary'!$A:$A,"OWIG")</f>
        <v>0</v>
      </c>
      <c r="FP130" s="55">
        <f>SUMIFS('Awards Summary'!$H:$H,'Awards Summary'!$B:$B,$C130,'Awards Summary'!$J:$J,"OGDEN")</f>
        <v>0</v>
      </c>
      <c r="FQ130" s="55">
        <f>SUMIFS('Disbursements Summary'!$E:$E,'Disbursements Summary'!$C:$C,$C130,'Disbursements Summary'!$A:$A,"OGDEN")</f>
        <v>0</v>
      </c>
      <c r="FR130" s="55">
        <f>SUMIFS('Awards Summary'!$H:$H,'Awards Summary'!$B:$B,$C130,'Awards Summary'!$J:$J,"ORDA")</f>
        <v>0</v>
      </c>
      <c r="FS130" s="55">
        <f>SUMIFS('Disbursements Summary'!$E:$E,'Disbursements Summary'!$C:$C,$C130,'Disbursements Summary'!$A:$A,"ORDA")</f>
        <v>0</v>
      </c>
      <c r="FT130" s="55">
        <f>SUMIFS('Awards Summary'!$H:$H,'Awards Summary'!$B:$B,$C130,'Awards Summary'!$J:$J,"OSWEGO")</f>
        <v>0</v>
      </c>
      <c r="FU130" s="55">
        <f>SUMIFS('Disbursements Summary'!$E:$E,'Disbursements Summary'!$C:$C,$C130,'Disbursements Summary'!$A:$A,"OSWEGO")</f>
        <v>0</v>
      </c>
      <c r="FV130" s="55">
        <f>SUMIFS('Awards Summary'!$H:$H,'Awards Summary'!$B:$B,$C130,'Awards Summary'!$J:$J,"PERB")</f>
        <v>0</v>
      </c>
      <c r="FW130" s="55">
        <f>SUMIFS('Disbursements Summary'!$E:$E,'Disbursements Summary'!$C:$C,$C130,'Disbursements Summary'!$A:$A,"PERB")</f>
        <v>0</v>
      </c>
      <c r="FX130" s="55">
        <f>SUMIFS('Awards Summary'!$H:$H,'Awards Summary'!$B:$B,$C130,'Awards Summary'!$J:$J,"RGRTA")</f>
        <v>0</v>
      </c>
      <c r="FY130" s="55">
        <f>SUMIFS('Disbursements Summary'!$E:$E,'Disbursements Summary'!$C:$C,$C130,'Disbursements Summary'!$A:$A,"RGRTA")</f>
        <v>0</v>
      </c>
      <c r="FZ130" s="55">
        <f>SUMIFS('Awards Summary'!$H:$H,'Awards Summary'!$B:$B,$C130,'Awards Summary'!$J:$J,"RIOC")</f>
        <v>0</v>
      </c>
      <c r="GA130" s="55">
        <f>SUMIFS('Disbursements Summary'!$E:$E,'Disbursements Summary'!$C:$C,$C130,'Disbursements Summary'!$A:$A,"RIOC")</f>
        <v>0</v>
      </c>
      <c r="GB130" s="55">
        <f>SUMIFS('Awards Summary'!$H:$H,'Awards Summary'!$B:$B,$C130,'Awards Summary'!$J:$J,"RPCI")</f>
        <v>0</v>
      </c>
      <c r="GC130" s="55">
        <f>SUMIFS('Disbursements Summary'!$E:$E,'Disbursements Summary'!$C:$C,$C130,'Disbursements Summary'!$A:$A,"RPCI")</f>
        <v>0</v>
      </c>
      <c r="GD130" s="55">
        <f>SUMIFS('Awards Summary'!$H:$H,'Awards Summary'!$B:$B,$C130,'Awards Summary'!$J:$J,"SMDA")</f>
        <v>0</v>
      </c>
      <c r="GE130" s="55">
        <f>SUMIFS('Disbursements Summary'!$E:$E,'Disbursements Summary'!$C:$C,$C130,'Disbursements Summary'!$A:$A,"SMDA")</f>
        <v>0</v>
      </c>
      <c r="GF130" s="55">
        <f>SUMIFS('Awards Summary'!$H:$H,'Awards Summary'!$B:$B,$C130,'Awards Summary'!$J:$J,"SCOC")</f>
        <v>0</v>
      </c>
      <c r="GG130" s="55">
        <f>SUMIFS('Disbursements Summary'!$E:$E,'Disbursements Summary'!$C:$C,$C130,'Disbursements Summary'!$A:$A,"SCOC")</f>
        <v>0</v>
      </c>
      <c r="GH130" s="55">
        <f>SUMIFS('Awards Summary'!$H:$H,'Awards Summary'!$B:$B,$C130,'Awards Summary'!$J:$J,"SUCF")</f>
        <v>0</v>
      </c>
      <c r="GI130" s="55">
        <f>SUMIFS('Disbursements Summary'!$E:$E,'Disbursements Summary'!$C:$C,$C130,'Disbursements Summary'!$A:$A,"SUCF")</f>
        <v>0</v>
      </c>
      <c r="GJ130" s="55">
        <f>SUMIFS('Awards Summary'!$H:$H,'Awards Summary'!$B:$B,$C130,'Awards Summary'!$J:$J,"SUNY")</f>
        <v>0</v>
      </c>
      <c r="GK130" s="55">
        <f>SUMIFS('Disbursements Summary'!$E:$E,'Disbursements Summary'!$C:$C,$C130,'Disbursements Summary'!$A:$A,"SUNY")</f>
        <v>0</v>
      </c>
      <c r="GL130" s="55">
        <f>SUMIFS('Awards Summary'!$H:$H,'Awards Summary'!$B:$B,$C130,'Awards Summary'!$J:$J,"SRAA")</f>
        <v>0</v>
      </c>
      <c r="GM130" s="55">
        <f>SUMIFS('Disbursements Summary'!$E:$E,'Disbursements Summary'!$C:$C,$C130,'Disbursements Summary'!$A:$A,"SRAA")</f>
        <v>0</v>
      </c>
      <c r="GN130" s="55">
        <f>SUMIFS('Awards Summary'!$H:$H,'Awards Summary'!$B:$B,$C130,'Awards Summary'!$J:$J,"UNDC")</f>
        <v>0</v>
      </c>
      <c r="GO130" s="55">
        <f>SUMIFS('Disbursements Summary'!$E:$E,'Disbursements Summary'!$C:$C,$C130,'Disbursements Summary'!$A:$A,"UNDC")</f>
        <v>0</v>
      </c>
      <c r="GP130" s="55">
        <f>SUMIFS('Awards Summary'!$H:$H,'Awards Summary'!$B:$B,$C130,'Awards Summary'!$J:$J,"MVWA")</f>
        <v>0</v>
      </c>
      <c r="GQ130" s="55">
        <f>SUMIFS('Disbursements Summary'!$E:$E,'Disbursements Summary'!$C:$C,$C130,'Disbursements Summary'!$A:$A,"MVWA")</f>
        <v>0</v>
      </c>
      <c r="GR130" s="55">
        <f>SUMIFS('Awards Summary'!$H:$H,'Awards Summary'!$B:$B,$C130,'Awards Summary'!$J:$J,"WMC")</f>
        <v>0</v>
      </c>
      <c r="GS130" s="55">
        <f>SUMIFS('Disbursements Summary'!$E:$E,'Disbursements Summary'!$C:$C,$C130,'Disbursements Summary'!$A:$A,"WMC")</f>
        <v>0</v>
      </c>
      <c r="GT130" s="55">
        <f>SUMIFS('Awards Summary'!$H:$H,'Awards Summary'!$B:$B,$C130,'Awards Summary'!$J:$J,"WCB")</f>
        <v>0</v>
      </c>
      <c r="GU130" s="55">
        <f>SUMIFS('Disbursements Summary'!$E:$E,'Disbursements Summary'!$C:$C,$C130,'Disbursements Summary'!$A:$A,"WCB")</f>
        <v>0</v>
      </c>
      <c r="GV130" s="32">
        <f t="shared" si="10"/>
        <v>0</v>
      </c>
      <c r="GW130" s="32">
        <f t="shared" si="11"/>
        <v>0</v>
      </c>
      <c r="GX130" s="30" t="b">
        <f t="shared" si="12"/>
        <v>1</v>
      </c>
      <c r="GY130" s="30" t="b">
        <f t="shared" si="13"/>
        <v>1</v>
      </c>
    </row>
    <row r="131" spans="1:16384">
      <c r="A131" s="22" t="str">
        <f t="shared" si="9"/>
        <v/>
      </c>
      <c r="B131" s="40" t="s">
        <v>227</v>
      </c>
      <c r="C131" s="16">
        <v>161325</v>
      </c>
      <c r="D131" s="26">
        <f>COUNTIF('Awards Summary'!B:B,"161325")</f>
        <v>0</v>
      </c>
      <c r="E131" s="45">
        <f>SUMIFS('Awards Summary'!H:H,'Awards Summary'!B:B,"161325")</f>
        <v>0</v>
      </c>
      <c r="F131" s="46">
        <f>SUMIFS('Disbursements Summary'!E:E,'Disbursements Summary'!C:C, "161325")</f>
        <v>0</v>
      </c>
      <c r="G131" s="61"/>
      <c r="H131" s="55">
        <f>SUMIFS('Awards Summary'!$H:$H,'Awards Summary'!$B:$B,$C131,'Awards Summary'!$J:$J,"APA")</f>
        <v>0</v>
      </c>
      <c r="I131" s="55">
        <f>SUMIFS('Disbursements Summary'!$E:$E,'Disbursements Summary'!$C:$C,$C131,'Disbursements Summary'!$A:$A,"APA")</f>
        <v>0</v>
      </c>
      <c r="J131" s="55">
        <f>SUMIFS('Awards Summary'!$H:$H,'Awards Summary'!$B:$B,$C131,'Awards Summary'!$J:$J,"Ag&amp;Horse")</f>
        <v>0</v>
      </c>
      <c r="K131" s="55">
        <f>SUMIFS('Disbursements Summary'!$E:$E,'Disbursements Summary'!$C:$C,$C131,'Disbursements Summary'!$A:$A,"Ag&amp;Horse")</f>
        <v>0</v>
      </c>
      <c r="L131" s="55">
        <f>SUMIFS('Awards Summary'!$H:$H,'Awards Summary'!$B:$B,$C131,'Awards Summary'!$J:$J,"ACAA")</f>
        <v>0</v>
      </c>
      <c r="M131" s="55">
        <f>SUMIFS('Disbursements Summary'!$E:$E,'Disbursements Summary'!$C:$C,$C131,'Disbursements Summary'!$A:$A,"ACAA")</f>
        <v>0</v>
      </c>
      <c r="N131" s="55">
        <f>SUMIFS('Awards Summary'!$H:$H,'Awards Summary'!$B:$B,$C131,'Awards Summary'!$J:$J,"PortAlbany")</f>
        <v>0</v>
      </c>
      <c r="O131" s="55">
        <f>SUMIFS('Disbursements Summary'!$E:$E,'Disbursements Summary'!$C:$C,$C131,'Disbursements Summary'!$A:$A,"PortAlbany")</f>
        <v>0</v>
      </c>
      <c r="P131" s="55">
        <f>SUMIFS('Awards Summary'!$H:$H,'Awards Summary'!$B:$B,$C131,'Awards Summary'!$J:$J,"SLA")</f>
        <v>0</v>
      </c>
      <c r="Q131" s="55">
        <f>SUMIFS('Disbursements Summary'!$E:$E,'Disbursements Summary'!$C:$C,$C131,'Disbursements Summary'!$A:$A,"SLA")</f>
        <v>0</v>
      </c>
      <c r="R131" s="55">
        <f>SUMIFS('Awards Summary'!$H:$H,'Awards Summary'!$B:$B,$C131,'Awards Summary'!$J:$J,"BPCA")</f>
        <v>0</v>
      </c>
      <c r="S131" s="55">
        <f>SUMIFS('Disbursements Summary'!$E:$E,'Disbursements Summary'!$C:$C,$C131,'Disbursements Summary'!$A:$A,"BPCA")</f>
        <v>0</v>
      </c>
      <c r="T131" s="55">
        <f>SUMIFS('Awards Summary'!$H:$H,'Awards Summary'!$B:$B,$C131,'Awards Summary'!$J:$J,"ELECTIONS")</f>
        <v>0</v>
      </c>
      <c r="U131" s="55">
        <f>SUMIFS('Disbursements Summary'!$E:$E,'Disbursements Summary'!$C:$C,$C131,'Disbursements Summary'!$A:$A,"ELECTIONS")</f>
        <v>0</v>
      </c>
      <c r="V131" s="55">
        <f>SUMIFS('Awards Summary'!$H:$H,'Awards Summary'!$B:$B,$C131,'Awards Summary'!$J:$J,"BFSA")</f>
        <v>0</v>
      </c>
      <c r="W131" s="55">
        <f>SUMIFS('Disbursements Summary'!$E:$E,'Disbursements Summary'!$C:$C,$C131,'Disbursements Summary'!$A:$A,"BFSA")</f>
        <v>0</v>
      </c>
      <c r="X131" s="55">
        <f>SUMIFS('Awards Summary'!$H:$H,'Awards Summary'!$B:$B,$C131,'Awards Summary'!$J:$J,"CDTA")</f>
        <v>0</v>
      </c>
      <c r="Y131" s="55">
        <f>SUMIFS('Disbursements Summary'!$E:$E,'Disbursements Summary'!$C:$C,$C131,'Disbursements Summary'!$A:$A,"CDTA")</f>
        <v>0</v>
      </c>
      <c r="Z131" s="55">
        <f>SUMIFS('Awards Summary'!$H:$H,'Awards Summary'!$B:$B,$C131,'Awards Summary'!$J:$J,"CCWSA")</f>
        <v>0</v>
      </c>
      <c r="AA131" s="55">
        <f>SUMIFS('Disbursements Summary'!$E:$E,'Disbursements Summary'!$C:$C,$C131,'Disbursements Summary'!$A:$A,"CCWSA")</f>
        <v>0</v>
      </c>
      <c r="AB131" s="55">
        <f>SUMIFS('Awards Summary'!$H:$H,'Awards Summary'!$B:$B,$C131,'Awards Summary'!$J:$J,"CNYRTA")</f>
        <v>0</v>
      </c>
      <c r="AC131" s="55">
        <f>SUMIFS('Disbursements Summary'!$E:$E,'Disbursements Summary'!$C:$C,$C131,'Disbursements Summary'!$A:$A,"CNYRTA")</f>
        <v>0</v>
      </c>
      <c r="AD131" s="55">
        <f>SUMIFS('Awards Summary'!$H:$H,'Awards Summary'!$B:$B,$C131,'Awards Summary'!$J:$J,"CUCF")</f>
        <v>0</v>
      </c>
      <c r="AE131" s="55">
        <f>SUMIFS('Disbursements Summary'!$E:$E,'Disbursements Summary'!$C:$C,$C131,'Disbursements Summary'!$A:$A,"CUCF")</f>
        <v>0</v>
      </c>
      <c r="AF131" s="55">
        <f>SUMIFS('Awards Summary'!$H:$H,'Awards Summary'!$B:$B,$C131,'Awards Summary'!$J:$J,"CUNY")</f>
        <v>0</v>
      </c>
      <c r="AG131" s="55">
        <f>SUMIFS('Disbursements Summary'!$E:$E,'Disbursements Summary'!$C:$C,$C131,'Disbursements Summary'!$A:$A,"CUNY")</f>
        <v>0</v>
      </c>
      <c r="AH131" s="55">
        <f>SUMIFS('Awards Summary'!$H:$H,'Awards Summary'!$B:$B,$C131,'Awards Summary'!$J:$J,"ARTS")</f>
        <v>0</v>
      </c>
      <c r="AI131" s="55">
        <f>SUMIFS('Disbursements Summary'!$E:$E,'Disbursements Summary'!$C:$C,$C131,'Disbursements Summary'!$A:$A,"ARTS")</f>
        <v>0</v>
      </c>
      <c r="AJ131" s="55">
        <f>SUMIFS('Awards Summary'!$H:$H,'Awards Summary'!$B:$B,$C131,'Awards Summary'!$J:$J,"AG&amp;MKTS")</f>
        <v>0</v>
      </c>
      <c r="AK131" s="55">
        <f>SUMIFS('Disbursements Summary'!$E:$E,'Disbursements Summary'!$C:$C,$C131,'Disbursements Summary'!$A:$A,"AG&amp;MKTS")</f>
        <v>0</v>
      </c>
      <c r="AL131" s="55">
        <f>SUMIFS('Awards Summary'!$H:$H,'Awards Summary'!$B:$B,$C131,'Awards Summary'!$J:$J,"CS")</f>
        <v>0</v>
      </c>
      <c r="AM131" s="55">
        <f>SUMIFS('Disbursements Summary'!$E:$E,'Disbursements Summary'!$C:$C,$C131,'Disbursements Summary'!$A:$A,"CS")</f>
        <v>0</v>
      </c>
      <c r="AN131" s="55">
        <f>SUMIFS('Awards Summary'!$H:$H,'Awards Summary'!$B:$B,$C131,'Awards Summary'!$J:$J,"DOCCS")</f>
        <v>0</v>
      </c>
      <c r="AO131" s="55">
        <f>SUMIFS('Disbursements Summary'!$E:$E,'Disbursements Summary'!$C:$C,$C131,'Disbursements Summary'!$A:$A,"DOCCS")</f>
        <v>0</v>
      </c>
      <c r="AP131" s="55">
        <f>SUMIFS('Awards Summary'!$H:$H,'Awards Summary'!$B:$B,$C131,'Awards Summary'!$J:$J,"DED")</f>
        <v>0</v>
      </c>
      <c r="AQ131" s="55">
        <f>SUMIFS('Disbursements Summary'!$E:$E,'Disbursements Summary'!$C:$C,$C131,'Disbursements Summary'!$A:$A,"DED")</f>
        <v>0</v>
      </c>
      <c r="AR131" s="55">
        <f>SUMIFS('Awards Summary'!$H:$H,'Awards Summary'!$B:$B,$C131,'Awards Summary'!$J:$J,"DEC")</f>
        <v>0</v>
      </c>
      <c r="AS131" s="55">
        <f>SUMIFS('Disbursements Summary'!$E:$E,'Disbursements Summary'!$C:$C,$C131,'Disbursements Summary'!$A:$A,"DEC")</f>
        <v>0</v>
      </c>
      <c r="AT131" s="55">
        <f>SUMIFS('Awards Summary'!$H:$H,'Awards Summary'!$B:$B,$C131,'Awards Summary'!$J:$J,"DFS")</f>
        <v>0</v>
      </c>
      <c r="AU131" s="55">
        <f>SUMIFS('Disbursements Summary'!$E:$E,'Disbursements Summary'!$C:$C,$C131,'Disbursements Summary'!$A:$A,"DFS")</f>
        <v>0</v>
      </c>
      <c r="AV131" s="55">
        <f>SUMIFS('Awards Summary'!$H:$H,'Awards Summary'!$B:$B,$C131,'Awards Summary'!$J:$J,"DOH")</f>
        <v>0</v>
      </c>
      <c r="AW131" s="55">
        <f>SUMIFS('Disbursements Summary'!$E:$E,'Disbursements Summary'!$C:$C,$C131,'Disbursements Summary'!$A:$A,"DOH")</f>
        <v>0</v>
      </c>
      <c r="AX131" s="55">
        <f>SUMIFS('Awards Summary'!$H:$H,'Awards Summary'!$B:$B,$C131,'Awards Summary'!$J:$J,"DOL")</f>
        <v>0</v>
      </c>
      <c r="AY131" s="55">
        <f>SUMIFS('Disbursements Summary'!$E:$E,'Disbursements Summary'!$C:$C,$C131,'Disbursements Summary'!$A:$A,"DOL")</f>
        <v>0</v>
      </c>
      <c r="AZ131" s="55">
        <f>SUMIFS('Awards Summary'!$H:$H,'Awards Summary'!$B:$B,$C131,'Awards Summary'!$J:$J,"DMV")</f>
        <v>0</v>
      </c>
      <c r="BA131" s="55">
        <f>SUMIFS('Disbursements Summary'!$E:$E,'Disbursements Summary'!$C:$C,$C131,'Disbursements Summary'!$A:$A,"DMV")</f>
        <v>0</v>
      </c>
      <c r="BB131" s="55">
        <f>SUMIFS('Awards Summary'!$H:$H,'Awards Summary'!$B:$B,$C131,'Awards Summary'!$J:$J,"DPS")</f>
        <v>0</v>
      </c>
      <c r="BC131" s="55">
        <f>SUMIFS('Disbursements Summary'!$E:$E,'Disbursements Summary'!$C:$C,$C131,'Disbursements Summary'!$A:$A,"DPS")</f>
        <v>0</v>
      </c>
      <c r="BD131" s="55">
        <f>SUMIFS('Awards Summary'!$H:$H,'Awards Summary'!$B:$B,$C131,'Awards Summary'!$J:$J,"DOS")</f>
        <v>0</v>
      </c>
      <c r="BE131" s="55">
        <f>SUMIFS('Disbursements Summary'!$E:$E,'Disbursements Summary'!$C:$C,$C131,'Disbursements Summary'!$A:$A,"DOS")</f>
        <v>0</v>
      </c>
      <c r="BF131" s="55">
        <f>SUMIFS('Awards Summary'!$H:$H,'Awards Summary'!$B:$B,$C131,'Awards Summary'!$J:$J,"TAX")</f>
        <v>0</v>
      </c>
      <c r="BG131" s="55">
        <f>SUMIFS('Disbursements Summary'!$E:$E,'Disbursements Summary'!$C:$C,$C131,'Disbursements Summary'!$A:$A,"TAX")</f>
        <v>0</v>
      </c>
      <c r="BH131" s="55">
        <f>SUMIFS('Awards Summary'!$H:$H,'Awards Summary'!$B:$B,$C131,'Awards Summary'!$J:$J,"DOT")</f>
        <v>0</v>
      </c>
      <c r="BI131" s="55">
        <f>SUMIFS('Disbursements Summary'!$E:$E,'Disbursements Summary'!$C:$C,$C131,'Disbursements Summary'!$A:$A,"DOT")</f>
        <v>0</v>
      </c>
      <c r="BJ131" s="55">
        <f>SUMIFS('Awards Summary'!$H:$H,'Awards Summary'!$B:$B,$C131,'Awards Summary'!$J:$J,"DANC")</f>
        <v>0</v>
      </c>
      <c r="BK131" s="55">
        <f>SUMIFS('Disbursements Summary'!$E:$E,'Disbursements Summary'!$C:$C,$C131,'Disbursements Summary'!$A:$A,"DANC")</f>
        <v>0</v>
      </c>
      <c r="BL131" s="55">
        <f>SUMIFS('Awards Summary'!$H:$H,'Awards Summary'!$B:$B,$C131,'Awards Summary'!$J:$J,"DOB")</f>
        <v>0</v>
      </c>
      <c r="BM131" s="55">
        <f>SUMIFS('Disbursements Summary'!$E:$E,'Disbursements Summary'!$C:$C,$C131,'Disbursements Summary'!$A:$A,"DOB")</f>
        <v>0</v>
      </c>
      <c r="BN131" s="55">
        <f>SUMIFS('Awards Summary'!$H:$H,'Awards Summary'!$B:$B,$C131,'Awards Summary'!$J:$J,"DCJS")</f>
        <v>0</v>
      </c>
      <c r="BO131" s="55">
        <f>SUMIFS('Disbursements Summary'!$E:$E,'Disbursements Summary'!$C:$C,$C131,'Disbursements Summary'!$A:$A,"DCJS")</f>
        <v>0</v>
      </c>
      <c r="BP131" s="55">
        <f>SUMIFS('Awards Summary'!$H:$H,'Awards Summary'!$B:$B,$C131,'Awards Summary'!$J:$J,"DHSES")</f>
        <v>0</v>
      </c>
      <c r="BQ131" s="55">
        <f>SUMIFS('Disbursements Summary'!$E:$E,'Disbursements Summary'!$C:$C,$C131,'Disbursements Summary'!$A:$A,"DHSES")</f>
        <v>0</v>
      </c>
      <c r="BR131" s="55">
        <f>SUMIFS('Awards Summary'!$H:$H,'Awards Summary'!$B:$B,$C131,'Awards Summary'!$J:$J,"DHR")</f>
        <v>0</v>
      </c>
      <c r="BS131" s="55">
        <f>SUMIFS('Disbursements Summary'!$E:$E,'Disbursements Summary'!$C:$C,$C131,'Disbursements Summary'!$A:$A,"DHR")</f>
        <v>0</v>
      </c>
      <c r="BT131" s="55">
        <f>SUMIFS('Awards Summary'!$H:$H,'Awards Summary'!$B:$B,$C131,'Awards Summary'!$J:$J,"DMNA")</f>
        <v>0</v>
      </c>
      <c r="BU131" s="55">
        <f>SUMIFS('Disbursements Summary'!$E:$E,'Disbursements Summary'!$C:$C,$C131,'Disbursements Summary'!$A:$A,"DMNA")</f>
        <v>0</v>
      </c>
      <c r="BV131" s="55">
        <f>SUMIFS('Awards Summary'!$H:$H,'Awards Summary'!$B:$B,$C131,'Awards Summary'!$J:$J,"TROOPERS")</f>
        <v>0</v>
      </c>
      <c r="BW131" s="55">
        <f>SUMIFS('Disbursements Summary'!$E:$E,'Disbursements Summary'!$C:$C,$C131,'Disbursements Summary'!$A:$A,"TROOPERS")</f>
        <v>0</v>
      </c>
      <c r="BX131" s="55">
        <f>SUMIFS('Awards Summary'!$H:$H,'Awards Summary'!$B:$B,$C131,'Awards Summary'!$J:$J,"DVA")</f>
        <v>0</v>
      </c>
      <c r="BY131" s="55">
        <f>SUMIFS('Disbursements Summary'!$E:$E,'Disbursements Summary'!$C:$C,$C131,'Disbursements Summary'!$A:$A,"DVA")</f>
        <v>0</v>
      </c>
      <c r="BZ131" s="55">
        <f>SUMIFS('Awards Summary'!$H:$H,'Awards Summary'!$B:$B,$C131,'Awards Summary'!$J:$J,"DASNY")</f>
        <v>0</v>
      </c>
      <c r="CA131" s="55">
        <f>SUMIFS('Disbursements Summary'!$E:$E,'Disbursements Summary'!$C:$C,$C131,'Disbursements Summary'!$A:$A,"DASNY")</f>
        <v>0</v>
      </c>
      <c r="CB131" s="55">
        <f>SUMIFS('Awards Summary'!$H:$H,'Awards Summary'!$B:$B,$C131,'Awards Summary'!$J:$J,"EGG")</f>
        <v>0</v>
      </c>
      <c r="CC131" s="55">
        <f>SUMIFS('Disbursements Summary'!$E:$E,'Disbursements Summary'!$C:$C,$C131,'Disbursements Summary'!$A:$A,"EGG")</f>
        <v>0</v>
      </c>
      <c r="CD131" s="55">
        <f>SUMIFS('Awards Summary'!$H:$H,'Awards Summary'!$B:$B,$C131,'Awards Summary'!$J:$J,"ESD")</f>
        <v>0</v>
      </c>
      <c r="CE131" s="55">
        <f>SUMIFS('Disbursements Summary'!$E:$E,'Disbursements Summary'!$C:$C,$C131,'Disbursements Summary'!$A:$A,"ESD")</f>
        <v>0</v>
      </c>
      <c r="CF131" s="55">
        <f>SUMIFS('Awards Summary'!$H:$H,'Awards Summary'!$B:$B,$C131,'Awards Summary'!$J:$J,"EFC")</f>
        <v>0</v>
      </c>
      <c r="CG131" s="55">
        <f>SUMIFS('Disbursements Summary'!$E:$E,'Disbursements Summary'!$C:$C,$C131,'Disbursements Summary'!$A:$A,"EFC")</f>
        <v>0</v>
      </c>
      <c r="CH131" s="55">
        <f>SUMIFS('Awards Summary'!$H:$H,'Awards Summary'!$B:$B,$C131,'Awards Summary'!$J:$J,"ECFSA")</f>
        <v>0</v>
      </c>
      <c r="CI131" s="55">
        <f>SUMIFS('Disbursements Summary'!$E:$E,'Disbursements Summary'!$C:$C,$C131,'Disbursements Summary'!$A:$A,"ECFSA")</f>
        <v>0</v>
      </c>
      <c r="CJ131" s="55">
        <f>SUMIFS('Awards Summary'!$H:$H,'Awards Summary'!$B:$B,$C131,'Awards Summary'!$J:$J,"ECMC")</f>
        <v>0</v>
      </c>
      <c r="CK131" s="55">
        <f>SUMIFS('Disbursements Summary'!$E:$E,'Disbursements Summary'!$C:$C,$C131,'Disbursements Summary'!$A:$A,"ECMC")</f>
        <v>0</v>
      </c>
      <c r="CL131" s="55">
        <f>SUMIFS('Awards Summary'!$H:$H,'Awards Summary'!$B:$B,$C131,'Awards Summary'!$J:$J,"CHAMBER")</f>
        <v>0</v>
      </c>
      <c r="CM131" s="55">
        <f>SUMIFS('Disbursements Summary'!$E:$E,'Disbursements Summary'!$C:$C,$C131,'Disbursements Summary'!$A:$A,"CHAMBER")</f>
        <v>0</v>
      </c>
      <c r="CN131" s="55">
        <f>SUMIFS('Awards Summary'!$H:$H,'Awards Summary'!$B:$B,$C131,'Awards Summary'!$J:$J,"GAMING")</f>
        <v>0</v>
      </c>
      <c r="CO131" s="55">
        <f>SUMIFS('Disbursements Summary'!$E:$E,'Disbursements Summary'!$C:$C,$C131,'Disbursements Summary'!$A:$A,"GAMING")</f>
        <v>0</v>
      </c>
      <c r="CP131" s="55">
        <f>SUMIFS('Awards Summary'!$H:$H,'Awards Summary'!$B:$B,$C131,'Awards Summary'!$J:$J,"GOER")</f>
        <v>0</v>
      </c>
      <c r="CQ131" s="55">
        <f>SUMIFS('Disbursements Summary'!$E:$E,'Disbursements Summary'!$C:$C,$C131,'Disbursements Summary'!$A:$A,"GOER")</f>
        <v>0</v>
      </c>
      <c r="CR131" s="55">
        <f>SUMIFS('Awards Summary'!$H:$H,'Awards Summary'!$B:$B,$C131,'Awards Summary'!$J:$J,"HESC")</f>
        <v>0</v>
      </c>
      <c r="CS131" s="55">
        <f>SUMIFS('Disbursements Summary'!$E:$E,'Disbursements Summary'!$C:$C,$C131,'Disbursements Summary'!$A:$A,"HESC")</f>
        <v>0</v>
      </c>
      <c r="CT131" s="55">
        <f>SUMIFS('Awards Summary'!$H:$H,'Awards Summary'!$B:$B,$C131,'Awards Summary'!$J:$J,"GOSR")</f>
        <v>0</v>
      </c>
      <c r="CU131" s="55">
        <f>SUMIFS('Disbursements Summary'!$E:$E,'Disbursements Summary'!$C:$C,$C131,'Disbursements Summary'!$A:$A,"GOSR")</f>
        <v>0</v>
      </c>
      <c r="CV131" s="55">
        <f>SUMIFS('Awards Summary'!$H:$H,'Awards Summary'!$B:$B,$C131,'Awards Summary'!$J:$J,"HRPT")</f>
        <v>0</v>
      </c>
      <c r="CW131" s="55">
        <f>SUMIFS('Disbursements Summary'!$E:$E,'Disbursements Summary'!$C:$C,$C131,'Disbursements Summary'!$A:$A,"HRPT")</f>
        <v>0</v>
      </c>
      <c r="CX131" s="55">
        <f>SUMIFS('Awards Summary'!$H:$H,'Awards Summary'!$B:$B,$C131,'Awards Summary'!$J:$J,"HRBRRD")</f>
        <v>0</v>
      </c>
      <c r="CY131" s="55">
        <f>SUMIFS('Disbursements Summary'!$E:$E,'Disbursements Summary'!$C:$C,$C131,'Disbursements Summary'!$A:$A,"HRBRRD")</f>
        <v>0</v>
      </c>
      <c r="CZ131" s="55">
        <f>SUMIFS('Awards Summary'!$H:$H,'Awards Summary'!$B:$B,$C131,'Awards Summary'!$J:$J,"ITS")</f>
        <v>0</v>
      </c>
      <c r="DA131" s="55">
        <f>SUMIFS('Disbursements Summary'!$E:$E,'Disbursements Summary'!$C:$C,$C131,'Disbursements Summary'!$A:$A,"ITS")</f>
        <v>0</v>
      </c>
      <c r="DB131" s="55">
        <f>SUMIFS('Awards Summary'!$H:$H,'Awards Summary'!$B:$B,$C131,'Awards Summary'!$J:$J,"JAVITS")</f>
        <v>0</v>
      </c>
      <c r="DC131" s="55">
        <f>SUMIFS('Disbursements Summary'!$E:$E,'Disbursements Summary'!$C:$C,$C131,'Disbursements Summary'!$A:$A,"JAVITS")</f>
        <v>0</v>
      </c>
      <c r="DD131" s="55">
        <f>SUMIFS('Awards Summary'!$H:$H,'Awards Summary'!$B:$B,$C131,'Awards Summary'!$J:$J,"JCOPE")</f>
        <v>0</v>
      </c>
      <c r="DE131" s="55">
        <f>SUMIFS('Disbursements Summary'!$E:$E,'Disbursements Summary'!$C:$C,$C131,'Disbursements Summary'!$A:$A,"JCOPE")</f>
        <v>0</v>
      </c>
      <c r="DF131" s="55">
        <f>SUMIFS('Awards Summary'!$H:$H,'Awards Summary'!$B:$B,$C131,'Awards Summary'!$J:$J,"JUSTICE")</f>
        <v>0</v>
      </c>
      <c r="DG131" s="55">
        <f>SUMIFS('Disbursements Summary'!$E:$E,'Disbursements Summary'!$C:$C,$C131,'Disbursements Summary'!$A:$A,"JUSTICE")</f>
        <v>0</v>
      </c>
      <c r="DH131" s="55">
        <f>SUMIFS('Awards Summary'!$H:$H,'Awards Summary'!$B:$B,$C131,'Awards Summary'!$J:$J,"LCWSA")</f>
        <v>0</v>
      </c>
      <c r="DI131" s="55">
        <f>SUMIFS('Disbursements Summary'!$E:$E,'Disbursements Summary'!$C:$C,$C131,'Disbursements Summary'!$A:$A,"LCWSA")</f>
        <v>0</v>
      </c>
      <c r="DJ131" s="55">
        <f>SUMIFS('Awards Summary'!$H:$H,'Awards Summary'!$B:$B,$C131,'Awards Summary'!$J:$J,"LIPA")</f>
        <v>0</v>
      </c>
      <c r="DK131" s="55">
        <f>SUMIFS('Disbursements Summary'!$E:$E,'Disbursements Summary'!$C:$C,$C131,'Disbursements Summary'!$A:$A,"LIPA")</f>
        <v>0</v>
      </c>
      <c r="DL131" s="55">
        <f>SUMIFS('Awards Summary'!$H:$H,'Awards Summary'!$B:$B,$C131,'Awards Summary'!$J:$J,"MTA")</f>
        <v>0</v>
      </c>
      <c r="DM131" s="55">
        <f>SUMIFS('Disbursements Summary'!$E:$E,'Disbursements Summary'!$C:$C,$C131,'Disbursements Summary'!$A:$A,"MTA")</f>
        <v>0</v>
      </c>
      <c r="DN131" s="55">
        <f>SUMIFS('Awards Summary'!$H:$H,'Awards Summary'!$B:$B,$C131,'Awards Summary'!$J:$J,"NIFA")</f>
        <v>0</v>
      </c>
      <c r="DO131" s="55">
        <f>SUMIFS('Disbursements Summary'!$E:$E,'Disbursements Summary'!$C:$C,$C131,'Disbursements Summary'!$A:$A,"NIFA")</f>
        <v>0</v>
      </c>
      <c r="DP131" s="55">
        <f>SUMIFS('Awards Summary'!$H:$H,'Awards Summary'!$B:$B,$C131,'Awards Summary'!$J:$J,"NHCC")</f>
        <v>0</v>
      </c>
      <c r="DQ131" s="55">
        <f>SUMIFS('Disbursements Summary'!$E:$E,'Disbursements Summary'!$C:$C,$C131,'Disbursements Summary'!$A:$A,"NHCC")</f>
        <v>0</v>
      </c>
      <c r="DR131" s="55">
        <f>SUMIFS('Awards Summary'!$H:$H,'Awards Summary'!$B:$B,$C131,'Awards Summary'!$J:$J,"NHT")</f>
        <v>0</v>
      </c>
      <c r="DS131" s="55">
        <f>SUMIFS('Disbursements Summary'!$E:$E,'Disbursements Summary'!$C:$C,$C131,'Disbursements Summary'!$A:$A,"NHT")</f>
        <v>0</v>
      </c>
      <c r="DT131" s="55">
        <f>SUMIFS('Awards Summary'!$H:$H,'Awards Summary'!$B:$B,$C131,'Awards Summary'!$J:$J,"NYPA")</f>
        <v>0</v>
      </c>
      <c r="DU131" s="55">
        <f>SUMIFS('Disbursements Summary'!$E:$E,'Disbursements Summary'!$C:$C,$C131,'Disbursements Summary'!$A:$A,"NYPA")</f>
        <v>0</v>
      </c>
      <c r="DV131" s="55">
        <f>SUMIFS('Awards Summary'!$H:$H,'Awards Summary'!$B:$B,$C131,'Awards Summary'!$J:$J,"NYSBA")</f>
        <v>0</v>
      </c>
      <c r="DW131" s="55">
        <f>SUMIFS('Disbursements Summary'!$E:$E,'Disbursements Summary'!$C:$C,$C131,'Disbursements Summary'!$A:$A,"NYSBA")</f>
        <v>0</v>
      </c>
      <c r="DX131" s="55">
        <f>SUMIFS('Awards Summary'!$H:$H,'Awards Summary'!$B:$B,$C131,'Awards Summary'!$J:$J,"NYSERDA")</f>
        <v>0</v>
      </c>
      <c r="DY131" s="55">
        <f>SUMIFS('Disbursements Summary'!$E:$E,'Disbursements Summary'!$C:$C,$C131,'Disbursements Summary'!$A:$A,"NYSERDA")</f>
        <v>0</v>
      </c>
      <c r="DZ131" s="55">
        <f>SUMIFS('Awards Summary'!$H:$H,'Awards Summary'!$B:$B,$C131,'Awards Summary'!$J:$J,"DHCR")</f>
        <v>0</v>
      </c>
      <c r="EA131" s="55">
        <f>SUMIFS('Disbursements Summary'!$E:$E,'Disbursements Summary'!$C:$C,$C131,'Disbursements Summary'!$A:$A,"DHCR")</f>
        <v>0</v>
      </c>
      <c r="EB131" s="55">
        <f>SUMIFS('Awards Summary'!$H:$H,'Awards Summary'!$B:$B,$C131,'Awards Summary'!$J:$J,"HFA")</f>
        <v>0</v>
      </c>
      <c r="EC131" s="55">
        <f>SUMIFS('Disbursements Summary'!$E:$E,'Disbursements Summary'!$C:$C,$C131,'Disbursements Summary'!$A:$A,"HFA")</f>
        <v>0</v>
      </c>
      <c r="ED131" s="55">
        <f>SUMIFS('Awards Summary'!$H:$H,'Awards Summary'!$B:$B,$C131,'Awards Summary'!$J:$J,"NYSIF")</f>
        <v>0</v>
      </c>
      <c r="EE131" s="55">
        <f>SUMIFS('Disbursements Summary'!$E:$E,'Disbursements Summary'!$C:$C,$C131,'Disbursements Summary'!$A:$A,"NYSIF")</f>
        <v>0</v>
      </c>
      <c r="EF131" s="55">
        <f>SUMIFS('Awards Summary'!$H:$H,'Awards Summary'!$B:$B,$C131,'Awards Summary'!$J:$J,"NYBREDS")</f>
        <v>0</v>
      </c>
      <c r="EG131" s="55">
        <f>SUMIFS('Disbursements Summary'!$E:$E,'Disbursements Summary'!$C:$C,$C131,'Disbursements Summary'!$A:$A,"NYBREDS")</f>
        <v>0</v>
      </c>
      <c r="EH131" s="55">
        <f>SUMIFS('Awards Summary'!$H:$H,'Awards Summary'!$B:$B,$C131,'Awards Summary'!$J:$J,"NYSTA")</f>
        <v>0</v>
      </c>
      <c r="EI131" s="55">
        <f>SUMIFS('Disbursements Summary'!$E:$E,'Disbursements Summary'!$C:$C,$C131,'Disbursements Summary'!$A:$A,"NYSTA")</f>
        <v>0</v>
      </c>
      <c r="EJ131" s="55">
        <f>SUMIFS('Awards Summary'!$H:$H,'Awards Summary'!$B:$B,$C131,'Awards Summary'!$J:$J,"NFWB")</f>
        <v>0</v>
      </c>
      <c r="EK131" s="55">
        <f>SUMIFS('Disbursements Summary'!$E:$E,'Disbursements Summary'!$C:$C,$C131,'Disbursements Summary'!$A:$A,"NFWB")</f>
        <v>0</v>
      </c>
      <c r="EL131" s="55">
        <f>SUMIFS('Awards Summary'!$H:$H,'Awards Summary'!$B:$B,$C131,'Awards Summary'!$J:$J,"NFTA")</f>
        <v>0</v>
      </c>
      <c r="EM131" s="55">
        <f>SUMIFS('Disbursements Summary'!$E:$E,'Disbursements Summary'!$C:$C,$C131,'Disbursements Summary'!$A:$A,"NFTA")</f>
        <v>0</v>
      </c>
      <c r="EN131" s="55">
        <f>SUMIFS('Awards Summary'!$H:$H,'Awards Summary'!$B:$B,$C131,'Awards Summary'!$J:$J,"OPWDD")</f>
        <v>0</v>
      </c>
      <c r="EO131" s="55">
        <f>SUMIFS('Disbursements Summary'!$E:$E,'Disbursements Summary'!$C:$C,$C131,'Disbursements Summary'!$A:$A,"OPWDD")</f>
        <v>0</v>
      </c>
      <c r="EP131" s="55">
        <f>SUMIFS('Awards Summary'!$H:$H,'Awards Summary'!$B:$B,$C131,'Awards Summary'!$J:$J,"AGING")</f>
        <v>0</v>
      </c>
      <c r="EQ131" s="55">
        <f>SUMIFS('Disbursements Summary'!$E:$E,'Disbursements Summary'!$C:$C,$C131,'Disbursements Summary'!$A:$A,"AGING")</f>
        <v>0</v>
      </c>
      <c r="ER131" s="55">
        <f>SUMIFS('Awards Summary'!$H:$H,'Awards Summary'!$B:$B,$C131,'Awards Summary'!$J:$J,"OPDV")</f>
        <v>0</v>
      </c>
      <c r="ES131" s="55">
        <f>SUMIFS('Disbursements Summary'!$E:$E,'Disbursements Summary'!$C:$C,$C131,'Disbursements Summary'!$A:$A,"OPDV")</f>
        <v>0</v>
      </c>
      <c r="ET131" s="55">
        <f>SUMIFS('Awards Summary'!$H:$H,'Awards Summary'!$B:$B,$C131,'Awards Summary'!$J:$J,"OVS")</f>
        <v>0</v>
      </c>
      <c r="EU131" s="55">
        <f>SUMIFS('Disbursements Summary'!$E:$E,'Disbursements Summary'!$C:$C,$C131,'Disbursements Summary'!$A:$A,"OVS")</f>
        <v>0</v>
      </c>
      <c r="EV131" s="55">
        <f>SUMIFS('Awards Summary'!$H:$H,'Awards Summary'!$B:$B,$C131,'Awards Summary'!$J:$J,"OASAS")</f>
        <v>0</v>
      </c>
      <c r="EW131" s="55">
        <f>SUMIFS('Disbursements Summary'!$E:$E,'Disbursements Summary'!$C:$C,$C131,'Disbursements Summary'!$A:$A,"OASAS")</f>
        <v>0</v>
      </c>
      <c r="EX131" s="55">
        <f>SUMIFS('Awards Summary'!$H:$H,'Awards Summary'!$B:$B,$C131,'Awards Summary'!$J:$J,"OCFS")</f>
        <v>0</v>
      </c>
      <c r="EY131" s="55">
        <f>SUMIFS('Disbursements Summary'!$E:$E,'Disbursements Summary'!$C:$C,$C131,'Disbursements Summary'!$A:$A,"OCFS")</f>
        <v>0</v>
      </c>
      <c r="EZ131" s="55">
        <f>SUMIFS('Awards Summary'!$H:$H,'Awards Summary'!$B:$B,$C131,'Awards Summary'!$J:$J,"OGS")</f>
        <v>0</v>
      </c>
      <c r="FA131" s="55">
        <f>SUMIFS('Disbursements Summary'!$E:$E,'Disbursements Summary'!$C:$C,$C131,'Disbursements Summary'!$A:$A,"OGS")</f>
        <v>0</v>
      </c>
      <c r="FB131" s="55">
        <f>SUMIFS('Awards Summary'!$H:$H,'Awards Summary'!$B:$B,$C131,'Awards Summary'!$J:$J,"OMH")</f>
        <v>0</v>
      </c>
      <c r="FC131" s="55">
        <f>SUMIFS('Disbursements Summary'!$E:$E,'Disbursements Summary'!$C:$C,$C131,'Disbursements Summary'!$A:$A,"OMH")</f>
        <v>0</v>
      </c>
      <c r="FD131" s="55">
        <f>SUMIFS('Awards Summary'!$H:$H,'Awards Summary'!$B:$B,$C131,'Awards Summary'!$J:$J,"PARKS")</f>
        <v>0</v>
      </c>
      <c r="FE131" s="55">
        <f>SUMIFS('Disbursements Summary'!$E:$E,'Disbursements Summary'!$C:$C,$C131,'Disbursements Summary'!$A:$A,"PARKS")</f>
        <v>0</v>
      </c>
      <c r="FF131" s="55">
        <f>SUMIFS('Awards Summary'!$H:$H,'Awards Summary'!$B:$B,$C131,'Awards Summary'!$J:$J,"OTDA")</f>
        <v>0</v>
      </c>
      <c r="FG131" s="55">
        <f>SUMIFS('Disbursements Summary'!$E:$E,'Disbursements Summary'!$C:$C,$C131,'Disbursements Summary'!$A:$A,"OTDA")</f>
        <v>0</v>
      </c>
      <c r="FH131" s="55">
        <f>SUMIFS('Awards Summary'!$H:$H,'Awards Summary'!$B:$B,$C131,'Awards Summary'!$J:$J,"OIG")</f>
        <v>0</v>
      </c>
      <c r="FI131" s="55">
        <f>SUMIFS('Disbursements Summary'!$E:$E,'Disbursements Summary'!$C:$C,$C131,'Disbursements Summary'!$A:$A,"OIG")</f>
        <v>0</v>
      </c>
      <c r="FJ131" s="55">
        <f>SUMIFS('Awards Summary'!$H:$H,'Awards Summary'!$B:$B,$C131,'Awards Summary'!$J:$J,"OMIG")</f>
        <v>0</v>
      </c>
      <c r="FK131" s="55">
        <f>SUMIFS('Disbursements Summary'!$E:$E,'Disbursements Summary'!$C:$C,$C131,'Disbursements Summary'!$A:$A,"OMIG")</f>
        <v>0</v>
      </c>
      <c r="FL131" s="55">
        <f>SUMIFS('Awards Summary'!$H:$H,'Awards Summary'!$B:$B,$C131,'Awards Summary'!$J:$J,"OSC")</f>
        <v>0</v>
      </c>
      <c r="FM131" s="55">
        <f>SUMIFS('Disbursements Summary'!$E:$E,'Disbursements Summary'!$C:$C,$C131,'Disbursements Summary'!$A:$A,"OSC")</f>
        <v>0</v>
      </c>
      <c r="FN131" s="55">
        <f>SUMIFS('Awards Summary'!$H:$H,'Awards Summary'!$B:$B,$C131,'Awards Summary'!$J:$J,"OWIG")</f>
        <v>0</v>
      </c>
      <c r="FO131" s="55">
        <f>SUMIFS('Disbursements Summary'!$E:$E,'Disbursements Summary'!$C:$C,$C131,'Disbursements Summary'!$A:$A,"OWIG")</f>
        <v>0</v>
      </c>
      <c r="FP131" s="55">
        <f>SUMIFS('Awards Summary'!$H:$H,'Awards Summary'!$B:$B,$C131,'Awards Summary'!$J:$J,"OGDEN")</f>
        <v>0</v>
      </c>
      <c r="FQ131" s="55">
        <f>SUMIFS('Disbursements Summary'!$E:$E,'Disbursements Summary'!$C:$C,$C131,'Disbursements Summary'!$A:$A,"OGDEN")</f>
        <v>0</v>
      </c>
      <c r="FR131" s="55">
        <f>SUMIFS('Awards Summary'!$H:$H,'Awards Summary'!$B:$B,$C131,'Awards Summary'!$J:$J,"ORDA")</f>
        <v>0</v>
      </c>
      <c r="FS131" s="55">
        <f>SUMIFS('Disbursements Summary'!$E:$E,'Disbursements Summary'!$C:$C,$C131,'Disbursements Summary'!$A:$A,"ORDA")</f>
        <v>0</v>
      </c>
      <c r="FT131" s="55">
        <f>SUMIFS('Awards Summary'!$H:$H,'Awards Summary'!$B:$B,$C131,'Awards Summary'!$J:$J,"OSWEGO")</f>
        <v>0</v>
      </c>
      <c r="FU131" s="55">
        <f>SUMIFS('Disbursements Summary'!$E:$E,'Disbursements Summary'!$C:$C,$C131,'Disbursements Summary'!$A:$A,"OSWEGO")</f>
        <v>0</v>
      </c>
      <c r="FV131" s="55">
        <f>SUMIFS('Awards Summary'!$H:$H,'Awards Summary'!$B:$B,$C131,'Awards Summary'!$J:$J,"PERB")</f>
        <v>0</v>
      </c>
      <c r="FW131" s="55">
        <f>SUMIFS('Disbursements Summary'!$E:$E,'Disbursements Summary'!$C:$C,$C131,'Disbursements Summary'!$A:$A,"PERB")</f>
        <v>0</v>
      </c>
      <c r="FX131" s="55">
        <f>SUMIFS('Awards Summary'!$H:$H,'Awards Summary'!$B:$B,$C131,'Awards Summary'!$J:$J,"RGRTA")</f>
        <v>0</v>
      </c>
      <c r="FY131" s="55">
        <f>SUMIFS('Disbursements Summary'!$E:$E,'Disbursements Summary'!$C:$C,$C131,'Disbursements Summary'!$A:$A,"RGRTA")</f>
        <v>0</v>
      </c>
      <c r="FZ131" s="55">
        <f>SUMIFS('Awards Summary'!$H:$H,'Awards Summary'!$B:$B,$C131,'Awards Summary'!$J:$J,"RIOC")</f>
        <v>0</v>
      </c>
      <c r="GA131" s="55">
        <f>SUMIFS('Disbursements Summary'!$E:$E,'Disbursements Summary'!$C:$C,$C131,'Disbursements Summary'!$A:$A,"RIOC")</f>
        <v>0</v>
      </c>
      <c r="GB131" s="55">
        <f>SUMIFS('Awards Summary'!$H:$H,'Awards Summary'!$B:$B,$C131,'Awards Summary'!$J:$J,"RPCI")</f>
        <v>0</v>
      </c>
      <c r="GC131" s="55">
        <f>SUMIFS('Disbursements Summary'!$E:$E,'Disbursements Summary'!$C:$C,$C131,'Disbursements Summary'!$A:$A,"RPCI")</f>
        <v>0</v>
      </c>
      <c r="GD131" s="55">
        <f>SUMIFS('Awards Summary'!$H:$H,'Awards Summary'!$B:$B,$C131,'Awards Summary'!$J:$J,"SMDA")</f>
        <v>0</v>
      </c>
      <c r="GE131" s="55">
        <f>SUMIFS('Disbursements Summary'!$E:$E,'Disbursements Summary'!$C:$C,$C131,'Disbursements Summary'!$A:$A,"SMDA")</f>
        <v>0</v>
      </c>
      <c r="GF131" s="55">
        <f>SUMIFS('Awards Summary'!$H:$H,'Awards Summary'!$B:$B,$C131,'Awards Summary'!$J:$J,"SCOC")</f>
        <v>0</v>
      </c>
      <c r="GG131" s="55">
        <f>SUMIFS('Disbursements Summary'!$E:$E,'Disbursements Summary'!$C:$C,$C131,'Disbursements Summary'!$A:$A,"SCOC")</f>
        <v>0</v>
      </c>
      <c r="GH131" s="55">
        <f>SUMIFS('Awards Summary'!$H:$H,'Awards Summary'!$B:$B,$C131,'Awards Summary'!$J:$J,"SUCF")</f>
        <v>0</v>
      </c>
      <c r="GI131" s="55">
        <f>SUMIFS('Disbursements Summary'!$E:$E,'Disbursements Summary'!$C:$C,$C131,'Disbursements Summary'!$A:$A,"SUCF")</f>
        <v>0</v>
      </c>
      <c r="GJ131" s="55">
        <f>SUMIFS('Awards Summary'!$H:$H,'Awards Summary'!$B:$B,$C131,'Awards Summary'!$J:$J,"SUNY")</f>
        <v>0</v>
      </c>
      <c r="GK131" s="55">
        <f>SUMIFS('Disbursements Summary'!$E:$E,'Disbursements Summary'!$C:$C,$C131,'Disbursements Summary'!$A:$A,"SUNY")</f>
        <v>0</v>
      </c>
      <c r="GL131" s="55">
        <f>SUMIFS('Awards Summary'!$H:$H,'Awards Summary'!$B:$B,$C131,'Awards Summary'!$J:$J,"SRAA")</f>
        <v>0</v>
      </c>
      <c r="GM131" s="55">
        <f>SUMIFS('Disbursements Summary'!$E:$E,'Disbursements Summary'!$C:$C,$C131,'Disbursements Summary'!$A:$A,"SRAA")</f>
        <v>0</v>
      </c>
      <c r="GN131" s="55">
        <f>SUMIFS('Awards Summary'!$H:$H,'Awards Summary'!$B:$B,$C131,'Awards Summary'!$J:$J,"UNDC")</f>
        <v>0</v>
      </c>
      <c r="GO131" s="55">
        <f>SUMIFS('Disbursements Summary'!$E:$E,'Disbursements Summary'!$C:$C,$C131,'Disbursements Summary'!$A:$A,"UNDC")</f>
        <v>0</v>
      </c>
      <c r="GP131" s="55">
        <f>SUMIFS('Awards Summary'!$H:$H,'Awards Summary'!$B:$B,$C131,'Awards Summary'!$J:$J,"MVWA")</f>
        <v>0</v>
      </c>
      <c r="GQ131" s="55">
        <f>SUMIFS('Disbursements Summary'!$E:$E,'Disbursements Summary'!$C:$C,$C131,'Disbursements Summary'!$A:$A,"MVWA")</f>
        <v>0</v>
      </c>
      <c r="GR131" s="55">
        <f>SUMIFS('Awards Summary'!$H:$H,'Awards Summary'!$B:$B,$C131,'Awards Summary'!$J:$J,"WMC")</f>
        <v>0</v>
      </c>
      <c r="GS131" s="55">
        <f>SUMIFS('Disbursements Summary'!$E:$E,'Disbursements Summary'!$C:$C,$C131,'Disbursements Summary'!$A:$A,"WMC")</f>
        <v>0</v>
      </c>
      <c r="GT131" s="55">
        <f>SUMIFS('Awards Summary'!$H:$H,'Awards Summary'!$B:$B,$C131,'Awards Summary'!$J:$J,"WCB")</f>
        <v>0</v>
      </c>
      <c r="GU131" s="55">
        <f>SUMIFS('Disbursements Summary'!$E:$E,'Disbursements Summary'!$C:$C,$C131,'Disbursements Summary'!$A:$A,"WCB")</f>
        <v>0</v>
      </c>
      <c r="GV131" s="32">
        <f t="shared" si="10"/>
        <v>0</v>
      </c>
      <c r="GW131" s="32">
        <f t="shared" si="11"/>
        <v>0</v>
      </c>
      <c r="GX131" s="30" t="b">
        <f t="shared" si="12"/>
        <v>1</v>
      </c>
      <c r="GY131" s="30" t="b">
        <f t="shared" si="13"/>
        <v>1</v>
      </c>
    </row>
    <row r="132" spans="1:16384">
      <c r="A132" s="22" t="str">
        <f t="shared" si="9"/>
        <v/>
      </c>
      <c r="B132" s="21" t="s">
        <v>242</v>
      </c>
      <c r="C132" s="16">
        <v>161336</v>
      </c>
      <c r="D132" s="26">
        <f>COUNTIF('Awards Summary'!B:B,"161336")</f>
        <v>0</v>
      </c>
      <c r="E132" s="45">
        <f>SUMIFS('Awards Summary'!H:H,'Awards Summary'!B:B,"161336")</f>
        <v>0</v>
      </c>
      <c r="F132" s="46">
        <f>SUMIFS('Disbursements Summary'!E:E,'Disbursements Summary'!C:C, "161336")</f>
        <v>0</v>
      </c>
      <c r="G132" s="61"/>
      <c r="H132" s="55">
        <f>SUMIFS('Awards Summary'!$H:$H,'Awards Summary'!$B:$B,$C132,'Awards Summary'!$J:$J,"APA")</f>
        <v>0</v>
      </c>
      <c r="I132" s="55">
        <f>SUMIFS('Disbursements Summary'!$E:$E,'Disbursements Summary'!$C:$C,$C132,'Disbursements Summary'!$A:$A,"APA")</f>
        <v>0</v>
      </c>
      <c r="J132" s="55">
        <f>SUMIFS('Awards Summary'!$H:$H,'Awards Summary'!$B:$B,$C132,'Awards Summary'!$J:$J,"Ag&amp;Horse")</f>
        <v>0</v>
      </c>
      <c r="K132" s="55">
        <f>SUMIFS('Disbursements Summary'!$E:$E,'Disbursements Summary'!$C:$C,$C132,'Disbursements Summary'!$A:$A,"Ag&amp;Horse")</f>
        <v>0</v>
      </c>
      <c r="L132" s="55">
        <f>SUMIFS('Awards Summary'!$H:$H,'Awards Summary'!$B:$B,$C132,'Awards Summary'!$J:$J,"ACAA")</f>
        <v>0</v>
      </c>
      <c r="M132" s="55">
        <f>SUMIFS('Disbursements Summary'!$E:$E,'Disbursements Summary'!$C:$C,$C132,'Disbursements Summary'!$A:$A,"ACAA")</f>
        <v>0</v>
      </c>
      <c r="N132" s="55">
        <f>SUMIFS('Awards Summary'!$H:$H,'Awards Summary'!$B:$B,$C132,'Awards Summary'!$J:$J,"PortAlbany")</f>
        <v>0</v>
      </c>
      <c r="O132" s="55">
        <f>SUMIFS('Disbursements Summary'!$E:$E,'Disbursements Summary'!$C:$C,$C132,'Disbursements Summary'!$A:$A,"PortAlbany")</f>
        <v>0</v>
      </c>
      <c r="P132" s="55">
        <f>SUMIFS('Awards Summary'!$H:$H,'Awards Summary'!$B:$B,$C132,'Awards Summary'!$J:$J,"SLA")</f>
        <v>0</v>
      </c>
      <c r="Q132" s="55">
        <f>SUMIFS('Disbursements Summary'!$E:$E,'Disbursements Summary'!$C:$C,$C132,'Disbursements Summary'!$A:$A,"SLA")</f>
        <v>0</v>
      </c>
      <c r="R132" s="55">
        <f>SUMIFS('Awards Summary'!$H:$H,'Awards Summary'!$B:$B,$C132,'Awards Summary'!$J:$J,"BPCA")</f>
        <v>0</v>
      </c>
      <c r="S132" s="55">
        <f>SUMIFS('Disbursements Summary'!$E:$E,'Disbursements Summary'!$C:$C,$C132,'Disbursements Summary'!$A:$A,"BPCA")</f>
        <v>0</v>
      </c>
      <c r="T132" s="55">
        <f>SUMIFS('Awards Summary'!$H:$H,'Awards Summary'!$B:$B,$C132,'Awards Summary'!$J:$J,"ELECTIONS")</f>
        <v>0</v>
      </c>
      <c r="U132" s="55">
        <f>SUMIFS('Disbursements Summary'!$E:$E,'Disbursements Summary'!$C:$C,$C132,'Disbursements Summary'!$A:$A,"ELECTIONS")</f>
        <v>0</v>
      </c>
      <c r="V132" s="55">
        <f>SUMIFS('Awards Summary'!$H:$H,'Awards Summary'!$B:$B,$C132,'Awards Summary'!$J:$J,"BFSA")</f>
        <v>0</v>
      </c>
      <c r="W132" s="55">
        <f>SUMIFS('Disbursements Summary'!$E:$E,'Disbursements Summary'!$C:$C,$C132,'Disbursements Summary'!$A:$A,"BFSA")</f>
        <v>0</v>
      </c>
      <c r="X132" s="55">
        <f>SUMIFS('Awards Summary'!$H:$H,'Awards Summary'!$B:$B,$C132,'Awards Summary'!$J:$J,"CDTA")</f>
        <v>0</v>
      </c>
      <c r="Y132" s="55">
        <f>SUMIFS('Disbursements Summary'!$E:$E,'Disbursements Summary'!$C:$C,$C132,'Disbursements Summary'!$A:$A,"CDTA")</f>
        <v>0</v>
      </c>
      <c r="Z132" s="55">
        <f>SUMIFS('Awards Summary'!$H:$H,'Awards Summary'!$B:$B,$C132,'Awards Summary'!$J:$J,"CCWSA")</f>
        <v>0</v>
      </c>
      <c r="AA132" s="55">
        <f>SUMIFS('Disbursements Summary'!$E:$E,'Disbursements Summary'!$C:$C,$C132,'Disbursements Summary'!$A:$A,"CCWSA")</f>
        <v>0</v>
      </c>
      <c r="AB132" s="55">
        <f>SUMIFS('Awards Summary'!$H:$H,'Awards Summary'!$B:$B,$C132,'Awards Summary'!$J:$J,"CNYRTA")</f>
        <v>0</v>
      </c>
      <c r="AC132" s="55">
        <f>SUMIFS('Disbursements Summary'!$E:$E,'Disbursements Summary'!$C:$C,$C132,'Disbursements Summary'!$A:$A,"CNYRTA")</f>
        <v>0</v>
      </c>
      <c r="AD132" s="55">
        <f>SUMIFS('Awards Summary'!$H:$H,'Awards Summary'!$B:$B,$C132,'Awards Summary'!$J:$J,"CUCF")</f>
        <v>0</v>
      </c>
      <c r="AE132" s="55">
        <f>SUMIFS('Disbursements Summary'!$E:$E,'Disbursements Summary'!$C:$C,$C132,'Disbursements Summary'!$A:$A,"CUCF")</f>
        <v>0</v>
      </c>
      <c r="AF132" s="55">
        <f>SUMIFS('Awards Summary'!$H:$H,'Awards Summary'!$B:$B,$C132,'Awards Summary'!$J:$J,"CUNY")</f>
        <v>0</v>
      </c>
      <c r="AG132" s="55">
        <f>SUMIFS('Disbursements Summary'!$E:$E,'Disbursements Summary'!$C:$C,$C132,'Disbursements Summary'!$A:$A,"CUNY")</f>
        <v>0</v>
      </c>
      <c r="AH132" s="55">
        <f>SUMIFS('Awards Summary'!$H:$H,'Awards Summary'!$B:$B,$C132,'Awards Summary'!$J:$J,"ARTS")</f>
        <v>0</v>
      </c>
      <c r="AI132" s="55">
        <f>SUMIFS('Disbursements Summary'!$E:$E,'Disbursements Summary'!$C:$C,$C132,'Disbursements Summary'!$A:$A,"ARTS")</f>
        <v>0</v>
      </c>
      <c r="AJ132" s="55">
        <f>SUMIFS('Awards Summary'!$H:$H,'Awards Summary'!$B:$B,$C132,'Awards Summary'!$J:$J,"AG&amp;MKTS")</f>
        <v>0</v>
      </c>
      <c r="AK132" s="55">
        <f>SUMIFS('Disbursements Summary'!$E:$E,'Disbursements Summary'!$C:$C,$C132,'Disbursements Summary'!$A:$A,"AG&amp;MKTS")</f>
        <v>0</v>
      </c>
      <c r="AL132" s="55">
        <f>SUMIFS('Awards Summary'!$H:$H,'Awards Summary'!$B:$B,$C132,'Awards Summary'!$J:$J,"CS")</f>
        <v>0</v>
      </c>
      <c r="AM132" s="55">
        <f>SUMIFS('Disbursements Summary'!$E:$E,'Disbursements Summary'!$C:$C,$C132,'Disbursements Summary'!$A:$A,"CS")</f>
        <v>0</v>
      </c>
      <c r="AN132" s="55">
        <f>SUMIFS('Awards Summary'!$H:$H,'Awards Summary'!$B:$B,$C132,'Awards Summary'!$J:$J,"DOCCS")</f>
        <v>0</v>
      </c>
      <c r="AO132" s="55">
        <f>SUMIFS('Disbursements Summary'!$E:$E,'Disbursements Summary'!$C:$C,$C132,'Disbursements Summary'!$A:$A,"DOCCS")</f>
        <v>0</v>
      </c>
      <c r="AP132" s="55">
        <f>SUMIFS('Awards Summary'!$H:$H,'Awards Summary'!$B:$B,$C132,'Awards Summary'!$J:$J,"DED")</f>
        <v>0</v>
      </c>
      <c r="AQ132" s="55">
        <f>SUMIFS('Disbursements Summary'!$E:$E,'Disbursements Summary'!$C:$C,$C132,'Disbursements Summary'!$A:$A,"DED")</f>
        <v>0</v>
      </c>
      <c r="AR132" s="55">
        <f>SUMIFS('Awards Summary'!$H:$H,'Awards Summary'!$B:$B,$C132,'Awards Summary'!$J:$J,"DEC")</f>
        <v>0</v>
      </c>
      <c r="AS132" s="55">
        <f>SUMIFS('Disbursements Summary'!$E:$E,'Disbursements Summary'!$C:$C,$C132,'Disbursements Summary'!$A:$A,"DEC")</f>
        <v>0</v>
      </c>
      <c r="AT132" s="55">
        <f>SUMIFS('Awards Summary'!$H:$H,'Awards Summary'!$B:$B,$C132,'Awards Summary'!$J:$J,"DFS")</f>
        <v>0</v>
      </c>
      <c r="AU132" s="55">
        <f>SUMIFS('Disbursements Summary'!$E:$E,'Disbursements Summary'!$C:$C,$C132,'Disbursements Summary'!$A:$A,"DFS")</f>
        <v>0</v>
      </c>
      <c r="AV132" s="55">
        <f>SUMIFS('Awards Summary'!$H:$H,'Awards Summary'!$B:$B,$C132,'Awards Summary'!$J:$J,"DOH")</f>
        <v>0</v>
      </c>
      <c r="AW132" s="55">
        <f>SUMIFS('Disbursements Summary'!$E:$E,'Disbursements Summary'!$C:$C,$C132,'Disbursements Summary'!$A:$A,"DOH")</f>
        <v>0</v>
      </c>
      <c r="AX132" s="55">
        <f>SUMIFS('Awards Summary'!$H:$H,'Awards Summary'!$B:$B,$C132,'Awards Summary'!$J:$J,"DOL")</f>
        <v>0</v>
      </c>
      <c r="AY132" s="55">
        <f>SUMIFS('Disbursements Summary'!$E:$E,'Disbursements Summary'!$C:$C,$C132,'Disbursements Summary'!$A:$A,"DOL")</f>
        <v>0</v>
      </c>
      <c r="AZ132" s="55">
        <f>SUMIFS('Awards Summary'!$H:$H,'Awards Summary'!$B:$B,$C132,'Awards Summary'!$J:$J,"DMV")</f>
        <v>0</v>
      </c>
      <c r="BA132" s="55">
        <f>SUMIFS('Disbursements Summary'!$E:$E,'Disbursements Summary'!$C:$C,$C132,'Disbursements Summary'!$A:$A,"DMV")</f>
        <v>0</v>
      </c>
      <c r="BB132" s="55">
        <f>SUMIFS('Awards Summary'!$H:$H,'Awards Summary'!$B:$B,$C132,'Awards Summary'!$J:$J,"DPS")</f>
        <v>0</v>
      </c>
      <c r="BC132" s="55">
        <f>SUMIFS('Disbursements Summary'!$E:$E,'Disbursements Summary'!$C:$C,$C132,'Disbursements Summary'!$A:$A,"DPS")</f>
        <v>0</v>
      </c>
      <c r="BD132" s="55">
        <f>SUMIFS('Awards Summary'!$H:$H,'Awards Summary'!$B:$B,$C132,'Awards Summary'!$J:$J,"DOS")</f>
        <v>0</v>
      </c>
      <c r="BE132" s="55">
        <f>SUMIFS('Disbursements Summary'!$E:$E,'Disbursements Summary'!$C:$C,$C132,'Disbursements Summary'!$A:$A,"DOS")</f>
        <v>0</v>
      </c>
      <c r="BF132" s="55">
        <f>SUMIFS('Awards Summary'!$H:$H,'Awards Summary'!$B:$B,$C132,'Awards Summary'!$J:$J,"TAX")</f>
        <v>0</v>
      </c>
      <c r="BG132" s="55">
        <f>SUMIFS('Disbursements Summary'!$E:$E,'Disbursements Summary'!$C:$C,$C132,'Disbursements Summary'!$A:$A,"TAX")</f>
        <v>0</v>
      </c>
      <c r="BH132" s="55">
        <f>SUMIFS('Awards Summary'!$H:$H,'Awards Summary'!$B:$B,$C132,'Awards Summary'!$J:$J,"DOT")</f>
        <v>0</v>
      </c>
      <c r="BI132" s="55">
        <f>SUMIFS('Disbursements Summary'!$E:$E,'Disbursements Summary'!$C:$C,$C132,'Disbursements Summary'!$A:$A,"DOT")</f>
        <v>0</v>
      </c>
      <c r="BJ132" s="55">
        <f>SUMIFS('Awards Summary'!$H:$H,'Awards Summary'!$B:$B,$C132,'Awards Summary'!$J:$J,"DANC")</f>
        <v>0</v>
      </c>
      <c r="BK132" s="55">
        <f>SUMIFS('Disbursements Summary'!$E:$E,'Disbursements Summary'!$C:$C,$C132,'Disbursements Summary'!$A:$A,"DANC")</f>
        <v>0</v>
      </c>
      <c r="BL132" s="55">
        <f>SUMIFS('Awards Summary'!$H:$H,'Awards Summary'!$B:$B,$C132,'Awards Summary'!$J:$J,"DOB")</f>
        <v>0</v>
      </c>
      <c r="BM132" s="55">
        <f>SUMIFS('Disbursements Summary'!$E:$E,'Disbursements Summary'!$C:$C,$C132,'Disbursements Summary'!$A:$A,"DOB")</f>
        <v>0</v>
      </c>
      <c r="BN132" s="55">
        <f>SUMIFS('Awards Summary'!$H:$H,'Awards Summary'!$B:$B,$C132,'Awards Summary'!$J:$J,"DCJS")</f>
        <v>0</v>
      </c>
      <c r="BO132" s="55">
        <f>SUMIFS('Disbursements Summary'!$E:$E,'Disbursements Summary'!$C:$C,$C132,'Disbursements Summary'!$A:$A,"DCJS")</f>
        <v>0</v>
      </c>
      <c r="BP132" s="55">
        <f>SUMIFS('Awards Summary'!$H:$H,'Awards Summary'!$B:$B,$C132,'Awards Summary'!$J:$J,"DHSES")</f>
        <v>0</v>
      </c>
      <c r="BQ132" s="55">
        <f>SUMIFS('Disbursements Summary'!$E:$E,'Disbursements Summary'!$C:$C,$C132,'Disbursements Summary'!$A:$A,"DHSES")</f>
        <v>0</v>
      </c>
      <c r="BR132" s="55">
        <f>SUMIFS('Awards Summary'!$H:$H,'Awards Summary'!$B:$B,$C132,'Awards Summary'!$J:$J,"DHR")</f>
        <v>0</v>
      </c>
      <c r="BS132" s="55">
        <f>SUMIFS('Disbursements Summary'!$E:$E,'Disbursements Summary'!$C:$C,$C132,'Disbursements Summary'!$A:$A,"DHR")</f>
        <v>0</v>
      </c>
      <c r="BT132" s="55">
        <f>SUMIFS('Awards Summary'!$H:$H,'Awards Summary'!$B:$B,$C132,'Awards Summary'!$J:$J,"DMNA")</f>
        <v>0</v>
      </c>
      <c r="BU132" s="55">
        <f>SUMIFS('Disbursements Summary'!$E:$E,'Disbursements Summary'!$C:$C,$C132,'Disbursements Summary'!$A:$A,"DMNA")</f>
        <v>0</v>
      </c>
      <c r="BV132" s="55">
        <f>SUMIFS('Awards Summary'!$H:$H,'Awards Summary'!$B:$B,$C132,'Awards Summary'!$J:$J,"TROOPERS")</f>
        <v>0</v>
      </c>
      <c r="BW132" s="55">
        <f>SUMIFS('Disbursements Summary'!$E:$E,'Disbursements Summary'!$C:$C,$C132,'Disbursements Summary'!$A:$A,"TROOPERS")</f>
        <v>0</v>
      </c>
      <c r="BX132" s="55">
        <f>SUMIFS('Awards Summary'!$H:$H,'Awards Summary'!$B:$B,$C132,'Awards Summary'!$J:$J,"DVA")</f>
        <v>0</v>
      </c>
      <c r="BY132" s="55">
        <f>SUMIFS('Disbursements Summary'!$E:$E,'Disbursements Summary'!$C:$C,$C132,'Disbursements Summary'!$A:$A,"DVA")</f>
        <v>0</v>
      </c>
      <c r="BZ132" s="55">
        <f>SUMIFS('Awards Summary'!$H:$H,'Awards Summary'!$B:$B,$C132,'Awards Summary'!$J:$J,"DASNY")</f>
        <v>0</v>
      </c>
      <c r="CA132" s="55">
        <f>SUMIFS('Disbursements Summary'!$E:$E,'Disbursements Summary'!$C:$C,$C132,'Disbursements Summary'!$A:$A,"DASNY")</f>
        <v>0</v>
      </c>
      <c r="CB132" s="55">
        <f>SUMIFS('Awards Summary'!$H:$H,'Awards Summary'!$B:$B,$C132,'Awards Summary'!$J:$J,"EGG")</f>
        <v>0</v>
      </c>
      <c r="CC132" s="55">
        <f>SUMIFS('Disbursements Summary'!$E:$E,'Disbursements Summary'!$C:$C,$C132,'Disbursements Summary'!$A:$A,"EGG")</f>
        <v>0</v>
      </c>
      <c r="CD132" s="55">
        <f>SUMIFS('Awards Summary'!$H:$H,'Awards Summary'!$B:$B,$C132,'Awards Summary'!$J:$J,"ESD")</f>
        <v>0</v>
      </c>
      <c r="CE132" s="55">
        <f>SUMIFS('Disbursements Summary'!$E:$E,'Disbursements Summary'!$C:$C,$C132,'Disbursements Summary'!$A:$A,"ESD")</f>
        <v>0</v>
      </c>
      <c r="CF132" s="55">
        <f>SUMIFS('Awards Summary'!$H:$H,'Awards Summary'!$B:$B,$C132,'Awards Summary'!$J:$J,"EFC")</f>
        <v>0</v>
      </c>
      <c r="CG132" s="55">
        <f>SUMIFS('Disbursements Summary'!$E:$E,'Disbursements Summary'!$C:$C,$C132,'Disbursements Summary'!$A:$A,"EFC")</f>
        <v>0</v>
      </c>
      <c r="CH132" s="55">
        <f>SUMIFS('Awards Summary'!$H:$H,'Awards Summary'!$B:$B,$C132,'Awards Summary'!$J:$J,"ECFSA")</f>
        <v>0</v>
      </c>
      <c r="CI132" s="55">
        <f>SUMIFS('Disbursements Summary'!$E:$E,'Disbursements Summary'!$C:$C,$C132,'Disbursements Summary'!$A:$A,"ECFSA")</f>
        <v>0</v>
      </c>
      <c r="CJ132" s="55">
        <f>SUMIFS('Awards Summary'!$H:$H,'Awards Summary'!$B:$B,$C132,'Awards Summary'!$J:$J,"ECMC")</f>
        <v>0</v>
      </c>
      <c r="CK132" s="55">
        <f>SUMIFS('Disbursements Summary'!$E:$E,'Disbursements Summary'!$C:$C,$C132,'Disbursements Summary'!$A:$A,"ECMC")</f>
        <v>0</v>
      </c>
      <c r="CL132" s="55">
        <f>SUMIFS('Awards Summary'!$H:$H,'Awards Summary'!$B:$B,$C132,'Awards Summary'!$J:$J,"CHAMBER")</f>
        <v>0</v>
      </c>
      <c r="CM132" s="55">
        <f>SUMIFS('Disbursements Summary'!$E:$E,'Disbursements Summary'!$C:$C,$C132,'Disbursements Summary'!$A:$A,"CHAMBER")</f>
        <v>0</v>
      </c>
      <c r="CN132" s="55">
        <f>SUMIFS('Awards Summary'!$H:$H,'Awards Summary'!$B:$B,$C132,'Awards Summary'!$J:$J,"GAMING")</f>
        <v>0</v>
      </c>
      <c r="CO132" s="55">
        <f>SUMIFS('Disbursements Summary'!$E:$E,'Disbursements Summary'!$C:$C,$C132,'Disbursements Summary'!$A:$A,"GAMING")</f>
        <v>0</v>
      </c>
      <c r="CP132" s="55">
        <f>SUMIFS('Awards Summary'!$H:$H,'Awards Summary'!$B:$B,$C132,'Awards Summary'!$J:$J,"GOER")</f>
        <v>0</v>
      </c>
      <c r="CQ132" s="55">
        <f>SUMIFS('Disbursements Summary'!$E:$E,'Disbursements Summary'!$C:$C,$C132,'Disbursements Summary'!$A:$A,"GOER")</f>
        <v>0</v>
      </c>
      <c r="CR132" s="55">
        <f>SUMIFS('Awards Summary'!$H:$H,'Awards Summary'!$B:$B,$C132,'Awards Summary'!$J:$J,"HESC")</f>
        <v>0</v>
      </c>
      <c r="CS132" s="55">
        <f>SUMIFS('Disbursements Summary'!$E:$E,'Disbursements Summary'!$C:$C,$C132,'Disbursements Summary'!$A:$A,"HESC")</f>
        <v>0</v>
      </c>
      <c r="CT132" s="55">
        <f>SUMIFS('Awards Summary'!$H:$H,'Awards Summary'!$B:$B,$C132,'Awards Summary'!$J:$J,"GOSR")</f>
        <v>0</v>
      </c>
      <c r="CU132" s="55">
        <f>SUMIFS('Disbursements Summary'!$E:$E,'Disbursements Summary'!$C:$C,$C132,'Disbursements Summary'!$A:$A,"GOSR")</f>
        <v>0</v>
      </c>
      <c r="CV132" s="55">
        <f>SUMIFS('Awards Summary'!$H:$H,'Awards Summary'!$B:$B,$C132,'Awards Summary'!$J:$J,"HRPT")</f>
        <v>0</v>
      </c>
      <c r="CW132" s="55">
        <f>SUMIFS('Disbursements Summary'!$E:$E,'Disbursements Summary'!$C:$C,$C132,'Disbursements Summary'!$A:$A,"HRPT")</f>
        <v>0</v>
      </c>
      <c r="CX132" s="55">
        <f>SUMIFS('Awards Summary'!$H:$H,'Awards Summary'!$B:$B,$C132,'Awards Summary'!$J:$J,"HRBRRD")</f>
        <v>0</v>
      </c>
      <c r="CY132" s="55">
        <f>SUMIFS('Disbursements Summary'!$E:$E,'Disbursements Summary'!$C:$C,$C132,'Disbursements Summary'!$A:$A,"HRBRRD")</f>
        <v>0</v>
      </c>
      <c r="CZ132" s="55">
        <f>SUMIFS('Awards Summary'!$H:$H,'Awards Summary'!$B:$B,$C132,'Awards Summary'!$J:$J,"ITS")</f>
        <v>0</v>
      </c>
      <c r="DA132" s="55">
        <f>SUMIFS('Disbursements Summary'!$E:$E,'Disbursements Summary'!$C:$C,$C132,'Disbursements Summary'!$A:$A,"ITS")</f>
        <v>0</v>
      </c>
      <c r="DB132" s="55">
        <f>SUMIFS('Awards Summary'!$H:$H,'Awards Summary'!$B:$B,$C132,'Awards Summary'!$J:$J,"JAVITS")</f>
        <v>0</v>
      </c>
      <c r="DC132" s="55">
        <f>SUMIFS('Disbursements Summary'!$E:$E,'Disbursements Summary'!$C:$C,$C132,'Disbursements Summary'!$A:$A,"JAVITS")</f>
        <v>0</v>
      </c>
      <c r="DD132" s="55">
        <f>SUMIFS('Awards Summary'!$H:$H,'Awards Summary'!$B:$B,$C132,'Awards Summary'!$J:$J,"JCOPE")</f>
        <v>0</v>
      </c>
      <c r="DE132" s="55">
        <f>SUMIFS('Disbursements Summary'!$E:$E,'Disbursements Summary'!$C:$C,$C132,'Disbursements Summary'!$A:$A,"JCOPE")</f>
        <v>0</v>
      </c>
      <c r="DF132" s="55">
        <f>SUMIFS('Awards Summary'!$H:$H,'Awards Summary'!$B:$B,$C132,'Awards Summary'!$J:$J,"JUSTICE")</f>
        <v>0</v>
      </c>
      <c r="DG132" s="55">
        <f>SUMIFS('Disbursements Summary'!$E:$E,'Disbursements Summary'!$C:$C,$C132,'Disbursements Summary'!$A:$A,"JUSTICE")</f>
        <v>0</v>
      </c>
      <c r="DH132" s="55">
        <f>SUMIFS('Awards Summary'!$H:$H,'Awards Summary'!$B:$B,$C132,'Awards Summary'!$J:$J,"LCWSA")</f>
        <v>0</v>
      </c>
      <c r="DI132" s="55">
        <f>SUMIFS('Disbursements Summary'!$E:$E,'Disbursements Summary'!$C:$C,$C132,'Disbursements Summary'!$A:$A,"LCWSA")</f>
        <v>0</v>
      </c>
      <c r="DJ132" s="55">
        <f>SUMIFS('Awards Summary'!$H:$H,'Awards Summary'!$B:$B,$C132,'Awards Summary'!$J:$J,"LIPA")</f>
        <v>0</v>
      </c>
      <c r="DK132" s="55">
        <f>SUMIFS('Disbursements Summary'!$E:$E,'Disbursements Summary'!$C:$C,$C132,'Disbursements Summary'!$A:$A,"LIPA")</f>
        <v>0</v>
      </c>
      <c r="DL132" s="55">
        <f>SUMIFS('Awards Summary'!$H:$H,'Awards Summary'!$B:$B,$C132,'Awards Summary'!$J:$J,"MTA")</f>
        <v>0</v>
      </c>
      <c r="DM132" s="55">
        <f>SUMIFS('Disbursements Summary'!$E:$E,'Disbursements Summary'!$C:$C,$C132,'Disbursements Summary'!$A:$A,"MTA")</f>
        <v>0</v>
      </c>
      <c r="DN132" s="55">
        <f>SUMIFS('Awards Summary'!$H:$H,'Awards Summary'!$B:$B,$C132,'Awards Summary'!$J:$J,"NIFA")</f>
        <v>0</v>
      </c>
      <c r="DO132" s="55">
        <f>SUMIFS('Disbursements Summary'!$E:$E,'Disbursements Summary'!$C:$C,$C132,'Disbursements Summary'!$A:$A,"NIFA")</f>
        <v>0</v>
      </c>
      <c r="DP132" s="55">
        <f>SUMIFS('Awards Summary'!$H:$H,'Awards Summary'!$B:$B,$C132,'Awards Summary'!$J:$J,"NHCC")</f>
        <v>0</v>
      </c>
      <c r="DQ132" s="55">
        <f>SUMIFS('Disbursements Summary'!$E:$E,'Disbursements Summary'!$C:$C,$C132,'Disbursements Summary'!$A:$A,"NHCC")</f>
        <v>0</v>
      </c>
      <c r="DR132" s="55">
        <f>SUMIFS('Awards Summary'!$H:$H,'Awards Summary'!$B:$B,$C132,'Awards Summary'!$J:$J,"NHT")</f>
        <v>0</v>
      </c>
      <c r="DS132" s="55">
        <f>SUMIFS('Disbursements Summary'!$E:$E,'Disbursements Summary'!$C:$C,$C132,'Disbursements Summary'!$A:$A,"NHT")</f>
        <v>0</v>
      </c>
      <c r="DT132" s="55">
        <f>SUMIFS('Awards Summary'!$H:$H,'Awards Summary'!$B:$B,$C132,'Awards Summary'!$J:$J,"NYPA")</f>
        <v>0</v>
      </c>
      <c r="DU132" s="55">
        <f>SUMIFS('Disbursements Summary'!$E:$E,'Disbursements Summary'!$C:$C,$C132,'Disbursements Summary'!$A:$A,"NYPA")</f>
        <v>0</v>
      </c>
      <c r="DV132" s="55">
        <f>SUMIFS('Awards Summary'!$H:$H,'Awards Summary'!$B:$B,$C132,'Awards Summary'!$J:$J,"NYSBA")</f>
        <v>0</v>
      </c>
      <c r="DW132" s="55">
        <f>SUMIFS('Disbursements Summary'!$E:$E,'Disbursements Summary'!$C:$C,$C132,'Disbursements Summary'!$A:$A,"NYSBA")</f>
        <v>0</v>
      </c>
      <c r="DX132" s="55">
        <f>SUMIFS('Awards Summary'!$H:$H,'Awards Summary'!$B:$B,$C132,'Awards Summary'!$J:$J,"NYSERDA")</f>
        <v>0</v>
      </c>
      <c r="DY132" s="55">
        <f>SUMIFS('Disbursements Summary'!$E:$E,'Disbursements Summary'!$C:$C,$C132,'Disbursements Summary'!$A:$A,"NYSERDA")</f>
        <v>0</v>
      </c>
      <c r="DZ132" s="55">
        <f>SUMIFS('Awards Summary'!$H:$H,'Awards Summary'!$B:$B,$C132,'Awards Summary'!$J:$J,"DHCR")</f>
        <v>0</v>
      </c>
      <c r="EA132" s="55">
        <f>SUMIFS('Disbursements Summary'!$E:$E,'Disbursements Summary'!$C:$C,$C132,'Disbursements Summary'!$A:$A,"DHCR")</f>
        <v>0</v>
      </c>
      <c r="EB132" s="55">
        <f>SUMIFS('Awards Summary'!$H:$H,'Awards Summary'!$B:$B,$C132,'Awards Summary'!$J:$J,"HFA")</f>
        <v>0</v>
      </c>
      <c r="EC132" s="55">
        <f>SUMIFS('Disbursements Summary'!$E:$E,'Disbursements Summary'!$C:$C,$C132,'Disbursements Summary'!$A:$A,"HFA")</f>
        <v>0</v>
      </c>
      <c r="ED132" s="55">
        <f>SUMIFS('Awards Summary'!$H:$H,'Awards Summary'!$B:$B,$C132,'Awards Summary'!$J:$J,"NYSIF")</f>
        <v>0</v>
      </c>
      <c r="EE132" s="55">
        <f>SUMIFS('Disbursements Summary'!$E:$E,'Disbursements Summary'!$C:$C,$C132,'Disbursements Summary'!$A:$A,"NYSIF")</f>
        <v>0</v>
      </c>
      <c r="EF132" s="55">
        <f>SUMIFS('Awards Summary'!$H:$H,'Awards Summary'!$B:$B,$C132,'Awards Summary'!$J:$J,"NYBREDS")</f>
        <v>0</v>
      </c>
      <c r="EG132" s="55">
        <f>SUMIFS('Disbursements Summary'!$E:$E,'Disbursements Summary'!$C:$C,$C132,'Disbursements Summary'!$A:$A,"NYBREDS")</f>
        <v>0</v>
      </c>
      <c r="EH132" s="55">
        <f>SUMIFS('Awards Summary'!$H:$H,'Awards Summary'!$B:$B,$C132,'Awards Summary'!$J:$J,"NYSTA")</f>
        <v>0</v>
      </c>
      <c r="EI132" s="55">
        <f>SUMIFS('Disbursements Summary'!$E:$E,'Disbursements Summary'!$C:$C,$C132,'Disbursements Summary'!$A:$A,"NYSTA")</f>
        <v>0</v>
      </c>
      <c r="EJ132" s="55">
        <f>SUMIFS('Awards Summary'!$H:$H,'Awards Summary'!$B:$B,$C132,'Awards Summary'!$J:$J,"NFWB")</f>
        <v>0</v>
      </c>
      <c r="EK132" s="55">
        <f>SUMIFS('Disbursements Summary'!$E:$E,'Disbursements Summary'!$C:$C,$C132,'Disbursements Summary'!$A:$A,"NFWB")</f>
        <v>0</v>
      </c>
      <c r="EL132" s="55">
        <f>SUMIFS('Awards Summary'!$H:$H,'Awards Summary'!$B:$B,$C132,'Awards Summary'!$J:$J,"NFTA")</f>
        <v>0</v>
      </c>
      <c r="EM132" s="55">
        <f>SUMIFS('Disbursements Summary'!$E:$E,'Disbursements Summary'!$C:$C,$C132,'Disbursements Summary'!$A:$A,"NFTA")</f>
        <v>0</v>
      </c>
      <c r="EN132" s="55">
        <f>SUMIFS('Awards Summary'!$H:$H,'Awards Summary'!$B:$B,$C132,'Awards Summary'!$J:$J,"OPWDD")</f>
        <v>0</v>
      </c>
      <c r="EO132" s="55">
        <f>SUMIFS('Disbursements Summary'!$E:$E,'Disbursements Summary'!$C:$C,$C132,'Disbursements Summary'!$A:$A,"OPWDD")</f>
        <v>0</v>
      </c>
      <c r="EP132" s="55">
        <f>SUMIFS('Awards Summary'!$H:$H,'Awards Summary'!$B:$B,$C132,'Awards Summary'!$J:$J,"AGING")</f>
        <v>0</v>
      </c>
      <c r="EQ132" s="55">
        <f>SUMIFS('Disbursements Summary'!$E:$E,'Disbursements Summary'!$C:$C,$C132,'Disbursements Summary'!$A:$A,"AGING")</f>
        <v>0</v>
      </c>
      <c r="ER132" s="55">
        <f>SUMIFS('Awards Summary'!$H:$H,'Awards Summary'!$B:$B,$C132,'Awards Summary'!$J:$J,"OPDV")</f>
        <v>0</v>
      </c>
      <c r="ES132" s="55">
        <f>SUMIFS('Disbursements Summary'!$E:$E,'Disbursements Summary'!$C:$C,$C132,'Disbursements Summary'!$A:$A,"OPDV")</f>
        <v>0</v>
      </c>
      <c r="ET132" s="55">
        <f>SUMIFS('Awards Summary'!$H:$H,'Awards Summary'!$B:$B,$C132,'Awards Summary'!$J:$J,"OVS")</f>
        <v>0</v>
      </c>
      <c r="EU132" s="55">
        <f>SUMIFS('Disbursements Summary'!$E:$E,'Disbursements Summary'!$C:$C,$C132,'Disbursements Summary'!$A:$A,"OVS")</f>
        <v>0</v>
      </c>
      <c r="EV132" s="55">
        <f>SUMIFS('Awards Summary'!$H:$H,'Awards Summary'!$B:$B,$C132,'Awards Summary'!$J:$J,"OASAS")</f>
        <v>0</v>
      </c>
      <c r="EW132" s="55">
        <f>SUMIFS('Disbursements Summary'!$E:$E,'Disbursements Summary'!$C:$C,$C132,'Disbursements Summary'!$A:$A,"OASAS")</f>
        <v>0</v>
      </c>
      <c r="EX132" s="55">
        <f>SUMIFS('Awards Summary'!$H:$H,'Awards Summary'!$B:$B,$C132,'Awards Summary'!$J:$J,"OCFS")</f>
        <v>0</v>
      </c>
      <c r="EY132" s="55">
        <f>SUMIFS('Disbursements Summary'!$E:$E,'Disbursements Summary'!$C:$C,$C132,'Disbursements Summary'!$A:$A,"OCFS")</f>
        <v>0</v>
      </c>
      <c r="EZ132" s="55">
        <f>SUMIFS('Awards Summary'!$H:$H,'Awards Summary'!$B:$B,$C132,'Awards Summary'!$J:$J,"OGS")</f>
        <v>0</v>
      </c>
      <c r="FA132" s="55">
        <f>SUMIFS('Disbursements Summary'!$E:$E,'Disbursements Summary'!$C:$C,$C132,'Disbursements Summary'!$A:$A,"OGS")</f>
        <v>0</v>
      </c>
      <c r="FB132" s="55">
        <f>SUMIFS('Awards Summary'!$H:$H,'Awards Summary'!$B:$B,$C132,'Awards Summary'!$J:$J,"OMH")</f>
        <v>0</v>
      </c>
      <c r="FC132" s="55">
        <f>SUMIFS('Disbursements Summary'!$E:$E,'Disbursements Summary'!$C:$C,$C132,'Disbursements Summary'!$A:$A,"OMH")</f>
        <v>0</v>
      </c>
      <c r="FD132" s="55">
        <f>SUMIFS('Awards Summary'!$H:$H,'Awards Summary'!$B:$B,$C132,'Awards Summary'!$J:$J,"PARKS")</f>
        <v>0</v>
      </c>
      <c r="FE132" s="55">
        <f>SUMIFS('Disbursements Summary'!$E:$E,'Disbursements Summary'!$C:$C,$C132,'Disbursements Summary'!$A:$A,"PARKS")</f>
        <v>0</v>
      </c>
      <c r="FF132" s="55">
        <f>SUMIFS('Awards Summary'!$H:$H,'Awards Summary'!$B:$B,$C132,'Awards Summary'!$J:$J,"OTDA")</f>
        <v>0</v>
      </c>
      <c r="FG132" s="55">
        <f>SUMIFS('Disbursements Summary'!$E:$E,'Disbursements Summary'!$C:$C,$C132,'Disbursements Summary'!$A:$A,"OTDA")</f>
        <v>0</v>
      </c>
      <c r="FH132" s="55">
        <f>SUMIFS('Awards Summary'!$H:$H,'Awards Summary'!$B:$B,$C132,'Awards Summary'!$J:$J,"OIG")</f>
        <v>0</v>
      </c>
      <c r="FI132" s="55">
        <f>SUMIFS('Disbursements Summary'!$E:$E,'Disbursements Summary'!$C:$C,$C132,'Disbursements Summary'!$A:$A,"OIG")</f>
        <v>0</v>
      </c>
      <c r="FJ132" s="55">
        <f>SUMIFS('Awards Summary'!$H:$H,'Awards Summary'!$B:$B,$C132,'Awards Summary'!$J:$J,"OMIG")</f>
        <v>0</v>
      </c>
      <c r="FK132" s="55">
        <f>SUMIFS('Disbursements Summary'!$E:$E,'Disbursements Summary'!$C:$C,$C132,'Disbursements Summary'!$A:$A,"OMIG")</f>
        <v>0</v>
      </c>
      <c r="FL132" s="55">
        <f>SUMIFS('Awards Summary'!$H:$H,'Awards Summary'!$B:$B,$C132,'Awards Summary'!$J:$J,"OSC")</f>
        <v>0</v>
      </c>
      <c r="FM132" s="55">
        <f>SUMIFS('Disbursements Summary'!$E:$E,'Disbursements Summary'!$C:$C,$C132,'Disbursements Summary'!$A:$A,"OSC")</f>
        <v>0</v>
      </c>
      <c r="FN132" s="55">
        <f>SUMIFS('Awards Summary'!$H:$H,'Awards Summary'!$B:$B,$C132,'Awards Summary'!$J:$J,"OWIG")</f>
        <v>0</v>
      </c>
      <c r="FO132" s="55">
        <f>SUMIFS('Disbursements Summary'!$E:$E,'Disbursements Summary'!$C:$C,$C132,'Disbursements Summary'!$A:$A,"OWIG")</f>
        <v>0</v>
      </c>
      <c r="FP132" s="55">
        <f>SUMIFS('Awards Summary'!$H:$H,'Awards Summary'!$B:$B,$C132,'Awards Summary'!$J:$J,"OGDEN")</f>
        <v>0</v>
      </c>
      <c r="FQ132" s="55">
        <f>SUMIFS('Disbursements Summary'!$E:$E,'Disbursements Summary'!$C:$C,$C132,'Disbursements Summary'!$A:$A,"OGDEN")</f>
        <v>0</v>
      </c>
      <c r="FR132" s="55">
        <f>SUMIFS('Awards Summary'!$H:$H,'Awards Summary'!$B:$B,$C132,'Awards Summary'!$J:$J,"ORDA")</f>
        <v>0</v>
      </c>
      <c r="FS132" s="55">
        <f>SUMIFS('Disbursements Summary'!$E:$E,'Disbursements Summary'!$C:$C,$C132,'Disbursements Summary'!$A:$A,"ORDA")</f>
        <v>0</v>
      </c>
      <c r="FT132" s="55">
        <f>SUMIFS('Awards Summary'!$H:$H,'Awards Summary'!$B:$B,$C132,'Awards Summary'!$J:$J,"OSWEGO")</f>
        <v>0</v>
      </c>
      <c r="FU132" s="55">
        <f>SUMIFS('Disbursements Summary'!$E:$E,'Disbursements Summary'!$C:$C,$C132,'Disbursements Summary'!$A:$A,"OSWEGO")</f>
        <v>0</v>
      </c>
      <c r="FV132" s="55">
        <f>SUMIFS('Awards Summary'!$H:$H,'Awards Summary'!$B:$B,$C132,'Awards Summary'!$J:$J,"PERB")</f>
        <v>0</v>
      </c>
      <c r="FW132" s="55">
        <f>SUMIFS('Disbursements Summary'!$E:$E,'Disbursements Summary'!$C:$C,$C132,'Disbursements Summary'!$A:$A,"PERB")</f>
        <v>0</v>
      </c>
      <c r="FX132" s="55">
        <f>SUMIFS('Awards Summary'!$H:$H,'Awards Summary'!$B:$B,$C132,'Awards Summary'!$J:$J,"RGRTA")</f>
        <v>0</v>
      </c>
      <c r="FY132" s="55">
        <f>SUMIFS('Disbursements Summary'!$E:$E,'Disbursements Summary'!$C:$C,$C132,'Disbursements Summary'!$A:$A,"RGRTA")</f>
        <v>0</v>
      </c>
      <c r="FZ132" s="55">
        <f>SUMIFS('Awards Summary'!$H:$H,'Awards Summary'!$B:$B,$C132,'Awards Summary'!$J:$J,"RIOC")</f>
        <v>0</v>
      </c>
      <c r="GA132" s="55">
        <f>SUMIFS('Disbursements Summary'!$E:$E,'Disbursements Summary'!$C:$C,$C132,'Disbursements Summary'!$A:$A,"RIOC")</f>
        <v>0</v>
      </c>
      <c r="GB132" s="55">
        <f>SUMIFS('Awards Summary'!$H:$H,'Awards Summary'!$B:$B,$C132,'Awards Summary'!$J:$J,"RPCI")</f>
        <v>0</v>
      </c>
      <c r="GC132" s="55">
        <f>SUMIFS('Disbursements Summary'!$E:$E,'Disbursements Summary'!$C:$C,$C132,'Disbursements Summary'!$A:$A,"RPCI")</f>
        <v>0</v>
      </c>
      <c r="GD132" s="55">
        <f>SUMIFS('Awards Summary'!$H:$H,'Awards Summary'!$B:$B,$C132,'Awards Summary'!$J:$J,"SMDA")</f>
        <v>0</v>
      </c>
      <c r="GE132" s="55">
        <f>SUMIFS('Disbursements Summary'!$E:$E,'Disbursements Summary'!$C:$C,$C132,'Disbursements Summary'!$A:$A,"SMDA")</f>
        <v>0</v>
      </c>
      <c r="GF132" s="55">
        <f>SUMIFS('Awards Summary'!$H:$H,'Awards Summary'!$B:$B,$C132,'Awards Summary'!$J:$J,"SCOC")</f>
        <v>0</v>
      </c>
      <c r="GG132" s="55">
        <f>SUMIFS('Disbursements Summary'!$E:$E,'Disbursements Summary'!$C:$C,$C132,'Disbursements Summary'!$A:$A,"SCOC")</f>
        <v>0</v>
      </c>
      <c r="GH132" s="55">
        <f>SUMIFS('Awards Summary'!$H:$H,'Awards Summary'!$B:$B,$C132,'Awards Summary'!$J:$J,"SUCF")</f>
        <v>0</v>
      </c>
      <c r="GI132" s="55">
        <f>SUMIFS('Disbursements Summary'!$E:$E,'Disbursements Summary'!$C:$C,$C132,'Disbursements Summary'!$A:$A,"SUCF")</f>
        <v>0</v>
      </c>
      <c r="GJ132" s="55">
        <f>SUMIFS('Awards Summary'!$H:$H,'Awards Summary'!$B:$B,$C132,'Awards Summary'!$J:$J,"SUNY")</f>
        <v>0</v>
      </c>
      <c r="GK132" s="55">
        <f>SUMIFS('Disbursements Summary'!$E:$E,'Disbursements Summary'!$C:$C,$C132,'Disbursements Summary'!$A:$A,"SUNY")</f>
        <v>0</v>
      </c>
      <c r="GL132" s="55">
        <f>SUMIFS('Awards Summary'!$H:$H,'Awards Summary'!$B:$B,$C132,'Awards Summary'!$J:$J,"SRAA")</f>
        <v>0</v>
      </c>
      <c r="GM132" s="55">
        <f>SUMIFS('Disbursements Summary'!$E:$E,'Disbursements Summary'!$C:$C,$C132,'Disbursements Summary'!$A:$A,"SRAA")</f>
        <v>0</v>
      </c>
      <c r="GN132" s="55">
        <f>SUMIFS('Awards Summary'!$H:$H,'Awards Summary'!$B:$B,$C132,'Awards Summary'!$J:$J,"UNDC")</f>
        <v>0</v>
      </c>
      <c r="GO132" s="55">
        <f>SUMIFS('Disbursements Summary'!$E:$E,'Disbursements Summary'!$C:$C,$C132,'Disbursements Summary'!$A:$A,"UNDC")</f>
        <v>0</v>
      </c>
      <c r="GP132" s="55">
        <f>SUMIFS('Awards Summary'!$H:$H,'Awards Summary'!$B:$B,$C132,'Awards Summary'!$J:$J,"MVWA")</f>
        <v>0</v>
      </c>
      <c r="GQ132" s="55">
        <f>SUMIFS('Disbursements Summary'!$E:$E,'Disbursements Summary'!$C:$C,$C132,'Disbursements Summary'!$A:$A,"MVWA")</f>
        <v>0</v>
      </c>
      <c r="GR132" s="55">
        <f>SUMIFS('Awards Summary'!$H:$H,'Awards Summary'!$B:$B,$C132,'Awards Summary'!$J:$J,"WMC")</f>
        <v>0</v>
      </c>
      <c r="GS132" s="55">
        <f>SUMIFS('Disbursements Summary'!$E:$E,'Disbursements Summary'!$C:$C,$C132,'Disbursements Summary'!$A:$A,"WMC")</f>
        <v>0</v>
      </c>
      <c r="GT132" s="55">
        <f>SUMIFS('Awards Summary'!$H:$H,'Awards Summary'!$B:$B,$C132,'Awards Summary'!$J:$J,"WCB")</f>
        <v>0</v>
      </c>
      <c r="GU132" s="55">
        <f>SUMIFS('Disbursements Summary'!$E:$E,'Disbursements Summary'!$C:$C,$C132,'Disbursements Summary'!$A:$A,"WCB")</f>
        <v>0</v>
      </c>
      <c r="GV132" s="32">
        <f t="shared" si="10"/>
        <v>0</v>
      </c>
      <c r="GW132" s="32">
        <f t="shared" si="11"/>
        <v>0</v>
      </c>
      <c r="GX132" s="30" t="b">
        <f t="shared" si="12"/>
        <v>1</v>
      </c>
      <c r="GY132" s="30" t="b">
        <f t="shared" si="13"/>
        <v>1</v>
      </c>
    </row>
    <row r="133" spans="1:16384" s="61" customFormat="1">
      <c r="A133" s="22" t="str">
        <f t="shared" si="9"/>
        <v/>
      </c>
      <c r="B133" s="70" t="s">
        <v>459</v>
      </c>
      <c r="C133" s="65">
        <v>161355</v>
      </c>
      <c r="D133" s="66">
        <f>COUNTIF('Awards Summary'!B:B,"161355")</f>
        <v>0</v>
      </c>
      <c r="E133" s="67">
        <f>SUMIFS('Awards Summary'!H:H,'Awards Summary'!B:B,"161355")</f>
        <v>0</v>
      </c>
      <c r="F133" s="68">
        <f>SUMIFS('Disbursements Summary'!E:E,'Disbursements Summary'!C:C, "161355")</f>
        <v>0</v>
      </c>
      <c r="H133" s="55">
        <f>SUMIFS('Awards Summary'!$H:$H,'Awards Summary'!$B:$B,$C133,'Awards Summary'!$J:$J,"APA")</f>
        <v>0</v>
      </c>
      <c r="I133" s="55">
        <f>SUMIFS('Disbursements Summary'!$E:$E,'Disbursements Summary'!$C:$C,$C133,'Disbursements Summary'!$A:$A,"APA")</f>
        <v>0</v>
      </c>
      <c r="J133" s="55">
        <f>SUMIFS('Awards Summary'!$H:$H,'Awards Summary'!$B:$B,$C133,'Awards Summary'!$J:$J,"Ag&amp;Horse")</f>
        <v>0</v>
      </c>
      <c r="K133" s="55">
        <f>SUMIFS('Disbursements Summary'!$E:$E,'Disbursements Summary'!$C:$C,$C133,'Disbursements Summary'!$A:$A,"Ag&amp;Horse")</f>
        <v>0</v>
      </c>
      <c r="L133" s="55">
        <f>SUMIFS('Awards Summary'!$H:$H,'Awards Summary'!$B:$B,$C133,'Awards Summary'!$J:$J,"ACAA")</f>
        <v>0</v>
      </c>
      <c r="M133" s="55">
        <f>SUMIFS('Disbursements Summary'!$E:$E,'Disbursements Summary'!$C:$C,$C133,'Disbursements Summary'!$A:$A,"ACAA")</f>
        <v>0</v>
      </c>
      <c r="N133" s="55">
        <f>SUMIFS('Awards Summary'!$H:$H,'Awards Summary'!$B:$B,$C133,'Awards Summary'!$J:$J,"PortAlbany")</f>
        <v>0</v>
      </c>
      <c r="O133" s="55">
        <f>SUMIFS('Disbursements Summary'!$E:$E,'Disbursements Summary'!$C:$C,$C133,'Disbursements Summary'!$A:$A,"PortAlbany")</f>
        <v>0</v>
      </c>
      <c r="P133" s="55">
        <f>SUMIFS('Awards Summary'!$H:$H,'Awards Summary'!$B:$B,$C133,'Awards Summary'!$J:$J,"SLA")</f>
        <v>0</v>
      </c>
      <c r="Q133" s="55">
        <f>SUMIFS('Disbursements Summary'!$E:$E,'Disbursements Summary'!$C:$C,$C133,'Disbursements Summary'!$A:$A,"SLA")</f>
        <v>0</v>
      </c>
      <c r="R133" s="55">
        <f>SUMIFS('Awards Summary'!$H:$H,'Awards Summary'!$B:$B,$C133,'Awards Summary'!$J:$J,"BPCA")</f>
        <v>0</v>
      </c>
      <c r="S133" s="55">
        <f>SUMIFS('Disbursements Summary'!$E:$E,'Disbursements Summary'!$C:$C,$C133,'Disbursements Summary'!$A:$A,"BPCA")</f>
        <v>0</v>
      </c>
      <c r="T133" s="55">
        <f>SUMIFS('Awards Summary'!$H:$H,'Awards Summary'!$B:$B,$C133,'Awards Summary'!$J:$J,"ELECTIONS")</f>
        <v>0</v>
      </c>
      <c r="U133" s="55">
        <f>SUMIFS('Disbursements Summary'!$E:$E,'Disbursements Summary'!$C:$C,$C133,'Disbursements Summary'!$A:$A,"ELECTIONS")</f>
        <v>0</v>
      </c>
      <c r="V133" s="55">
        <f>SUMIFS('Awards Summary'!$H:$H,'Awards Summary'!$B:$B,$C133,'Awards Summary'!$J:$J,"BFSA")</f>
        <v>0</v>
      </c>
      <c r="W133" s="55">
        <f>SUMIFS('Disbursements Summary'!$E:$E,'Disbursements Summary'!$C:$C,$C133,'Disbursements Summary'!$A:$A,"BFSA")</f>
        <v>0</v>
      </c>
      <c r="X133" s="55">
        <f>SUMIFS('Awards Summary'!$H:$H,'Awards Summary'!$B:$B,$C133,'Awards Summary'!$J:$J,"CDTA")</f>
        <v>0</v>
      </c>
      <c r="Y133" s="55">
        <f>SUMIFS('Disbursements Summary'!$E:$E,'Disbursements Summary'!$C:$C,$C133,'Disbursements Summary'!$A:$A,"CDTA")</f>
        <v>0</v>
      </c>
      <c r="Z133" s="55">
        <f>SUMIFS('Awards Summary'!$H:$H,'Awards Summary'!$B:$B,$C133,'Awards Summary'!$J:$J,"CCWSA")</f>
        <v>0</v>
      </c>
      <c r="AA133" s="55">
        <f>SUMIFS('Disbursements Summary'!$E:$E,'Disbursements Summary'!$C:$C,$C133,'Disbursements Summary'!$A:$A,"CCWSA")</f>
        <v>0</v>
      </c>
      <c r="AB133" s="55">
        <f>SUMIFS('Awards Summary'!$H:$H,'Awards Summary'!$B:$B,$C133,'Awards Summary'!$J:$J,"CNYRTA")</f>
        <v>0</v>
      </c>
      <c r="AC133" s="55">
        <f>SUMIFS('Disbursements Summary'!$E:$E,'Disbursements Summary'!$C:$C,$C133,'Disbursements Summary'!$A:$A,"CNYRTA")</f>
        <v>0</v>
      </c>
      <c r="AD133" s="55">
        <f>SUMIFS('Awards Summary'!$H:$H,'Awards Summary'!$B:$B,$C133,'Awards Summary'!$J:$J,"CUCF")</f>
        <v>0</v>
      </c>
      <c r="AE133" s="55">
        <f>SUMIFS('Disbursements Summary'!$E:$E,'Disbursements Summary'!$C:$C,$C133,'Disbursements Summary'!$A:$A,"CUCF")</f>
        <v>0</v>
      </c>
      <c r="AF133" s="55">
        <f>SUMIFS('Awards Summary'!$H:$H,'Awards Summary'!$B:$B,$C133,'Awards Summary'!$J:$J,"CUNY")</f>
        <v>0</v>
      </c>
      <c r="AG133" s="55">
        <f>SUMIFS('Disbursements Summary'!$E:$E,'Disbursements Summary'!$C:$C,$C133,'Disbursements Summary'!$A:$A,"CUNY")</f>
        <v>0</v>
      </c>
      <c r="AH133" s="55">
        <f>SUMIFS('Awards Summary'!$H:$H,'Awards Summary'!$B:$B,$C133,'Awards Summary'!$J:$J,"ARTS")</f>
        <v>0</v>
      </c>
      <c r="AI133" s="55">
        <f>SUMIFS('Disbursements Summary'!$E:$E,'Disbursements Summary'!$C:$C,$C133,'Disbursements Summary'!$A:$A,"ARTS")</f>
        <v>0</v>
      </c>
      <c r="AJ133" s="55">
        <f>SUMIFS('Awards Summary'!$H:$H,'Awards Summary'!$B:$B,$C133,'Awards Summary'!$J:$J,"AG&amp;MKTS")</f>
        <v>0</v>
      </c>
      <c r="AK133" s="55">
        <f>SUMIFS('Disbursements Summary'!$E:$E,'Disbursements Summary'!$C:$C,$C133,'Disbursements Summary'!$A:$A,"AG&amp;MKTS")</f>
        <v>0</v>
      </c>
      <c r="AL133" s="55">
        <f>SUMIFS('Awards Summary'!$H:$H,'Awards Summary'!$B:$B,$C133,'Awards Summary'!$J:$J,"CS")</f>
        <v>0</v>
      </c>
      <c r="AM133" s="55">
        <f>SUMIFS('Disbursements Summary'!$E:$E,'Disbursements Summary'!$C:$C,$C133,'Disbursements Summary'!$A:$A,"CS")</f>
        <v>0</v>
      </c>
      <c r="AN133" s="55">
        <f>SUMIFS('Awards Summary'!$H:$H,'Awards Summary'!$B:$B,$C133,'Awards Summary'!$J:$J,"DOCCS")</f>
        <v>0</v>
      </c>
      <c r="AO133" s="55">
        <f>SUMIFS('Disbursements Summary'!$E:$E,'Disbursements Summary'!$C:$C,$C133,'Disbursements Summary'!$A:$A,"DOCCS")</f>
        <v>0</v>
      </c>
      <c r="AP133" s="55">
        <f>SUMIFS('Awards Summary'!$H:$H,'Awards Summary'!$B:$B,$C133,'Awards Summary'!$J:$J,"DED")</f>
        <v>0</v>
      </c>
      <c r="AQ133" s="55">
        <f>SUMIFS('Disbursements Summary'!$E:$E,'Disbursements Summary'!$C:$C,$C133,'Disbursements Summary'!$A:$A,"DED")</f>
        <v>0</v>
      </c>
      <c r="AR133" s="55">
        <f>SUMIFS('Awards Summary'!$H:$H,'Awards Summary'!$B:$B,$C133,'Awards Summary'!$J:$J,"DEC")</f>
        <v>0</v>
      </c>
      <c r="AS133" s="55">
        <f>SUMIFS('Disbursements Summary'!$E:$E,'Disbursements Summary'!$C:$C,$C133,'Disbursements Summary'!$A:$A,"DEC")</f>
        <v>0</v>
      </c>
      <c r="AT133" s="55">
        <f>SUMIFS('Awards Summary'!$H:$H,'Awards Summary'!$B:$B,$C133,'Awards Summary'!$J:$J,"DFS")</f>
        <v>0</v>
      </c>
      <c r="AU133" s="55">
        <f>SUMIFS('Disbursements Summary'!$E:$E,'Disbursements Summary'!$C:$C,$C133,'Disbursements Summary'!$A:$A,"DFS")</f>
        <v>0</v>
      </c>
      <c r="AV133" s="55">
        <f>SUMIFS('Awards Summary'!$H:$H,'Awards Summary'!$B:$B,$C133,'Awards Summary'!$J:$J,"DOH")</f>
        <v>0</v>
      </c>
      <c r="AW133" s="55">
        <f>SUMIFS('Disbursements Summary'!$E:$E,'Disbursements Summary'!$C:$C,$C133,'Disbursements Summary'!$A:$A,"DOH")</f>
        <v>0</v>
      </c>
      <c r="AX133" s="55">
        <f>SUMIFS('Awards Summary'!$H:$H,'Awards Summary'!$B:$B,$C133,'Awards Summary'!$J:$J,"DOL")</f>
        <v>0</v>
      </c>
      <c r="AY133" s="55">
        <f>SUMIFS('Disbursements Summary'!$E:$E,'Disbursements Summary'!$C:$C,$C133,'Disbursements Summary'!$A:$A,"DOL")</f>
        <v>0</v>
      </c>
      <c r="AZ133" s="55">
        <f>SUMIFS('Awards Summary'!$H:$H,'Awards Summary'!$B:$B,$C133,'Awards Summary'!$J:$J,"DMV")</f>
        <v>0</v>
      </c>
      <c r="BA133" s="55">
        <f>SUMIFS('Disbursements Summary'!$E:$E,'Disbursements Summary'!$C:$C,$C133,'Disbursements Summary'!$A:$A,"DMV")</f>
        <v>0</v>
      </c>
      <c r="BB133" s="55">
        <f>SUMIFS('Awards Summary'!$H:$H,'Awards Summary'!$B:$B,$C133,'Awards Summary'!$J:$J,"DPS")</f>
        <v>0</v>
      </c>
      <c r="BC133" s="55">
        <f>SUMIFS('Disbursements Summary'!$E:$E,'Disbursements Summary'!$C:$C,$C133,'Disbursements Summary'!$A:$A,"DPS")</f>
        <v>0</v>
      </c>
      <c r="BD133" s="55">
        <f>SUMIFS('Awards Summary'!$H:$H,'Awards Summary'!$B:$B,$C133,'Awards Summary'!$J:$J,"DOS")</f>
        <v>0</v>
      </c>
      <c r="BE133" s="55">
        <f>SUMIFS('Disbursements Summary'!$E:$E,'Disbursements Summary'!$C:$C,$C133,'Disbursements Summary'!$A:$A,"DOS")</f>
        <v>0</v>
      </c>
      <c r="BF133" s="55">
        <f>SUMIFS('Awards Summary'!$H:$H,'Awards Summary'!$B:$B,$C133,'Awards Summary'!$J:$J,"TAX")</f>
        <v>0</v>
      </c>
      <c r="BG133" s="55">
        <f>SUMIFS('Disbursements Summary'!$E:$E,'Disbursements Summary'!$C:$C,$C133,'Disbursements Summary'!$A:$A,"TAX")</f>
        <v>0</v>
      </c>
      <c r="BH133" s="55">
        <f>SUMIFS('Awards Summary'!$H:$H,'Awards Summary'!$B:$B,$C133,'Awards Summary'!$J:$J,"DOT")</f>
        <v>0</v>
      </c>
      <c r="BI133" s="55">
        <f>SUMIFS('Disbursements Summary'!$E:$E,'Disbursements Summary'!$C:$C,$C133,'Disbursements Summary'!$A:$A,"DOT")</f>
        <v>0</v>
      </c>
      <c r="BJ133" s="55">
        <f>SUMIFS('Awards Summary'!$H:$H,'Awards Summary'!$B:$B,$C133,'Awards Summary'!$J:$J,"DANC")</f>
        <v>0</v>
      </c>
      <c r="BK133" s="55">
        <f>SUMIFS('Disbursements Summary'!$E:$E,'Disbursements Summary'!$C:$C,$C133,'Disbursements Summary'!$A:$A,"DANC")</f>
        <v>0</v>
      </c>
      <c r="BL133" s="55">
        <f>SUMIFS('Awards Summary'!$H:$H,'Awards Summary'!$B:$B,$C133,'Awards Summary'!$J:$J,"DOB")</f>
        <v>0</v>
      </c>
      <c r="BM133" s="55">
        <f>SUMIFS('Disbursements Summary'!$E:$E,'Disbursements Summary'!$C:$C,$C133,'Disbursements Summary'!$A:$A,"DOB")</f>
        <v>0</v>
      </c>
      <c r="BN133" s="55">
        <f>SUMIFS('Awards Summary'!$H:$H,'Awards Summary'!$B:$B,$C133,'Awards Summary'!$J:$J,"DCJS")</f>
        <v>0</v>
      </c>
      <c r="BO133" s="55">
        <f>SUMIFS('Disbursements Summary'!$E:$E,'Disbursements Summary'!$C:$C,$C133,'Disbursements Summary'!$A:$A,"DCJS")</f>
        <v>0</v>
      </c>
      <c r="BP133" s="55">
        <f>SUMIFS('Awards Summary'!$H:$H,'Awards Summary'!$B:$B,$C133,'Awards Summary'!$J:$J,"DHSES")</f>
        <v>0</v>
      </c>
      <c r="BQ133" s="55">
        <f>SUMIFS('Disbursements Summary'!$E:$E,'Disbursements Summary'!$C:$C,$C133,'Disbursements Summary'!$A:$A,"DHSES")</f>
        <v>0</v>
      </c>
      <c r="BR133" s="55">
        <f>SUMIFS('Awards Summary'!$H:$H,'Awards Summary'!$B:$B,$C133,'Awards Summary'!$J:$J,"DHR")</f>
        <v>0</v>
      </c>
      <c r="BS133" s="55">
        <f>SUMIFS('Disbursements Summary'!$E:$E,'Disbursements Summary'!$C:$C,$C133,'Disbursements Summary'!$A:$A,"DHR")</f>
        <v>0</v>
      </c>
      <c r="BT133" s="55">
        <f>SUMIFS('Awards Summary'!$H:$H,'Awards Summary'!$B:$B,$C133,'Awards Summary'!$J:$J,"DMNA")</f>
        <v>0</v>
      </c>
      <c r="BU133" s="55">
        <f>SUMIFS('Disbursements Summary'!$E:$E,'Disbursements Summary'!$C:$C,$C133,'Disbursements Summary'!$A:$A,"DMNA")</f>
        <v>0</v>
      </c>
      <c r="BV133" s="55">
        <f>SUMIFS('Awards Summary'!$H:$H,'Awards Summary'!$B:$B,$C133,'Awards Summary'!$J:$J,"TROOPERS")</f>
        <v>0</v>
      </c>
      <c r="BW133" s="55">
        <f>SUMIFS('Disbursements Summary'!$E:$E,'Disbursements Summary'!$C:$C,$C133,'Disbursements Summary'!$A:$A,"TROOPERS")</f>
        <v>0</v>
      </c>
      <c r="BX133" s="55">
        <f>SUMIFS('Awards Summary'!$H:$H,'Awards Summary'!$B:$B,$C133,'Awards Summary'!$J:$J,"DVA")</f>
        <v>0</v>
      </c>
      <c r="BY133" s="55">
        <f>SUMIFS('Disbursements Summary'!$E:$E,'Disbursements Summary'!$C:$C,$C133,'Disbursements Summary'!$A:$A,"DVA")</f>
        <v>0</v>
      </c>
      <c r="BZ133" s="55">
        <f>SUMIFS('Awards Summary'!$H:$H,'Awards Summary'!$B:$B,$C133,'Awards Summary'!$J:$J,"DASNY")</f>
        <v>0</v>
      </c>
      <c r="CA133" s="55">
        <f>SUMIFS('Disbursements Summary'!$E:$E,'Disbursements Summary'!$C:$C,$C133,'Disbursements Summary'!$A:$A,"DASNY")</f>
        <v>0</v>
      </c>
      <c r="CB133" s="55">
        <f>SUMIFS('Awards Summary'!$H:$H,'Awards Summary'!$B:$B,$C133,'Awards Summary'!$J:$J,"EGG")</f>
        <v>0</v>
      </c>
      <c r="CC133" s="55">
        <f>SUMIFS('Disbursements Summary'!$E:$E,'Disbursements Summary'!$C:$C,$C133,'Disbursements Summary'!$A:$A,"EGG")</f>
        <v>0</v>
      </c>
      <c r="CD133" s="55">
        <f>SUMIFS('Awards Summary'!$H:$H,'Awards Summary'!$B:$B,$C133,'Awards Summary'!$J:$J,"ESD")</f>
        <v>0</v>
      </c>
      <c r="CE133" s="55">
        <f>SUMIFS('Disbursements Summary'!$E:$E,'Disbursements Summary'!$C:$C,$C133,'Disbursements Summary'!$A:$A,"ESD")</f>
        <v>0</v>
      </c>
      <c r="CF133" s="55">
        <f>SUMIFS('Awards Summary'!$H:$H,'Awards Summary'!$B:$B,$C133,'Awards Summary'!$J:$J,"EFC")</f>
        <v>0</v>
      </c>
      <c r="CG133" s="55">
        <f>SUMIFS('Disbursements Summary'!$E:$E,'Disbursements Summary'!$C:$C,$C133,'Disbursements Summary'!$A:$A,"EFC")</f>
        <v>0</v>
      </c>
      <c r="CH133" s="55">
        <f>SUMIFS('Awards Summary'!$H:$H,'Awards Summary'!$B:$B,$C133,'Awards Summary'!$J:$J,"ECFSA")</f>
        <v>0</v>
      </c>
      <c r="CI133" s="55">
        <f>SUMIFS('Disbursements Summary'!$E:$E,'Disbursements Summary'!$C:$C,$C133,'Disbursements Summary'!$A:$A,"ECFSA")</f>
        <v>0</v>
      </c>
      <c r="CJ133" s="55">
        <f>SUMIFS('Awards Summary'!$H:$H,'Awards Summary'!$B:$B,$C133,'Awards Summary'!$J:$J,"ECMC")</f>
        <v>0</v>
      </c>
      <c r="CK133" s="55">
        <f>SUMIFS('Disbursements Summary'!$E:$E,'Disbursements Summary'!$C:$C,$C133,'Disbursements Summary'!$A:$A,"ECMC")</f>
        <v>0</v>
      </c>
      <c r="CL133" s="55">
        <f>SUMIFS('Awards Summary'!$H:$H,'Awards Summary'!$B:$B,$C133,'Awards Summary'!$J:$J,"CHAMBER")</f>
        <v>0</v>
      </c>
      <c r="CM133" s="55">
        <f>SUMIFS('Disbursements Summary'!$E:$E,'Disbursements Summary'!$C:$C,$C133,'Disbursements Summary'!$A:$A,"CHAMBER")</f>
        <v>0</v>
      </c>
      <c r="CN133" s="55">
        <f>SUMIFS('Awards Summary'!$H:$H,'Awards Summary'!$B:$B,$C133,'Awards Summary'!$J:$J,"GAMING")</f>
        <v>0</v>
      </c>
      <c r="CO133" s="55">
        <f>SUMIFS('Disbursements Summary'!$E:$E,'Disbursements Summary'!$C:$C,$C133,'Disbursements Summary'!$A:$A,"GAMING")</f>
        <v>0</v>
      </c>
      <c r="CP133" s="55">
        <f>SUMIFS('Awards Summary'!$H:$H,'Awards Summary'!$B:$B,$C133,'Awards Summary'!$J:$J,"GOER")</f>
        <v>0</v>
      </c>
      <c r="CQ133" s="55">
        <f>SUMIFS('Disbursements Summary'!$E:$E,'Disbursements Summary'!$C:$C,$C133,'Disbursements Summary'!$A:$A,"GOER")</f>
        <v>0</v>
      </c>
      <c r="CR133" s="55">
        <f>SUMIFS('Awards Summary'!$H:$H,'Awards Summary'!$B:$B,$C133,'Awards Summary'!$J:$J,"HESC")</f>
        <v>0</v>
      </c>
      <c r="CS133" s="55">
        <f>SUMIFS('Disbursements Summary'!$E:$E,'Disbursements Summary'!$C:$C,$C133,'Disbursements Summary'!$A:$A,"HESC")</f>
        <v>0</v>
      </c>
      <c r="CT133" s="55">
        <f>SUMIFS('Awards Summary'!$H:$H,'Awards Summary'!$B:$B,$C133,'Awards Summary'!$J:$J,"GOSR")</f>
        <v>0</v>
      </c>
      <c r="CU133" s="55">
        <f>SUMIFS('Disbursements Summary'!$E:$E,'Disbursements Summary'!$C:$C,$C133,'Disbursements Summary'!$A:$A,"GOSR")</f>
        <v>0</v>
      </c>
      <c r="CV133" s="55">
        <f>SUMIFS('Awards Summary'!$H:$H,'Awards Summary'!$B:$B,$C133,'Awards Summary'!$J:$J,"HRPT")</f>
        <v>0</v>
      </c>
      <c r="CW133" s="55">
        <f>SUMIFS('Disbursements Summary'!$E:$E,'Disbursements Summary'!$C:$C,$C133,'Disbursements Summary'!$A:$A,"HRPT")</f>
        <v>0</v>
      </c>
      <c r="CX133" s="55">
        <f>SUMIFS('Awards Summary'!$H:$H,'Awards Summary'!$B:$B,$C133,'Awards Summary'!$J:$J,"HRBRRD")</f>
        <v>0</v>
      </c>
      <c r="CY133" s="55">
        <f>SUMIFS('Disbursements Summary'!$E:$E,'Disbursements Summary'!$C:$C,$C133,'Disbursements Summary'!$A:$A,"HRBRRD")</f>
        <v>0</v>
      </c>
      <c r="CZ133" s="55">
        <f>SUMIFS('Awards Summary'!$H:$H,'Awards Summary'!$B:$B,$C133,'Awards Summary'!$J:$J,"ITS")</f>
        <v>0</v>
      </c>
      <c r="DA133" s="55">
        <f>SUMIFS('Disbursements Summary'!$E:$E,'Disbursements Summary'!$C:$C,$C133,'Disbursements Summary'!$A:$A,"ITS")</f>
        <v>0</v>
      </c>
      <c r="DB133" s="55">
        <f>SUMIFS('Awards Summary'!$H:$H,'Awards Summary'!$B:$B,$C133,'Awards Summary'!$J:$J,"JAVITS")</f>
        <v>0</v>
      </c>
      <c r="DC133" s="55">
        <f>SUMIFS('Disbursements Summary'!$E:$E,'Disbursements Summary'!$C:$C,$C133,'Disbursements Summary'!$A:$A,"JAVITS")</f>
        <v>0</v>
      </c>
      <c r="DD133" s="55">
        <f>SUMIFS('Awards Summary'!$H:$H,'Awards Summary'!$B:$B,$C133,'Awards Summary'!$J:$J,"JCOPE")</f>
        <v>0</v>
      </c>
      <c r="DE133" s="55">
        <f>SUMIFS('Disbursements Summary'!$E:$E,'Disbursements Summary'!$C:$C,$C133,'Disbursements Summary'!$A:$A,"JCOPE")</f>
        <v>0</v>
      </c>
      <c r="DF133" s="55">
        <f>SUMIFS('Awards Summary'!$H:$H,'Awards Summary'!$B:$B,$C133,'Awards Summary'!$J:$J,"JUSTICE")</f>
        <v>0</v>
      </c>
      <c r="DG133" s="55">
        <f>SUMIFS('Disbursements Summary'!$E:$E,'Disbursements Summary'!$C:$C,$C133,'Disbursements Summary'!$A:$A,"JUSTICE")</f>
        <v>0</v>
      </c>
      <c r="DH133" s="55">
        <f>SUMIFS('Awards Summary'!$H:$H,'Awards Summary'!$B:$B,$C133,'Awards Summary'!$J:$J,"LCWSA")</f>
        <v>0</v>
      </c>
      <c r="DI133" s="55">
        <f>SUMIFS('Disbursements Summary'!$E:$E,'Disbursements Summary'!$C:$C,$C133,'Disbursements Summary'!$A:$A,"LCWSA")</f>
        <v>0</v>
      </c>
      <c r="DJ133" s="55">
        <f>SUMIFS('Awards Summary'!$H:$H,'Awards Summary'!$B:$B,$C133,'Awards Summary'!$J:$J,"LIPA")</f>
        <v>0</v>
      </c>
      <c r="DK133" s="55">
        <f>SUMIFS('Disbursements Summary'!$E:$E,'Disbursements Summary'!$C:$C,$C133,'Disbursements Summary'!$A:$A,"LIPA")</f>
        <v>0</v>
      </c>
      <c r="DL133" s="55">
        <f>SUMIFS('Awards Summary'!$H:$H,'Awards Summary'!$B:$B,$C133,'Awards Summary'!$J:$J,"MTA")</f>
        <v>0</v>
      </c>
      <c r="DM133" s="55">
        <f>SUMIFS('Disbursements Summary'!$E:$E,'Disbursements Summary'!$C:$C,$C133,'Disbursements Summary'!$A:$A,"MTA")</f>
        <v>0</v>
      </c>
      <c r="DN133" s="55">
        <f>SUMIFS('Awards Summary'!$H:$H,'Awards Summary'!$B:$B,$C133,'Awards Summary'!$J:$J,"NIFA")</f>
        <v>0</v>
      </c>
      <c r="DO133" s="55">
        <f>SUMIFS('Disbursements Summary'!$E:$E,'Disbursements Summary'!$C:$C,$C133,'Disbursements Summary'!$A:$A,"NIFA")</f>
        <v>0</v>
      </c>
      <c r="DP133" s="55">
        <f>SUMIFS('Awards Summary'!$H:$H,'Awards Summary'!$B:$B,$C133,'Awards Summary'!$J:$J,"NHCC")</f>
        <v>0</v>
      </c>
      <c r="DQ133" s="55">
        <f>SUMIFS('Disbursements Summary'!$E:$E,'Disbursements Summary'!$C:$C,$C133,'Disbursements Summary'!$A:$A,"NHCC")</f>
        <v>0</v>
      </c>
      <c r="DR133" s="55">
        <f>SUMIFS('Awards Summary'!$H:$H,'Awards Summary'!$B:$B,$C133,'Awards Summary'!$J:$J,"NHT")</f>
        <v>0</v>
      </c>
      <c r="DS133" s="55">
        <f>SUMIFS('Disbursements Summary'!$E:$E,'Disbursements Summary'!$C:$C,$C133,'Disbursements Summary'!$A:$A,"NHT")</f>
        <v>0</v>
      </c>
      <c r="DT133" s="55">
        <f>SUMIFS('Awards Summary'!$H:$H,'Awards Summary'!$B:$B,$C133,'Awards Summary'!$J:$J,"NYPA")</f>
        <v>0</v>
      </c>
      <c r="DU133" s="55">
        <f>SUMIFS('Disbursements Summary'!$E:$E,'Disbursements Summary'!$C:$C,$C133,'Disbursements Summary'!$A:$A,"NYPA")</f>
        <v>0</v>
      </c>
      <c r="DV133" s="55">
        <f>SUMIFS('Awards Summary'!$H:$H,'Awards Summary'!$B:$B,$C133,'Awards Summary'!$J:$J,"NYSBA")</f>
        <v>0</v>
      </c>
      <c r="DW133" s="55">
        <f>SUMIFS('Disbursements Summary'!$E:$E,'Disbursements Summary'!$C:$C,$C133,'Disbursements Summary'!$A:$A,"NYSBA")</f>
        <v>0</v>
      </c>
      <c r="DX133" s="55">
        <f>SUMIFS('Awards Summary'!$H:$H,'Awards Summary'!$B:$B,$C133,'Awards Summary'!$J:$J,"NYSERDA")</f>
        <v>0</v>
      </c>
      <c r="DY133" s="55">
        <f>SUMIFS('Disbursements Summary'!$E:$E,'Disbursements Summary'!$C:$C,$C133,'Disbursements Summary'!$A:$A,"NYSERDA")</f>
        <v>0</v>
      </c>
      <c r="DZ133" s="55">
        <f>SUMIFS('Awards Summary'!$H:$H,'Awards Summary'!$B:$B,$C133,'Awards Summary'!$J:$J,"DHCR")</f>
        <v>0</v>
      </c>
      <c r="EA133" s="55">
        <f>SUMIFS('Disbursements Summary'!$E:$E,'Disbursements Summary'!$C:$C,$C133,'Disbursements Summary'!$A:$A,"DHCR")</f>
        <v>0</v>
      </c>
      <c r="EB133" s="55">
        <f>SUMIFS('Awards Summary'!$H:$H,'Awards Summary'!$B:$B,$C133,'Awards Summary'!$J:$J,"HFA")</f>
        <v>0</v>
      </c>
      <c r="EC133" s="55">
        <f>SUMIFS('Disbursements Summary'!$E:$E,'Disbursements Summary'!$C:$C,$C133,'Disbursements Summary'!$A:$A,"HFA")</f>
        <v>0</v>
      </c>
      <c r="ED133" s="55">
        <f>SUMIFS('Awards Summary'!$H:$H,'Awards Summary'!$B:$B,$C133,'Awards Summary'!$J:$J,"NYSIF")</f>
        <v>0</v>
      </c>
      <c r="EE133" s="55">
        <f>SUMIFS('Disbursements Summary'!$E:$E,'Disbursements Summary'!$C:$C,$C133,'Disbursements Summary'!$A:$A,"NYSIF")</f>
        <v>0</v>
      </c>
      <c r="EF133" s="55">
        <f>SUMIFS('Awards Summary'!$H:$H,'Awards Summary'!$B:$B,$C133,'Awards Summary'!$J:$J,"NYBREDS")</f>
        <v>0</v>
      </c>
      <c r="EG133" s="55">
        <f>SUMIFS('Disbursements Summary'!$E:$E,'Disbursements Summary'!$C:$C,$C133,'Disbursements Summary'!$A:$A,"NYBREDS")</f>
        <v>0</v>
      </c>
      <c r="EH133" s="55">
        <f>SUMIFS('Awards Summary'!$H:$H,'Awards Summary'!$B:$B,$C133,'Awards Summary'!$J:$J,"NYSTA")</f>
        <v>0</v>
      </c>
      <c r="EI133" s="55">
        <f>SUMIFS('Disbursements Summary'!$E:$E,'Disbursements Summary'!$C:$C,$C133,'Disbursements Summary'!$A:$A,"NYSTA")</f>
        <v>0</v>
      </c>
      <c r="EJ133" s="55">
        <f>SUMIFS('Awards Summary'!$H:$H,'Awards Summary'!$B:$B,$C133,'Awards Summary'!$J:$J,"NFWB")</f>
        <v>0</v>
      </c>
      <c r="EK133" s="55">
        <f>SUMIFS('Disbursements Summary'!$E:$E,'Disbursements Summary'!$C:$C,$C133,'Disbursements Summary'!$A:$A,"NFWB")</f>
        <v>0</v>
      </c>
      <c r="EL133" s="55">
        <f>SUMIFS('Awards Summary'!$H:$H,'Awards Summary'!$B:$B,$C133,'Awards Summary'!$J:$J,"NFTA")</f>
        <v>0</v>
      </c>
      <c r="EM133" s="55">
        <f>SUMIFS('Disbursements Summary'!$E:$E,'Disbursements Summary'!$C:$C,$C133,'Disbursements Summary'!$A:$A,"NFTA")</f>
        <v>0</v>
      </c>
      <c r="EN133" s="55">
        <f>SUMIFS('Awards Summary'!$H:$H,'Awards Summary'!$B:$B,$C133,'Awards Summary'!$J:$J,"OPWDD")</f>
        <v>0</v>
      </c>
      <c r="EO133" s="55">
        <f>SUMIFS('Disbursements Summary'!$E:$E,'Disbursements Summary'!$C:$C,$C133,'Disbursements Summary'!$A:$A,"OPWDD")</f>
        <v>0</v>
      </c>
      <c r="EP133" s="55">
        <f>SUMIFS('Awards Summary'!$H:$H,'Awards Summary'!$B:$B,$C133,'Awards Summary'!$J:$J,"AGING")</f>
        <v>0</v>
      </c>
      <c r="EQ133" s="55">
        <f>SUMIFS('Disbursements Summary'!$E:$E,'Disbursements Summary'!$C:$C,$C133,'Disbursements Summary'!$A:$A,"AGING")</f>
        <v>0</v>
      </c>
      <c r="ER133" s="55">
        <f>SUMIFS('Awards Summary'!$H:$H,'Awards Summary'!$B:$B,$C133,'Awards Summary'!$J:$J,"OPDV")</f>
        <v>0</v>
      </c>
      <c r="ES133" s="55">
        <f>SUMIFS('Disbursements Summary'!$E:$E,'Disbursements Summary'!$C:$C,$C133,'Disbursements Summary'!$A:$A,"OPDV")</f>
        <v>0</v>
      </c>
      <c r="ET133" s="55">
        <f>SUMIFS('Awards Summary'!$H:$H,'Awards Summary'!$B:$B,$C133,'Awards Summary'!$J:$J,"OVS")</f>
        <v>0</v>
      </c>
      <c r="EU133" s="55">
        <f>SUMIFS('Disbursements Summary'!$E:$E,'Disbursements Summary'!$C:$C,$C133,'Disbursements Summary'!$A:$A,"OVS")</f>
        <v>0</v>
      </c>
      <c r="EV133" s="55">
        <f>SUMIFS('Awards Summary'!$H:$H,'Awards Summary'!$B:$B,$C133,'Awards Summary'!$J:$J,"OASAS")</f>
        <v>0</v>
      </c>
      <c r="EW133" s="55">
        <f>SUMIFS('Disbursements Summary'!$E:$E,'Disbursements Summary'!$C:$C,$C133,'Disbursements Summary'!$A:$A,"OASAS")</f>
        <v>0</v>
      </c>
      <c r="EX133" s="55">
        <f>SUMIFS('Awards Summary'!$H:$H,'Awards Summary'!$B:$B,$C133,'Awards Summary'!$J:$J,"OCFS")</f>
        <v>0</v>
      </c>
      <c r="EY133" s="55">
        <f>SUMIFS('Disbursements Summary'!$E:$E,'Disbursements Summary'!$C:$C,$C133,'Disbursements Summary'!$A:$A,"OCFS")</f>
        <v>0</v>
      </c>
      <c r="EZ133" s="55">
        <f>SUMIFS('Awards Summary'!$H:$H,'Awards Summary'!$B:$B,$C133,'Awards Summary'!$J:$J,"OGS")</f>
        <v>0</v>
      </c>
      <c r="FA133" s="55">
        <f>SUMIFS('Disbursements Summary'!$E:$E,'Disbursements Summary'!$C:$C,$C133,'Disbursements Summary'!$A:$A,"OGS")</f>
        <v>0</v>
      </c>
      <c r="FB133" s="55">
        <f>SUMIFS('Awards Summary'!$H:$H,'Awards Summary'!$B:$B,$C133,'Awards Summary'!$J:$J,"OMH")</f>
        <v>0</v>
      </c>
      <c r="FC133" s="55">
        <f>SUMIFS('Disbursements Summary'!$E:$E,'Disbursements Summary'!$C:$C,$C133,'Disbursements Summary'!$A:$A,"OMH")</f>
        <v>0</v>
      </c>
      <c r="FD133" s="55">
        <f>SUMIFS('Awards Summary'!$H:$H,'Awards Summary'!$B:$B,$C133,'Awards Summary'!$J:$J,"PARKS")</f>
        <v>0</v>
      </c>
      <c r="FE133" s="55">
        <f>SUMIFS('Disbursements Summary'!$E:$E,'Disbursements Summary'!$C:$C,$C133,'Disbursements Summary'!$A:$A,"PARKS")</f>
        <v>0</v>
      </c>
      <c r="FF133" s="55">
        <f>SUMIFS('Awards Summary'!$H:$H,'Awards Summary'!$B:$B,$C133,'Awards Summary'!$J:$J,"OTDA")</f>
        <v>0</v>
      </c>
      <c r="FG133" s="55">
        <f>SUMIFS('Disbursements Summary'!$E:$E,'Disbursements Summary'!$C:$C,$C133,'Disbursements Summary'!$A:$A,"OTDA")</f>
        <v>0</v>
      </c>
      <c r="FH133" s="55">
        <f>SUMIFS('Awards Summary'!$H:$H,'Awards Summary'!$B:$B,$C133,'Awards Summary'!$J:$J,"OIG")</f>
        <v>0</v>
      </c>
      <c r="FI133" s="55">
        <f>SUMIFS('Disbursements Summary'!$E:$E,'Disbursements Summary'!$C:$C,$C133,'Disbursements Summary'!$A:$A,"OIG")</f>
        <v>0</v>
      </c>
      <c r="FJ133" s="55">
        <f>SUMIFS('Awards Summary'!$H:$H,'Awards Summary'!$B:$B,$C133,'Awards Summary'!$J:$J,"OMIG")</f>
        <v>0</v>
      </c>
      <c r="FK133" s="55">
        <f>SUMIFS('Disbursements Summary'!$E:$E,'Disbursements Summary'!$C:$C,$C133,'Disbursements Summary'!$A:$A,"OMIG")</f>
        <v>0</v>
      </c>
      <c r="FL133" s="55">
        <f>SUMIFS('Awards Summary'!$H:$H,'Awards Summary'!$B:$B,$C133,'Awards Summary'!$J:$J,"OSC")</f>
        <v>0</v>
      </c>
      <c r="FM133" s="55">
        <f>SUMIFS('Disbursements Summary'!$E:$E,'Disbursements Summary'!$C:$C,$C133,'Disbursements Summary'!$A:$A,"OSC")</f>
        <v>0</v>
      </c>
      <c r="FN133" s="55">
        <f>SUMIFS('Awards Summary'!$H:$H,'Awards Summary'!$B:$B,$C133,'Awards Summary'!$J:$J,"OWIG")</f>
        <v>0</v>
      </c>
      <c r="FO133" s="55">
        <f>SUMIFS('Disbursements Summary'!$E:$E,'Disbursements Summary'!$C:$C,$C133,'Disbursements Summary'!$A:$A,"OWIG")</f>
        <v>0</v>
      </c>
      <c r="FP133" s="55">
        <f>SUMIFS('Awards Summary'!$H:$H,'Awards Summary'!$B:$B,$C133,'Awards Summary'!$J:$J,"OGDEN")</f>
        <v>0</v>
      </c>
      <c r="FQ133" s="55">
        <f>SUMIFS('Disbursements Summary'!$E:$E,'Disbursements Summary'!$C:$C,$C133,'Disbursements Summary'!$A:$A,"OGDEN")</f>
        <v>0</v>
      </c>
      <c r="FR133" s="55">
        <f>SUMIFS('Awards Summary'!$H:$H,'Awards Summary'!$B:$B,$C133,'Awards Summary'!$J:$J,"ORDA")</f>
        <v>0</v>
      </c>
      <c r="FS133" s="55">
        <f>SUMIFS('Disbursements Summary'!$E:$E,'Disbursements Summary'!$C:$C,$C133,'Disbursements Summary'!$A:$A,"ORDA")</f>
        <v>0</v>
      </c>
      <c r="FT133" s="55">
        <f>SUMIFS('Awards Summary'!$H:$H,'Awards Summary'!$B:$B,$C133,'Awards Summary'!$J:$J,"OSWEGO")</f>
        <v>0</v>
      </c>
      <c r="FU133" s="55">
        <f>SUMIFS('Disbursements Summary'!$E:$E,'Disbursements Summary'!$C:$C,$C133,'Disbursements Summary'!$A:$A,"OSWEGO")</f>
        <v>0</v>
      </c>
      <c r="FV133" s="55">
        <f>SUMIFS('Awards Summary'!$H:$H,'Awards Summary'!$B:$B,$C133,'Awards Summary'!$J:$J,"PERB")</f>
        <v>0</v>
      </c>
      <c r="FW133" s="55">
        <f>SUMIFS('Disbursements Summary'!$E:$E,'Disbursements Summary'!$C:$C,$C133,'Disbursements Summary'!$A:$A,"PERB")</f>
        <v>0</v>
      </c>
      <c r="FX133" s="55">
        <f>SUMIFS('Awards Summary'!$H:$H,'Awards Summary'!$B:$B,$C133,'Awards Summary'!$J:$J,"RGRTA")</f>
        <v>0</v>
      </c>
      <c r="FY133" s="55">
        <f>SUMIFS('Disbursements Summary'!$E:$E,'Disbursements Summary'!$C:$C,$C133,'Disbursements Summary'!$A:$A,"RGRTA")</f>
        <v>0</v>
      </c>
      <c r="FZ133" s="55">
        <f>SUMIFS('Awards Summary'!$H:$H,'Awards Summary'!$B:$B,$C133,'Awards Summary'!$J:$J,"RIOC")</f>
        <v>0</v>
      </c>
      <c r="GA133" s="55">
        <f>SUMIFS('Disbursements Summary'!$E:$E,'Disbursements Summary'!$C:$C,$C133,'Disbursements Summary'!$A:$A,"RIOC")</f>
        <v>0</v>
      </c>
      <c r="GB133" s="55">
        <f>SUMIFS('Awards Summary'!$H:$H,'Awards Summary'!$B:$B,$C133,'Awards Summary'!$J:$J,"RPCI")</f>
        <v>0</v>
      </c>
      <c r="GC133" s="55">
        <f>SUMIFS('Disbursements Summary'!$E:$E,'Disbursements Summary'!$C:$C,$C133,'Disbursements Summary'!$A:$A,"RPCI")</f>
        <v>0</v>
      </c>
      <c r="GD133" s="55">
        <f>SUMIFS('Awards Summary'!$H:$H,'Awards Summary'!$B:$B,$C133,'Awards Summary'!$J:$J,"SMDA")</f>
        <v>0</v>
      </c>
      <c r="GE133" s="55">
        <f>SUMIFS('Disbursements Summary'!$E:$E,'Disbursements Summary'!$C:$C,$C133,'Disbursements Summary'!$A:$A,"SMDA")</f>
        <v>0</v>
      </c>
      <c r="GF133" s="55">
        <f>SUMIFS('Awards Summary'!$H:$H,'Awards Summary'!$B:$B,$C133,'Awards Summary'!$J:$J,"SCOC")</f>
        <v>0</v>
      </c>
      <c r="GG133" s="55">
        <f>SUMIFS('Disbursements Summary'!$E:$E,'Disbursements Summary'!$C:$C,$C133,'Disbursements Summary'!$A:$A,"SCOC")</f>
        <v>0</v>
      </c>
      <c r="GH133" s="55">
        <f>SUMIFS('Awards Summary'!$H:$H,'Awards Summary'!$B:$B,$C133,'Awards Summary'!$J:$J,"SUCF")</f>
        <v>0</v>
      </c>
      <c r="GI133" s="55">
        <f>SUMIFS('Disbursements Summary'!$E:$E,'Disbursements Summary'!$C:$C,$C133,'Disbursements Summary'!$A:$A,"SUCF")</f>
        <v>0</v>
      </c>
      <c r="GJ133" s="55">
        <f>SUMIFS('Awards Summary'!$H:$H,'Awards Summary'!$B:$B,$C133,'Awards Summary'!$J:$J,"SUNY")</f>
        <v>0</v>
      </c>
      <c r="GK133" s="55">
        <f>SUMIFS('Disbursements Summary'!$E:$E,'Disbursements Summary'!$C:$C,$C133,'Disbursements Summary'!$A:$A,"SUNY")</f>
        <v>0</v>
      </c>
      <c r="GL133" s="55">
        <f>SUMIFS('Awards Summary'!$H:$H,'Awards Summary'!$B:$B,$C133,'Awards Summary'!$J:$J,"SRAA")</f>
        <v>0</v>
      </c>
      <c r="GM133" s="55">
        <f>SUMIFS('Disbursements Summary'!$E:$E,'Disbursements Summary'!$C:$C,$C133,'Disbursements Summary'!$A:$A,"SRAA")</f>
        <v>0</v>
      </c>
      <c r="GN133" s="55">
        <f>SUMIFS('Awards Summary'!$H:$H,'Awards Summary'!$B:$B,$C133,'Awards Summary'!$J:$J,"UNDC")</f>
        <v>0</v>
      </c>
      <c r="GO133" s="55">
        <f>SUMIFS('Disbursements Summary'!$E:$E,'Disbursements Summary'!$C:$C,$C133,'Disbursements Summary'!$A:$A,"UNDC")</f>
        <v>0</v>
      </c>
      <c r="GP133" s="55">
        <f>SUMIFS('Awards Summary'!$H:$H,'Awards Summary'!$B:$B,$C133,'Awards Summary'!$J:$J,"MVWA")</f>
        <v>0</v>
      </c>
      <c r="GQ133" s="55">
        <f>SUMIFS('Disbursements Summary'!$E:$E,'Disbursements Summary'!$C:$C,$C133,'Disbursements Summary'!$A:$A,"MVWA")</f>
        <v>0</v>
      </c>
      <c r="GR133" s="55">
        <f>SUMIFS('Awards Summary'!$H:$H,'Awards Summary'!$B:$B,$C133,'Awards Summary'!$J:$J,"WMC")</f>
        <v>0</v>
      </c>
      <c r="GS133" s="55">
        <f>SUMIFS('Disbursements Summary'!$E:$E,'Disbursements Summary'!$C:$C,$C133,'Disbursements Summary'!$A:$A,"WMC")</f>
        <v>0</v>
      </c>
      <c r="GT133" s="55">
        <f>SUMIFS('Awards Summary'!$H:$H,'Awards Summary'!$B:$B,$C133,'Awards Summary'!$J:$J,"WCB")</f>
        <v>0</v>
      </c>
      <c r="GU133" s="55">
        <f>SUMIFS('Disbursements Summary'!$E:$E,'Disbursements Summary'!$C:$C,$C133,'Disbursements Summary'!$A:$A,"WCB")</f>
        <v>0</v>
      </c>
      <c r="GV133" s="32">
        <f t="shared" si="10"/>
        <v>0</v>
      </c>
      <c r="GW133" s="32">
        <f t="shared" si="11"/>
        <v>0</v>
      </c>
      <c r="GX133" s="30" t="b">
        <f t="shared" si="12"/>
        <v>1</v>
      </c>
      <c r="GY133" s="30" t="b">
        <f t="shared" si="13"/>
        <v>1</v>
      </c>
    </row>
    <row r="134" spans="1:16384">
      <c r="A134" s="22" t="str">
        <f t="shared" si="9"/>
        <v/>
      </c>
      <c r="B134" s="20" t="s">
        <v>244</v>
      </c>
      <c r="C134" s="16">
        <v>161356</v>
      </c>
      <c r="D134" s="26">
        <f>COUNTIF('Awards Summary'!B:B,"161356")</f>
        <v>0</v>
      </c>
      <c r="E134" s="45">
        <f>SUMIFS('Awards Summary'!H:H,'Awards Summary'!B:B,"161356")</f>
        <v>0</v>
      </c>
      <c r="F134" s="46">
        <f>SUMIFS('Disbursements Summary'!E:E,'Disbursements Summary'!C:C, "161356")</f>
        <v>0</v>
      </c>
      <c r="G134" s="30"/>
      <c r="H134" s="55">
        <f>SUMIFS('Awards Summary'!$H:$H,'Awards Summary'!$B:$B,$C134,'Awards Summary'!$J:$J,"APA")</f>
        <v>0</v>
      </c>
      <c r="I134" s="55">
        <f>SUMIFS('Disbursements Summary'!$E:$E,'Disbursements Summary'!$C:$C,$C134,'Disbursements Summary'!$A:$A,"APA")</f>
        <v>0</v>
      </c>
      <c r="J134" s="55">
        <f>SUMIFS('Awards Summary'!$H:$H,'Awards Summary'!$B:$B,$C134,'Awards Summary'!$J:$J,"Ag&amp;Horse")</f>
        <v>0</v>
      </c>
      <c r="K134" s="55">
        <f>SUMIFS('Disbursements Summary'!$E:$E,'Disbursements Summary'!$C:$C,$C134,'Disbursements Summary'!$A:$A,"Ag&amp;Horse")</f>
        <v>0</v>
      </c>
      <c r="L134" s="55">
        <f>SUMIFS('Awards Summary'!$H:$H,'Awards Summary'!$B:$B,$C134,'Awards Summary'!$J:$J,"ACAA")</f>
        <v>0</v>
      </c>
      <c r="M134" s="55">
        <f>SUMIFS('Disbursements Summary'!$E:$E,'Disbursements Summary'!$C:$C,$C134,'Disbursements Summary'!$A:$A,"ACAA")</f>
        <v>0</v>
      </c>
      <c r="N134" s="55">
        <f>SUMIFS('Awards Summary'!$H:$H,'Awards Summary'!$B:$B,$C134,'Awards Summary'!$J:$J,"PortAlbany")</f>
        <v>0</v>
      </c>
      <c r="O134" s="55">
        <f>SUMIFS('Disbursements Summary'!$E:$E,'Disbursements Summary'!$C:$C,$C134,'Disbursements Summary'!$A:$A,"PortAlbany")</f>
        <v>0</v>
      </c>
      <c r="P134" s="55">
        <f>SUMIFS('Awards Summary'!$H:$H,'Awards Summary'!$B:$B,$C134,'Awards Summary'!$J:$J,"SLA")</f>
        <v>0</v>
      </c>
      <c r="Q134" s="55">
        <f>SUMIFS('Disbursements Summary'!$E:$E,'Disbursements Summary'!$C:$C,$C134,'Disbursements Summary'!$A:$A,"SLA")</f>
        <v>0</v>
      </c>
      <c r="R134" s="55">
        <f>SUMIFS('Awards Summary'!$H:$H,'Awards Summary'!$B:$B,$C134,'Awards Summary'!$J:$J,"BPCA")</f>
        <v>0</v>
      </c>
      <c r="S134" s="55">
        <f>SUMIFS('Disbursements Summary'!$E:$E,'Disbursements Summary'!$C:$C,$C134,'Disbursements Summary'!$A:$A,"BPCA")</f>
        <v>0</v>
      </c>
      <c r="T134" s="55">
        <f>SUMIFS('Awards Summary'!$H:$H,'Awards Summary'!$B:$B,$C134,'Awards Summary'!$J:$J,"ELECTIONS")</f>
        <v>0</v>
      </c>
      <c r="U134" s="55">
        <f>SUMIFS('Disbursements Summary'!$E:$E,'Disbursements Summary'!$C:$C,$C134,'Disbursements Summary'!$A:$A,"ELECTIONS")</f>
        <v>0</v>
      </c>
      <c r="V134" s="55">
        <f>SUMIFS('Awards Summary'!$H:$H,'Awards Summary'!$B:$B,$C134,'Awards Summary'!$J:$J,"BFSA")</f>
        <v>0</v>
      </c>
      <c r="W134" s="55">
        <f>SUMIFS('Disbursements Summary'!$E:$E,'Disbursements Summary'!$C:$C,$C134,'Disbursements Summary'!$A:$A,"BFSA")</f>
        <v>0</v>
      </c>
      <c r="X134" s="55">
        <f>SUMIFS('Awards Summary'!$H:$H,'Awards Summary'!$B:$B,$C134,'Awards Summary'!$J:$J,"CDTA")</f>
        <v>0</v>
      </c>
      <c r="Y134" s="55">
        <f>SUMIFS('Disbursements Summary'!$E:$E,'Disbursements Summary'!$C:$C,$C134,'Disbursements Summary'!$A:$A,"CDTA")</f>
        <v>0</v>
      </c>
      <c r="Z134" s="55">
        <f>SUMIFS('Awards Summary'!$H:$H,'Awards Summary'!$B:$B,$C134,'Awards Summary'!$J:$J,"CCWSA")</f>
        <v>0</v>
      </c>
      <c r="AA134" s="55">
        <f>SUMIFS('Disbursements Summary'!$E:$E,'Disbursements Summary'!$C:$C,$C134,'Disbursements Summary'!$A:$A,"CCWSA")</f>
        <v>0</v>
      </c>
      <c r="AB134" s="55">
        <f>SUMIFS('Awards Summary'!$H:$H,'Awards Summary'!$B:$B,$C134,'Awards Summary'!$J:$J,"CNYRTA")</f>
        <v>0</v>
      </c>
      <c r="AC134" s="55">
        <f>SUMIFS('Disbursements Summary'!$E:$E,'Disbursements Summary'!$C:$C,$C134,'Disbursements Summary'!$A:$A,"CNYRTA")</f>
        <v>0</v>
      </c>
      <c r="AD134" s="55">
        <f>SUMIFS('Awards Summary'!$H:$H,'Awards Summary'!$B:$B,$C134,'Awards Summary'!$J:$J,"CUCF")</f>
        <v>0</v>
      </c>
      <c r="AE134" s="55">
        <f>SUMIFS('Disbursements Summary'!$E:$E,'Disbursements Summary'!$C:$C,$C134,'Disbursements Summary'!$A:$A,"CUCF")</f>
        <v>0</v>
      </c>
      <c r="AF134" s="55">
        <f>SUMIFS('Awards Summary'!$H:$H,'Awards Summary'!$B:$B,$C134,'Awards Summary'!$J:$J,"CUNY")</f>
        <v>0</v>
      </c>
      <c r="AG134" s="55">
        <f>SUMIFS('Disbursements Summary'!$E:$E,'Disbursements Summary'!$C:$C,$C134,'Disbursements Summary'!$A:$A,"CUNY")</f>
        <v>0</v>
      </c>
      <c r="AH134" s="55">
        <f>SUMIFS('Awards Summary'!$H:$H,'Awards Summary'!$B:$B,$C134,'Awards Summary'!$J:$J,"ARTS")</f>
        <v>0</v>
      </c>
      <c r="AI134" s="55">
        <f>SUMIFS('Disbursements Summary'!$E:$E,'Disbursements Summary'!$C:$C,$C134,'Disbursements Summary'!$A:$A,"ARTS")</f>
        <v>0</v>
      </c>
      <c r="AJ134" s="55">
        <f>SUMIFS('Awards Summary'!$H:$H,'Awards Summary'!$B:$B,$C134,'Awards Summary'!$J:$J,"AG&amp;MKTS")</f>
        <v>0</v>
      </c>
      <c r="AK134" s="55">
        <f>SUMIFS('Disbursements Summary'!$E:$E,'Disbursements Summary'!$C:$C,$C134,'Disbursements Summary'!$A:$A,"AG&amp;MKTS")</f>
        <v>0</v>
      </c>
      <c r="AL134" s="55">
        <f>SUMIFS('Awards Summary'!$H:$H,'Awards Summary'!$B:$B,$C134,'Awards Summary'!$J:$J,"CS")</f>
        <v>0</v>
      </c>
      <c r="AM134" s="55">
        <f>SUMIFS('Disbursements Summary'!$E:$E,'Disbursements Summary'!$C:$C,$C134,'Disbursements Summary'!$A:$A,"CS")</f>
        <v>0</v>
      </c>
      <c r="AN134" s="55">
        <f>SUMIFS('Awards Summary'!$H:$H,'Awards Summary'!$B:$B,$C134,'Awards Summary'!$J:$J,"DOCCS")</f>
        <v>0</v>
      </c>
      <c r="AO134" s="55">
        <f>SUMIFS('Disbursements Summary'!$E:$E,'Disbursements Summary'!$C:$C,$C134,'Disbursements Summary'!$A:$A,"DOCCS")</f>
        <v>0</v>
      </c>
      <c r="AP134" s="55">
        <f>SUMIFS('Awards Summary'!$H:$H,'Awards Summary'!$B:$B,$C134,'Awards Summary'!$J:$J,"DED")</f>
        <v>0</v>
      </c>
      <c r="AQ134" s="55">
        <f>SUMIFS('Disbursements Summary'!$E:$E,'Disbursements Summary'!$C:$C,$C134,'Disbursements Summary'!$A:$A,"DED")</f>
        <v>0</v>
      </c>
      <c r="AR134" s="55">
        <f>SUMIFS('Awards Summary'!$H:$H,'Awards Summary'!$B:$B,$C134,'Awards Summary'!$J:$J,"DEC")</f>
        <v>0</v>
      </c>
      <c r="AS134" s="55">
        <f>SUMIFS('Disbursements Summary'!$E:$E,'Disbursements Summary'!$C:$C,$C134,'Disbursements Summary'!$A:$A,"DEC")</f>
        <v>0</v>
      </c>
      <c r="AT134" s="55">
        <f>SUMIFS('Awards Summary'!$H:$H,'Awards Summary'!$B:$B,$C134,'Awards Summary'!$J:$J,"DFS")</f>
        <v>0</v>
      </c>
      <c r="AU134" s="55">
        <f>SUMIFS('Disbursements Summary'!$E:$E,'Disbursements Summary'!$C:$C,$C134,'Disbursements Summary'!$A:$A,"DFS")</f>
        <v>0</v>
      </c>
      <c r="AV134" s="55">
        <f>SUMIFS('Awards Summary'!$H:$H,'Awards Summary'!$B:$B,$C134,'Awards Summary'!$J:$J,"DOH")</f>
        <v>0</v>
      </c>
      <c r="AW134" s="55">
        <f>SUMIFS('Disbursements Summary'!$E:$E,'Disbursements Summary'!$C:$C,$C134,'Disbursements Summary'!$A:$A,"DOH")</f>
        <v>0</v>
      </c>
      <c r="AX134" s="55">
        <f>SUMIFS('Awards Summary'!$H:$H,'Awards Summary'!$B:$B,$C134,'Awards Summary'!$J:$J,"DOL")</f>
        <v>0</v>
      </c>
      <c r="AY134" s="55">
        <f>SUMIFS('Disbursements Summary'!$E:$E,'Disbursements Summary'!$C:$C,$C134,'Disbursements Summary'!$A:$A,"DOL")</f>
        <v>0</v>
      </c>
      <c r="AZ134" s="55">
        <f>SUMIFS('Awards Summary'!$H:$H,'Awards Summary'!$B:$B,$C134,'Awards Summary'!$J:$J,"DMV")</f>
        <v>0</v>
      </c>
      <c r="BA134" s="55">
        <f>SUMIFS('Disbursements Summary'!$E:$E,'Disbursements Summary'!$C:$C,$C134,'Disbursements Summary'!$A:$A,"DMV")</f>
        <v>0</v>
      </c>
      <c r="BB134" s="55">
        <f>SUMIFS('Awards Summary'!$H:$H,'Awards Summary'!$B:$B,$C134,'Awards Summary'!$J:$J,"DPS")</f>
        <v>0</v>
      </c>
      <c r="BC134" s="55">
        <f>SUMIFS('Disbursements Summary'!$E:$E,'Disbursements Summary'!$C:$C,$C134,'Disbursements Summary'!$A:$A,"DPS")</f>
        <v>0</v>
      </c>
      <c r="BD134" s="55">
        <f>SUMIFS('Awards Summary'!$H:$H,'Awards Summary'!$B:$B,$C134,'Awards Summary'!$J:$J,"DOS")</f>
        <v>0</v>
      </c>
      <c r="BE134" s="55">
        <f>SUMIFS('Disbursements Summary'!$E:$E,'Disbursements Summary'!$C:$C,$C134,'Disbursements Summary'!$A:$A,"DOS")</f>
        <v>0</v>
      </c>
      <c r="BF134" s="55">
        <f>SUMIFS('Awards Summary'!$H:$H,'Awards Summary'!$B:$B,$C134,'Awards Summary'!$J:$J,"TAX")</f>
        <v>0</v>
      </c>
      <c r="BG134" s="55">
        <f>SUMIFS('Disbursements Summary'!$E:$E,'Disbursements Summary'!$C:$C,$C134,'Disbursements Summary'!$A:$A,"TAX")</f>
        <v>0</v>
      </c>
      <c r="BH134" s="55">
        <f>SUMIFS('Awards Summary'!$H:$H,'Awards Summary'!$B:$B,$C134,'Awards Summary'!$J:$J,"DOT")</f>
        <v>0</v>
      </c>
      <c r="BI134" s="55">
        <f>SUMIFS('Disbursements Summary'!$E:$E,'Disbursements Summary'!$C:$C,$C134,'Disbursements Summary'!$A:$A,"DOT")</f>
        <v>0</v>
      </c>
      <c r="BJ134" s="55">
        <f>SUMIFS('Awards Summary'!$H:$H,'Awards Summary'!$B:$B,$C134,'Awards Summary'!$J:$J,"DANC")</f>
        <v>0</v>
      </c>
      <c r="BK134" s="55">
        <f>SUMIFS('Disbursements Summary'!$E:$E,'Disbursements Summary'!$C:$C,$C134,'Disbursements Summary'!$A:$A,"DANC")</f>
        <v>0</v>
      </c>
      <c r="BL134" s="55">
        <f>SUMIFS('Awards Summary'!$H:$H,'Awards Summary'!$B:$B,$C134,'Awards Summary'!$J:$J,"DOB")</f>
        <v>0</v>
      </c>
      <c r="BM134" s="55">
        <f>SUMIFS('Disbursements Summary'!$E:$E,'Disbursements Summary'!$C:$C,$C134,'Disbursements Summary'!$A:$A,"DOB")</f>
        <v>0</v>
      </c>
      <c r="BN134" s="55">
        <f>SUMIFS('Awards Summary'!$H:$H,'Awards Summary'!$B:$B,$C134,'Awards Summary'!$J:$J,"DCJS")</f>
        <v>0</v>
      </c>
      <c r="BO134" s="55">
        <f>SUMIFS('Disbursements Summary'!$E:$E,'Disbursements Summary'!$C:$C,$C134,'Disbursements Summary'!$A:$A,"DCJS")</f>
        <v>0</v>
      </c>
      <c r="BP134" s="55">
        <f>SUMIFS('Awards Summary'!$H:$H,'Awards Summary'!$B:$B,$C134,'Awards Summary'!$J:$J,"DHSES")</f>
        <v>0</v>
      </c>
      <c r="BQ134" s="55">
        <f>SUMIFS('Disbursements Summary'!$E:$E,'Disbursements Summary'!$C:$C,$C134,'Disbursements Summary'!$A:$A,"DHSES")</f>
        <v>0</v>
      </c>
      <c r="BR134" s="55">
        <f>SUMIFS('Awards Summary'!$H:$H,'Awards Summary'!$B:$B,$C134,'Awards Summary'!$J:$J,"DHR")</f>
        <v>0</v>
      </c>
      <c r="BS134" s="55">
        <f>SUMIFS('Disbursements Summary'!$E:$E,'Disbursements Summary'!$C:$C,$C134,'Disbursements Summary'!$A:$A,"DHR")</f>
        <v>0</v>
      </c>
      <c r="BT134" s="55">
        <f>SUMIFS('Awards Summary'!$H:$H,'Awards Summary'!$B:$B,$C134,'Awards Summary'!$J:$J,"DMNA")</f>
        <v>0</v>
      </c>
      <c r="BU134" s="55">
        <f>SUMIFS('Disbursements Summary'!$E:$E,'Disbursements Summary'!$C:$C,$C134,'Disbursements Summary'!$A:$A,"DMNA")</f>
        <v>0</v>
      </c>
      <c r="BV134" s="55">
        <f>SUMIFS('Awards Summary'!$H:$H,'Awards Summary'!$B:$B,$C134,'Awards Summary'!$J:$J,"TROOPERS")</f>
        <v>0</v>
      </c>
      <c r="BW134" s="55">
        <f>SUMIFS('Disbursements Summary'!$E:$E,'Disbursements Summary'!$C:$C,$C134,'Disbursements Summary'!$A:$A,"TROOPERS")</f>
        <v>0</v>
      </c>
      <c r="BX134" s="55">
        <f>SUMIFS('Awards Summary'!$H:$H,'Awards Summary'!$B:$B,$C134,'Awards Summary'!$J:$J,"DVA")</f>
        <v>0</v>
      </c>
      <c r="BY134" s="55">
        <f>SUMIFS('Disbursements Summary'!$E:$E,'Disbursements Summary'!$C:$C,$C134,'Disbursements Summary'!$A:$A,"DVA")</f>
        <v>0</v>
      </c>
      <c r="BZ134" s="55">
        <f>SUMIFS('Awards Summary'!$H:$H,'Awards Summary'!$B:$B,$C134,'Awards Summary'!$J:$J,"DASNY")</f>
        <v>0</v>
      </c>
      <c r="CA134" s="55">
        <f>SUMIFS('Disbursements Summary'!$E:$E,'Disbursements Summary'!$C:$C,$C134,'Disbursements Summary'!$A:$A,"DASNY")</f>
        <v>0</v>
      </c>
      <c r="CB134" s="55">
        <f>SUMIFS('Awards Summary'!$H:$H,'Awards Summary'!$B:$B,$C134,'Awards Summary'!$J:$J,"EGG")</f>
        <v>0</v>
      </c>
      <c r="CC134" s="55">
        <f>SUMIFS('Disbursements Summary'!$E:$E,'Disbursements Summary'!$C:$C,$C134,'Disbursements Summary'!$A:$A,"EGG")</f>
        <v>0</v>
      </c>
      <c r="CD134" s="55">
        <f>SUMIFS('Awards Summary'!$H:$H,'Awards Summary'!$B:$B,$C134,'Awards Summary'!$J:$J,"ESD")</f>
        <v>0</v>
      </c>
      <c r="CE134" s="55">
        <f>SUMIFS('Disbursements Summary'!$E:$E,'Disbursements Summary'!$C:$C,$C134,'Disbursements Summary'!$A:$A,"ESD")</f>
        <v>0</v>
      </c>
      <c r="CF134" s="55">
        <f>SUMIFS('Awards Summary'!$H:$H,'Awards Summary'!$B:$B,$C134,'Awards Summary'!$J:$J,"EFC")</f>
        <v>0</v>
      </c>
      <c r="CG134" s="55">
        <f>SUMIFS('Disbursements Summary'!$E:$E,'Disbursements Summary'!$C:$C,$C134,'Disbursements Summary'!$A:$A,"EFC")</f>
        <v>0</v>
      </c>
      <c r="CH134" s="55">
        <f>SUMIFS('Awards Summary'!$H:$H,'Awards Summary'!$B:$B,$C134,'Awards Summary'!$J:$J,"ECFSA")</f>
        <v>0</v>
      </c>
      <c r="CI134" s="55">
        <f>SUMIFS('Disbursements Summary'!$E:$E,'Disbursements Summary'!$C:$C,$C134,'Disbursements Summary'!$A:$A,"ECFSA")</f>
        <v>0</v>
      </c>
      <c r="CJ134" s="55">
        <f>SUMIFS('Awards Summary'!$H:$H,'Awards Summary'!$B:$B,$C134,'Awards Summary'!$J:$J,"ECMC")</f>
        <v>0</v>
      </c>
      <c r="CK134" s="55">
        <f>SUMIFS('Disbursements Summary'!$E:$E,'Disbursements Summary'!$C:$C,$C134,'Disbursements Summary'!$A:$A,"ECMC")</f>
        <v>0</v>
      </c>
      <c r="CL134" s="55">
        <f>SUMIFS('Awards Summary'!$H:$H,'Awards Summary'!$B:$B,$C134,'Awards Summary'!$J:$J,"CHAMBER")</f>
        <v>0</v>
      </c>
      <c r="CM134" s="55">
        <f>SUMIFS('Disbursements Summary'!$E:$E,'Disbursements Summary'!$C:$C,$C134,'Disbursements Summary'!$A:$A,"CHAMBER")</f>
        <v>0</v>
      </c>
      <c r="CN134" s="55">
        <f>SUMIFS('Awards Summary'!$H:$H,'Awards Summary'!$B:$B,$C134,'Awards Summary'!$J:$J,"GAMING")</f>
        <v>0</v>
      </c>
      <c r="CO134" s="55">
        <f>SUMIFS('Disbursements Summary'!$E:$E,'Disbursements Summary'!$C:$C,$C134,'Disbursements Summary'!$A:$A,"GAMING")</f>
        <v>0</v>
      </c>
      <c r="CP134" s="55">
        <f>SUMIFS('Awards Summary'!$H:$H,'Awards Summary'!$B:$B,$C134,'Awards Summary'!$J:$J,"GOER")</f>
        <v>0</v>
      </c>
      <c r="CQ134" s="55">
        <f>SUMIFS('Disbursements Summary'!$E:$E,'Disbursements Summary'!$C:$C,$C134,'Disbursements Summary'!$A:$A,"GOER")</f>
        <v>0</v>
      </c>
      <c r="CR134" s="55">
        <f>SUMIFS('Awards Summary'!$H:$H,'Awards Summary'!$B:$B,$C134,'Awards Summary'!$J:$J,"HESC")</f>
        <v>0</v>
      </c>
      <c r="CS134" s="55">
        <f>SUMIFS('Disbursements Summary'!$E:$E,'Disbursements Summary'!$C:$C,$C134,'Disbursements Summary'!$A:$A,"HESC")</f>
        <v>0</v>
      </c>
      <c r="CT134" s="55">
        <f>SUMIFS('Awards Summary'!$H:$H,'Awards Summary'!$B:$B,$C134,'Awards Summary'!$J:$J,"GOSR")</f>
        <v>0</v>
      </c>
      <c r="CU134" s="55">
        <f>SUMIFS('Disbursements Summary'!$E:$E,'Disbursements Summary'!$C:$C,$C134,'Disbursements Summary'!$A:$A,"GOSR")</f>
        <v>0</v>
      </c>
      <c r="CV134" s="55">
        <f>SUMIFS('Awards Summary'!$H:$H,'Awards Summary'!$B:$B,$C134,'Awards Summary'!$J:$J,"HRPT")</f>
        <v>0</v>
      </c>
      <c r="CW134" s="55">
        <f>SUMIFS('Disbursements Summary'!$E:$E,'Disbursements Summary'!$C:$C,$C134,'Disbursements Summary'!$A:$A,"HRPT")</f>
        <v>0</v>
      </c>
      <c r="CX134" s="55">
        <f>SUMIFS('Awards Summary'!$H:$H,'Awards Summary'!$B:$B,$C134,'Awards Summary'!$J:$J,"HRBRRD")</f>
        <v>0</v>
      </c>
      <c r="CY134" s="55">
        <f>SUMIFS('Disbursements Summary'!$E:$E,'Disbursements Summary'!$C:$C,$C134,'Disbursements Summary'!$A:$A,"HRBRRD")</f>
        <v>0</v>
      </c>
      <c r="CZ134" s="55">
        <f>SUMIFS('Awards Summary'!$H:$H,'Awards Summary'!$B:$B,$C134,'Awards Summary'!$J:$J,"ITS")</f>
        <v>0</v>
      </c>
      <c r="DA134" s="55">
        <f>SUMIFS('Disbursements Summary'!$E:$E,'Disbursements Summary'!$C:$C,$C134,'Disbursements Summary'!$A:$A,"ITS")</f>
        <v>0</v>
      </c>
      <c r="DB134" s="55">
        <f>SUMIFS('Awards Summary'!$H:$H,'Awards Summary'!$B:$B,$C134,'Awards Summary'!$J:$J,"JAVITS")</f>
        <v>0</v>
      </c>
      <c r="DC134" s="55">
        <f>SUMIFS('Disbursements Summary'!$E:$E,'Disbursements Summary'!$C:$C,$C134,'Disbursements Summary'!$A:$A,"JAVITS")</f>
        <v>0</v>
      </c>
      <c r="DD134" s="55">
        <f>SUMIFS('Awards Summary'!$H:$H,'Awards Summary'!$B:$B,$C134,'Awards Summary'!$J:$J,"JCOPE")</f>
        <v>0</v>
      </c>
      <c r="DE134" s="55">
        <f>SUMIFS('Disbursements Summary'!$E:$E,'Disbursements Summary'!$C:$C,$C134,'Disbursements Summary'!$A:$A,"JCOPE")</f>
        <v>0</v>
      </c>
      <c r="DF134" s="55">
        <f>SUMIFS('Awards Summary'!$H:$H,'Awards Summary'!$B:$B,$C134,'Awards Summary'!$J:$J,"JUSTICE")</f>
        <v>0</v>
      </c>
      <c r="DG134" s="55">
        <f>SUMIFS('Disbursements Summary'!$E:$E,'Disbursements Summary'!$C:$C,$C134,'Disbursements Summary'!$A:$A,"JUSTICE")</f>
        <v>0</v>
      </c>
      <c r="DH134" s="55">
        <f>SUMIFS('Awards Summary'!$H:$H,'Awards Summary'!$B:$B,$C134,'Awards Summary'!$J:$J,"LCWSA")</f>
        <v>0</v>
      </c>
      <c r="DI134" s="55">
        <f>SUMIFS('Disbursements Summary'!$E:$E,'Disbursements Summary'!$C:$C,$C134,'Disbursements Summary'!$A:$A,"LCWSA")</f>
        <v>0</v>
      </c>
      <c r="DJ134" s="55">
        <f>SUMIFS('Awards Summary'!$H:$H,'Awards Summary'!$B:$B,$C134,'Awards Summary'!$J:$J,"LIPA")</f>
        <v>0</v>
      </c>
      <c r="DK134" s="55">
        <f>SUMIFS('Disbursements Summary'!$E:$E,'Disbursements Summary'!$C:$C,$C134,'Disbursements Summary'!$A:$A,"LIPA")</f>
        <v>0</v>
      </c>
      <c r="DL134" s="55">
        <f>SUMIFS('Awards Summary'!$H:$H,'Awards Summary'!$B:$B,$C134,'Awards Summary'!$J:$J,"MTA")</f>
        <v>0</v>
      </c>
      <c r="DM134" s="55">
        <f>SUMIFS('Disbursements Summary'!$E:$E,'Disbursements Summary'!$C:$C,$C134,'Disbursements Summary'!$A:$A,"MTA")</f>
        <v>0</v>
      </c>
      <c r="DN134" s="55">
        <f>SUMIFS('Awards Summary'!$H:$H,'Awards Summary'!$B:$B,$C134,'Awards Summary'!$J:$J,"NIFA")</f>
        <v>0</v>
      </c>
      <c r="DO134" s="55">
        <f>SUMIFS('Disbursements Summary'!$E:$E,'Disbursements Summary'!$C:$C,$C134,'Disbursements Summary'!$A:$A,"NIFA")</f>
        <v>0</v>
      </c>
      <c r="DP134" s="55">
        <f>SUMIFS('Awards Summary'!$H:$H,'Awards Summary'!$B:$B,$C134,'Awards Summary'!$J:$J,"NHCC")</f>
        <v>0</v>
      </c>
      <c r="DQ134" s="55">
        <f>SUMIFS('Disbursements Summary'!$E:$E,'Disbursements Summary'!$C:$C,$C134,'Disbursements Summary'!$A:$A,"NHCC")</f>
        <v>0</v>
      </c>
      <c r="DR134" s="55">
        <f>SUMIFS('Awards Summary'!$H:$H,'Awards Summary'!$B:$B,$C134,'Awards Summary'!$J:$J,"NHT")</f>
        <v>0</v>
      </c>
      <c r="DS134" s="55">
        <f>SUMIFS('Disbursements Summary'!$E:$E,'Disbursements Summary'!$C:$C,$C134,'Disbursements Summary'!$A:$A,"NHT")</f>
        <v>0</v>
      </c>
      <c r="DT134" s="55">
        <f>SUMIFS('Awards Summary'!$H:$H,'Awards Summary'!$B:$B,$C134,'Awards Summary'!$J:$J,"NYPA")</f>
        <v>0</v>
      </c>
      <c r="DU134" s="55">
        <f>SUMIFS('Disbursements Summary'!$E:$E,'Disbursements Summary'!$C:$C,$C134,'Disbursements Summary'!$A:$A,"NYPA")</f>
        <v>0</v>
      </c>
      <c r="DV134" s="55">
        <f>SUMIFS('Awards Summary'!$H:$H,'Awards Summary'!$B:$B,$C134,'Awards Summary'!$J:$J,"NYSBA")</f>
        <v>0</v>
      </c>
      <c r="DW134" s="55">
        <f>SUMIFS('Disbursements Summary'!$E:$E,'Disbursements Summary'!$C:$C,$C134,'Disbursements Summary'!$A:$A,"NYSBA")</f>
        <v>0</v>
      </c>
      <c r="DX134" s="55">
        <f>SUMIFS('Awards Summary'!$H:$H,'Awards Summary'!$B:$B,$C134,'Awards Summary'!$J:$J,"NYSERDA")</f>
        <v>0</v>
      </c>
      <c r="DY134" s="55">
        <f>SUMIFS('Disbursements Summary'!$E:$E,'Disbursements Summary'!$C:$C,$C134,'Disbursements Summary'!$A:$A,"NYSERDA")</f>
        <v>0</v>
      </c>
      <c r="DZ134" s="55">
        <f>SUMIFS('Awards Summary'!$H:$H,'Awards Summary'!$B:$B,$C134,'Awards Summary'!$J:$J,"DHCR")</f>
        <v>0</v>
      </c>
      <c r="EA134" s="55">
        <f>SUMIFS('Disbursements Summary'!$E:$E,'Disbursements Summary'!$C:$C,$C134,'Disbursements Summary'!$A:$A,"DHCR")</f>
        <v>0</v>
      </c>
      <c r="EB134" s="55">
        <f>SUMIFS('Awards Summary'!$H:$H,'Awards Summary'!$B:$B,$C134,'Awards Summary'!$J:$J,"HFA")</f>
        <v>0</v>
      </c>
      <c r="EC134" s="55">
        <f>SUMIFS('Disbursements Summary'!$E:$E,'Disbursements Summary'!$C:$C,$C134,'Disbursements Summary'!$A:$A,"HFA")</f>
        <v>0</v>
      </c>
      <c r="ED134" s="55">
        <f>SUMIFS('Awards Summary'!$H:$H,'Awards Summary'!$B:$B,$C134,'Awards Summary'!$J:$J,"NYSIF")</f>
        <v>0</v>
      </c>
      <c r="EE134" s="55">
        <f>SUMIFS('Disbursements Summary'!$E:$E,'Disbursements Summary'!$C:$C,$C134,'Disbursements Summary'!$A:$A,"NYSIF")</f>
        <v>0</v>
      </c>
      <c r="EF134" s="55">
        <f>SUMIFS('Awards Summary'!$H:$H,'Awards Summary'!$B:$B,$C134,'Awards Summary'!$J:$J,"NYBREDS")</f>
        <v>0</v>
      </c>
      <c r="EG134" s="55">
        <f>SUMIFS('Disbursements Summary'!$E:$E,'Disbursements Summary'!$C:$C,$C134,'Disbursements Summary'!$A:$A,"NYBREDS")</f>
        <v>0</v>
      </c>
      <c r="EH134" s="55">
        <f>SUMIFS('Awards Summary'!$H:$H,'Awards Summary'!$B:$B,$C134,'Awards Summary'!$J:$J,"NYSTA")</f>
        <v>0</v>
      </c>
      <c r="EI134" s="55">
        <f>SUMIFS('Disbursements Summary'!$E:$E,'Disbursements Summary'!$C:$C,$C134,'Disbursements Summary'!$A:$A,"NYSTA")</f>
        <v>0</v>
      </c>
      <c r="EJ134" s="55">
        <f>SUMIFS('Awards Summary'!$H:$H,'Awards Summary'!$B:$B,$C134,'Awards Summary'!$J:$J,"NFWB")</f>
        <v>0</v>
      </c>
      <c r="EK134" s="55">
        <f>SUMIFS('Disbursements Summary'!$E:$E,'Disbursements Summary'!$C:$C,$C134,'Disbursements Summary'!$A:$A,"NFWB")</f>
        <v>0</v>
      </c>
      <c r="EL134" s="55">
        <f>SUMIFS('Awards Summary'!$H:$H,'Awards Summary'!$B:$B,$C134,'Awards Summary'!$J:$J,"NFTA")</f>
        <v>0</v>
      </c>
      <c r="EM134" s="55">
        <f>SUMIFS('Disbursements Summary'!$E:$E,'Disbursements Summary'!$C:$C,$C134,'Disbursements Summary'!$A:$A,"NFTA")</f>
        <v>0</v>
      </c>
      <c r="EN134" s="55">
        <f>SUMIFS('Awards Summary'!$H:$H,'Awards Summary'!$B:$B,$C134,'Awards Summary'!$J:$J,"OPWDD")</f>
        <v>0</v>
      </c>
      <c r="EO134" s="55">
        <f>SUMIFS('Disbursements Summary'!$E:$E,'Disbursements Summary'!$C:$C,$C134,'Disbursements Summary'!$A:$A,"OPWDD")</f>
        <v>0</v>
      </c>
      <c r="EP134" s="55">
        <f>SUMIFS('Awards Summary'!$H:$H,'Awards Summary'!$B:$B,$C134,'Awards Summary'!$J:$J,"AGING")</f>
        <v>0</v>
      </c>
      <c r="EQ134" s="55">
        <f>SUMIFS('Disbursements Summary'!$E:$E,'Disbursements Summary'!$C:$C,$C134,'Disbursements Summary'!$A:$A,"AGING")</f>
        <v>0</v>
      </c>
      <c r="ER134" s="55">
        <f>SUMIFS('Awards Summary'!$H:$H,'Awards Summary'!$B:$B,$C134,'Awards Summary'!$J:$J,"OPDV")</f>
        <v>0</v>
      </c>
      <c r="ES134" s="55">
        <f>SUMIFS('Disbursements Summary'!$E:$E,'Disbursements Summary'!$C:$C,$C134,'Disbursements Summary'!$A:$A,"OPDV")</f>
        <v>0</v>
      </c>
      <c r="ET134" s="55">
        <f>SUMIFS('Awards Summary'!$H:$H,'Awards Summary'!$B:$B,$C134,'Awards Summary'!$J:$J,"OVS")</f>
        <v>0</v>
      </c>
      <c r="EU134" s="55">
        <f>SUMIFS('Disbursements Summary'!$E:$E,'Disbursements Summary'!$C:$C,$C134,'Disbursements Summary'!$A:$A,"OVS")</f>
        <v>0</v>
      </c>
      <c r="EV134" s="55">
        <f>SUMIFS('Awards Summary'!$H:$H,'Awards Summary'!$B:$B,$C134,'Awards Summary'!$J:$J,"OASAS")</f>
        <v>0</v>
      </c>
      <c r="EW134" s="55">
        <f>SUMIFS('Disbursements Summary'!$E:$E,'Disbursements Summary'!$C:$C,$C134,'Disbursements Summary'!$A:$A,"OASAS")</f>
        <v>0</v>
      </c>
      <c r="EX134" s="55">
        <f>SUMIFS('Awards Summary'!$H:$H,'Awards Summary'!$B:$B,$C134,'Awards Summary'!$J:$J,"OCFS")</f>
        <v>0</v>
      </c>
      <c r="EY134" s="55">
        <f>SUMIFS('Disbursements Summary'!$E:$E,'Disbursements Summary'!$C:$C,$C134,'Disbursements Summary'!$A:$A,"OCFS")</f>
        <v>0</v>
      </c>
      <c r="EZ134" s="55">
        <f>SUMIFS('Awards Summary'!$H:$H,'Awards Summary'!$B:$B,$C134,'Awards Summary'!$J:$J,"OGS")</f>
        <v>0</v>
      </c>
      <c r="FA134" s="55">
        <f>SUMIFS('Disbursements Summary'!$E:$E,'Disbursements Summary'!$C:$C,$C134,'Disbursements Summary'!$A:$A,"OGS")</f>
        <v>0</v>
      </c>
      <c r="FB134" s="55">
        <f>SUMIFS('Awards Summary'!$H:$H,'Awards Summary'!$B:$B,$C134,'Awards Summary'!$J:$J,"OMH")</f>
        <v>0</v>
      </c>
      <c r="FC134" s="55">
        <f>SUMIFS('Disbursements Summary'!$E:$E,'Disbursements Summary'!$C:$C,$C134,'Disbursements Summary'!$A:$A,"OMH")</f>
        <v>0</v>
      </c>
      <c r="FD134" s="55">
        <f>SUMIFS('Awards Summary'!$H:$H,'Awards Summary'!$B:$B,$C134,'Awards Summary'!$J:$J,"PARKS")</f>
        <v>0</v>
      </c>
      <c r="FE134" s="55">
        <f>SUMIFS('Disbursements Summary'!$E:$E,'Disbursements Summary'!$C:$C,$C134,'Disbursements Summary'!$A:$A,"PARKS")</f>
        <v>0</v>
      </c>
      <c r="FF134" s="55">
        <f>SUMIFS('Awards Summary'!$H:$H,'Awards Summary'!$B:$B,$C134,'Awards Summary'!$J:$J,"OTDA")</f>
        <v>0</v>
      </c>
      <c r="FG134" s="55">
        <f>SUMIFS('Disbursements Summary'!$E:$E,'Disbursements Summary'!$C:$C,$C134,'Disbursements Summary'!$A:$A,"OTDA")</f>
        <v>0</v>
      </c>
      <c r="FH134" s="55">
        <f>SUMIFS('Awards Summary'!$H:$H,'Awards Summary'!$B:$B,$C134,'Awards Summary'!$J:$J,"OIG")</f>
        <v>0</v>
      </c>
      <c r="FI134" s="55">
        <f>SUMIFS('Disbursements Summary'!$E:$E,'Disbursements Summary'!$C:$C,$C134,'Disbursements Summary'!$A:$A,"OIG")</f>
        <v>0</v>
      </c>
      <c r="FJ134" s="55">
        <f>SUMIFS('Awards Summary'!$H:$H,'Awards Summary'!$B:$B,$C134,'Awards Summary'!$J:$J,"OMIG")</f>
        <v>0</v>
      </c>
      <c r="FK134" s="55">
        <f>SUMIFS('Disbursements Summary'!$E:$E,'Disbursements Summary'!$C:$C,$C134,'Disbursements Summary'!$A:$A,"OMIG")</f>
        <v>0</v>
      </c>
      <c r="FL134" s="55">
        <f>SUMIFS('Awards Summary'!$H:$H,'Awards Summary'!$B:$B,$C134,'Awards Summary'!$J:$J,"OSC")</f>
        <v>0</v>
      </c>
      <c r="FM134" s="55">
        <f>SUMIFS('Disbursements Summary'!$E:$E,'Disbursements Summary'!$C:$C,$C134,'Disbursements Summary'!$A:$A,"OSC")</f>
        <v>0</v>
      </c>
      <c r="FN134" s="55">
        <f>SUMIFS('Awards Summary'!$H:$H,'Awards Summary'!$B:$B,$C134,'Awards Summary'!$J:$J,"OWIG")</f>
        <v>0</v>
      </c>
      <c r="FO134" s="55">
        <f>SUMIFS('Disbursements Summary'!$E:$E,'Disbursements Summary'!$C:$C,$C134,'Disbursements Summary'!$A:$A,"OWIG")</f>
        <v>0</v>
      </c>
      <c r="FP134" s="55">
        <f>SUMIFS('Awards Summary'!$H:$H,'Awards Summary'!$B:$B,$C134,'Awards Summary'!$J:$J,"OGDEN")</f>
        <v>0</v>
      </c>
      <c r="FQ134" s="55">
        <f>SUMIFS('Disbursements Summary'!$E:$E,'Disbursements Summary'!$C:$C,$C134,'Disbursements Summary'!$A:$A,"OGDEN")</f>
        <v>0</v>
      </c>
      <c r="FR134" s="55">
        <f>SUMIFS('Awards Summary'!$H:$H,'Awards Summary'!$B:$B,$C134,'Awards Summary'!$J:$J,"ORDA")</f>
        <v>0</v>
      </c>
      <c r="FS134" s="55">
        <f>SUMIFS('Disbursements Summary'!$E:$E,'Disbursements Summary'!$C:$C,$C134,'Disbursements Summary'!$A:$A,"ORDA")</f>
        <v>0</v>
      </c>
      <c r="FT134" s="55">
        <f>SUMIFS('Awards Summary'!$H:$H,'Awards Summary'!$B:$B,$C134,'Awards Summary'!$J:$J,"OSWEGO")</f>
        <v>0</v>
      </c>
      <c r="FU134" s="55">
        <f>SUMIFS('Disbursements Summary'!$E:$E,'Disbursements Summary'!$C:$C,$C134,'Disbursements Summary'!$A:$A,"OSWEGO")</f>
        <v>0</v>
      </c>
      <c r="FV134" s="55">
        <f>SUMIFS('Awards Summary'!$H:$H,'Awards Summary'!$B:$B,$C134,'Awards Summary'!$J:$J,"PERB")</f>
        <v>0</v>
      </c>
      <c r="FW134" s="55">
        <f>SUMIFS('Disbursements Summary'!$E:$E,'Disbursements Summary'!$C:$C,$C134,'Disbursements Summary'!$A:$A,"PERB")</f>
        <v>0</v>
      </c>
      <c r="FX134" s="55">
        <f>SUMIFS('Awards Summary'!$H:$H,'Awards Summary'!$B:$B,$C134,'Awards Summary'!$J:$J,"RGRTA")</f>
        <v>0</v>
      </c>
      <c r="FY134" s="55">
        <f>SUMIFS('Disbursements Summary'!$E:$E,'Disbursements Summary'!$C:$C,$C134,'Disbursements Summary'!$A:$A,"RGRTA")</f>
        <v>0</v>
      </c>
      <c r="FZ134" s="55">
        <f>SUMIFS('Awards Summary'!$H:$H,'Awards Summary'!$B:$B,$C134,'Awards Summary'!$J:$J,"RIOC")</f>
        <v>0</v>
      </c>
      <c r="GA134" s="55">
        <f>SUMIFS('Disbursements Summary'!$E:$E,'Disbursements Summary'!$C:$C,$C134,'Disbursements Summary'!$A:$A,"RIOC")</f>
        <v>0</v>
      </c>
      <c r="GB134" s="55">
        <f>SUMIFS('Awards Summary'!$H:$H,'Awards Summary'!$B:$B,$C134,'Awards Summary'!$J:$J,"RPCI")</f>
        <v>0</v>
      </c>
      <c r="GC134" s="55">
        <f>SUMIFS('Disbursements Summary'!$E:$E,'Disbursements Summary'!$C:$C,$C134,'Disbursements Summary'!$A:$A,"RPCI")</f>
        <v>0</v>
      </c>
      <c r="GD134" s="55">
        <f>SUMIFS('Awards Summary'!$H:$H,'Awards Summary'!$B:$B,$C134,'Awards Summary'!$J:$J,"SMDA")</f>
        <v>0</v>
      </c>
      <c r="GE134" s="55">
        <f>SUMIFS('Disbursements Summary'!$E:$E,'Disbursements Summary'!$C:$C,$C134,'Disbursements Summary'!$A:$A,"SMDA")</f>
        <v>0</v>
      </c>
      <c r="GF134" s="55">
        <f>SUMIFS('Awards Summary'!$H:$H,'Awards Summary'!$B:$B,$C134,'Awards Summary'!$J:$J,"SCOC")</f>
        <v>0</v>
      </c>
      <c r="GG134" s="55">
        <f>SUMIFS('Disbursements Summary'!$E:$E,'Disbursements Summary'!$C:$C,$C134,'Disbursements Summary'!$A:$A,"SCOC")</f>
        <v>0</v>
      </c>
      <c r="GH134" s="55">
        <f>SUMIFS('Awards Summary'!$H:$H,'Awards Summary'!$B:$B,$C134,'Awards Summary'!$J:$J,"SUCF")</f>
        <v>0</v>
      </c>
      <c r="GI134" s="55">
        <f>SUMIFS('Disbursements Summary'!$E:$E,'Disbursements Summary'!$C:$C,$C134,'Disbursements Summary'!$A:$A,"SUCF")</f>
        <v>0</v>
      </c>
      <c r="GJ134" s="55">
        <f>SUMIFS('Awards Summary'!$H:$H,'Awards Summary'!$B:$B,$C134,'Awards Summary'!$J:$J,"SUNY")</f>
        <v>0</v>
      </c>
      <c r="GK134" s="55">
        <f>SUMIFS('Disbursements Summary'!$E:$E,'Disbursements Summary'!$C:$C,$C134,'Disbursements Summary'!$A:$A,"SUNY")</f>
        <v>0</v>
      </c>
      <c r="GL134" s="55">
        <f>SUMIFS('Awards Summary'!$H:$H,'Awards Summary'!$B:$B,$C134,'Awards Summary'!$J:$J,"SRAA")</f>
        <v>0</v>
      </c>
      <c r="GM134" s="55">
        <f>SUMIFS('Disbursements Summary'!$E:$E,'Disbursements Summary'!$C:$C,$C134,'Disbursements Summary'!$A:$A,"SRAA")</f>
        <v>0</v>
      </c>
      <c r="GN134" s="55">
        <f>SUMIFS('Awards Summary'!$H:$H,'Awards Summary'!$B:$B,$C134,'Awards Summary'!$J:$J,"UNDC")</f>
        <v>0</v>
      </c>
      <c r="GO134" s="55">
        <f>SUMIFS('Disbursements Summary'!$E:$E,'Disbursements Summary'!$C:$C,$C134,'Disbursements Summary'!$A:$A,"UNDC")</f>
        <v>0</v>
      </c>
      <c r="GP134" s="55">
        <f>SUMIFS('Awards Summary'!$H:$H,'Awards Summary'!$B:$B,$C134,'Awards Summary'!$J:$J,"MVWA")</f>
        <v>0</v>
      </c>
      <c r="GQ134" s="55">
        <f>SUMIFS('Disbursements Summary'!$E:$E,'Disbursements Summary'!$C:$C,$C134,'Disbursements Summary'!$A:$A,"MVWA")</f>
        <v>0</v>
      </c>
      <c r="GR134" s="55">
        <f>SUMIFS('Awards Summary'!$H:$H,'Awards Summary'!$B:$B,$C134,'Awards Summary'!$J:$J,"WMC")</f>
        <v>0</v>
      </c>
      <c r="GS134" s="55">
        <f>SUMIFS('Disbursements Summary'!$E:$E,'Disbursements Summary'!$C:$C,$C134,'Disbursements Summary'!$A:$A,"WMC")</f>
        <v>0</v>
      </c>
      <c r="GT134" s="55">
        <f>SUMIFS('Awards Summary'!$H:$H,'Awards Summary'!$B:$B,$C134,'Awards Summary'!$J:$J,"WCB")</f>
        <v>0</v>
      </c>
      <c r="GU134" s="55">
        <f>SUMIFS('Disbursements Summary'!$E:$E,'Disbursements Summary'!$C:$C,$C134,'Disbursements Summary'!$A:$A,"WCB")</f>
        <v>0</v>
      </c>
      <c r="GV134" s="32">
        <f t="shared" si="10"/>
        <v>0</v>
      </c>
      <c r="GW134" s="32">
        <f t="shared" si="11"/>
        <v>0</v>
      </c>
      <c r="GX134" s="30" t="b">
        <f t="shared" si="12"/>
        <v>1</v>
      </c>
      <c r="GY134" s="30" t="b">
        <f t="shared" si="13"/>
        <v>1</v>
      </c>
    </row>
    <row r="135" spans="1:16384">
      <c r="A135" s="22" t="str">
        <f t="shared" si="9"/>
        <v/>
      </c>
      <c r="B135" s="20" t="s">
        <v>253</v>
      </c>
      <c r="C135" s="16">
        <v>161358</v>
      </c>
      <c r="D135" s="26">
        <f>COUNTIF('Awards Summary'!B:B,"161358")</f>
        <v>0</v>
      </c>
      <c r="E135" s="45">
        <f>SUMIFS('Awards Summary'!H:H,'Awards Summary'!B:B,"161358")</f>
        <v>0</v>
      </c>
      <c r="F135" s="46">
        <f>SUMIFS('Disbursements Summary'!E:E,'Disbursements Summary'!C:C, "161358")</f>
        <v>0</v>
      </c>
      <c r="G135" s="30"/>
      <c r="H135" s="55">
        <f>SUMIFS('Awards Summary'!$H:$H,'Awards Summary'!$B:$B,$C135,'Awards Summary'!$J:$J,"APA")</f>
        <v>0</v>
      </c>
      <c r="I135" s="55">
        <f>SUMIFS('Disbursements Summary'!$E:$E,'Disbursements Summary'!$C:$C,$C135,'Disbursements Summary'!$A:$A,"APA")</f>
        <v>0</v>
      </c>
      <c r="J135" s="55">
        <f>SUMIFS('Awards Summary'!$H:$H,'Awards Summary'!$B:$B,$C135,'Awards Summary'!$J:$J,"Ag&amp;Horse")</f>
        <v>0</v>
      </c>
      <c r="K135" s="55">
        <f>SUMIFS('Disbursements Summary'!$E:$E,'Disbursements Summary'!$C:$C,$C135,'Disbursements Summary'!$A:$A,"Ag&amp;Horse")</f>
        <v>0</v>
      </c>
      <c r="L135" s="55">
        <f>SUMIFS('Awards Summary'!$H:$H,'Awards Summary'!$B:$B,$C135,'Awards Summary'!$J:$J,"ACAA")</f>
        <v>0</v>
      </c>
      <c r="M135" s="55">
        <f>SUMIFS('Disbursements Summary'!$E:$E,'Disbursements Summary'!$C:$C,$C135,'Disbursements Summary'!$A:$A,"ACAA")</f>
        <v>0</v>
      </c>
      <c r="N135" s="55">
        <f>SUMIFS('Awards Summary'!$H:$H,'Awards Summary'!$B:$B,$C135,'Awards Summary'!$J:$J,"PortAlbany")</f>
        <v>0</v>
      </c>
      <c r="O135" s="55">
        <f>SUMIFS('Disbursements Summary'!$E:$E,'Disbursements Summary'!$C:$C,$C135,'Disbursements Summary'!$A:$A,"PortAlbany")</f>
        <v>0</v>
      </c>
      <c r="P135" s="55">
        <f>SUMIFS('Awards Summary'!$H:$H,'Awards Summary'!$B:$B,$C135,'Awards Summary'!$J:$J,"SLA")</f>
        <v>0</v>
      </c>
      <c r="Q135" s="55">
        <f>SUMIFS('Disbursements Summary'!$E:$E,'Disbursements Summary'!$C:$C,$C135,'Disbursements Summary'!$A:$A,"SLA")</f>
        <v>0</v>
      </c>
      <c r="R135" s="55">
        <f>SUMIFS('Awards Summary'!$H:$H,'Awards Summary'!$B:$B,$C135,'Awards Summary'!$J:$J,"BPCA")</f>
        <v>0</v>
      </c>
      <c r="S135" s="55">
        <f>SUMIFS('Disbursements Summary'!$E:$E,'Disbursements Summary'!$C:$C,$C135,'Disbursements Summary'!$A:$A,"BPCA")</f>
        <v>0</v>
      </c>
      <c r="T135" s="55">
        <f>SUMIFS('Awards Summary'!$H:$H,'Awards Summary'!$B:$B,$C135,'Awards Summary'!$J:$J,"ELECTIONS")</f>
        <v>0</v>
      </c>
      <c r="U135" s="55">
        <f>SUMIFS('Disbursements Summary'!$E:$E,'Disbursements Summary'!$C:$C,$C135,'Disbursements Summary'!$A:$A,"ELECTIONS")</f>
        <v>0</v>
      </c>
      <c r="V135" s="55">
        <f>SUMIFS('Awards Summary'!$H:$H,'Awards Summary'!$B:$B,$C135,'Awards Summary'!$J:$J,"BFSA")</f>
        <v>0</v>
      </c>
      <c r="W135" s="55">
        <f>SUMIFS('Disbursements Summary'!$E:$E,'Disbursements Summary'!$C:$C,$C135,'Disbursements Summary'!$A:$A,"BFSA")</f>
        <v>0</v>
      </c>
      <c r="X135" s="55">
        <f>SUMIFS('Awards Summary'!$H:$H,'Awards Summary'!$B:$B,$C135,'Awards Summary'!$J:$J,"CDTA")</f>
        <v>0</v>
      </c>
      <c r="Y135" s="55">
        <f>SUMIFS('Disbursements Summary'!$E:$E,'Disbursements Summary'!$C:$C,$C135,'Disbursements Summary'!$A:$A,"CDTA")</f>
        <v>0</v>
      </c>
      <c r="Z135" s="55">
        <f>SUMIFS('Awards Summary'!$H:$H,'Awards Summary'!$B:$B,$C135,'Awards Summary'!$J:$J,"CCWSA")</f>
        <v>0</v>
      </c>
      <c r="AA135" s="55">
        <f>SUMIFS('Disbursements Summary'!$E:$E,'Disbursements Summary'!$C:$C,$C135,'Disbursements Summary'!$A:$A,"CCWSA")</f>
        <v>0</v>
      </c>
      <c r="AB135" s="55">
        <f>SUMIFS('Awards Summary'!$H:$H,'Awards Summary'!$B:$B,$C135,'Awards Summary'!$J:$J,"CNYRTA")</f>
        <v>0</v>
      </c>
      <c r="AC135" s="55">
        <f>SUMIFS('Disbursements Summary'!$E:$E,'Disbursements Summary'!$C:$C,$C135,'Disbursements Summary'!$A:$A,"CNYRTA")</f>
        <v>0</v>
      </c>
      <c r="AD135" s="55">
        <f>SUMIFS('Awards Summary'!$H:$H,'Awards Summary'!$B:$B,$C135,'Awards Summary'!$J:$J,"CUCF")</f>
        <v>0</v>
      </c>
      <c r="AE135" s="55">
        <f>SUMIFS('Disbursements Summary'!$E:$E,'Disbursements Summary'!$C:$C,$C135,'Disbursements Summary'!$A:$A,"CUCF")</f>
        <v>0</v>
      </c>
      <c r="AF135" s="55">
        <f>SUMIFS('Awards Summary'!$H:$H,'Awards Summary'!$B:$B,$C135,'Awards Summary'!$J:$J,"CUNY")</f>
        <v>0</v>
      </c>
      <c r="AG135" s="55">
        <f>SUMIFS('Disbursements Summary'!$E:$E,'Disbursements Summary'!$C:$C,$C135,'Disbursements Summary'!$A:$A,"CUNY")</f>
        <v>0</v>
      </c>
      <c r="AH135" s="55">
        <f>SUMIFS('Awards Summary'!$H:$H,'Awards Summary'!$B:$B,$C135,'Awards Summary'!$J:$J,"ARTS")</f>
        <v>0</v>
      </c>
      <c r="AI135" s="55">
        <f>SUMIFS('Disbursements Summary'!$E:$E,'Disbursements Summary'!$C:$C,$C135,'Disbursements Summary'!$A:$A,"ARTS")</f>
        <v>0</v>
      </c>
      <c r="AJ135" s="55">
        <f>SUMIFS('Awards Summary'!$H:$H,'Awards Summary'!$B:$B,$C135,'Awards Summary'!$J:$J,"AG&amp;MKTS")</f>
        <v>0</v>
      </c>
      <c r="AK135" s="55">
        <f>SUMIFS('Disbursements Summary'!$E:$E,'Disbursements Summary'!$C:$C,$C135,'Disbursements Summary'!$A:$A,"AG&amp;MKTS")</f>
        <v>0</v>
      </c>
      <c r="AL135" s="55">
        <f>SUMIFS('Awards Summary'!$H:$H,'Awards Summary'!$B:$B,$C135,'Awards Summary'!$J:$J,"CS")</f>
        <v>0</v>
      </c>
      <c r="AM135" s="55">
        <f>SUMIFS('Disbursements Summary'!$E:$E,'Disbursements Summary'!$C:$C,$C135,'Disbursements Summary'!$A:$A,"CS")</f>
        <v>0</v>
      </c>
      <c r="AN135" s="55">
        <f>SUMIFS('Awards Summary'!$H:$H,'Awards Summary'!$B:$B,$C135,'Awards Summary'!$J:$J,"DOCCS")</f>
        <v>0</v>
      </c>
      <c r="AO135" s="55">
        <f>SUMIFS('Disbursements Summary'!$E:$E,'Disbursements Summary'!$C:$C,$C135,'Disbursements Summary'!$A:$A,"DOCCS")</f>
        <v>0</v>
      </c>
      <c r="AP135" s="55">
        <f>SUMIFS('Awards Summary'!$H:$H,'Awards Summary'!$B:$B,$C135,'Awards Summary'!$J:$J,"DED")</f>
        <v>0</v>
      </c>
      <c r="AQ135" s="55">
        <f>SUMIFS('Disbursements Summary'!$E:$E,'Disbursements Summary'!$C:$C,$C135,'Disbursements Summary'!$A:$A,"DED")</f>
        <v>0</v>
      </c>
      <c r="AR135" s="55">
        <f>SUMIFS('Awards Summary'!$H:$H,'Awards Summary'!$B:$B,$C135,'Awards Summary'!$J:$J,"DEC")</f>
        <v>0</v>
      </c>
      <c r="AS135" s="55">
        <f>SUMIFS('Disbursements Summary'!$E:$E,'Disbursements Summary'!$C:$C,$C135,'Disbursements Summary'!$A:$A,"DEC")</f>
        <v>0</v>
      </c>
      <c r="AT135" s="55">
        <f>SUMIFS('Awards Summary'!$H:$H,'Awards Summary'!$B:$B,$C135,'Awards Summary'!$J:$J,"DFS")</f>
        <v>0</v>
      </c>
      <c r="AU135" s="55">
        <f>SUMIFS('Disbursements Summary'!$E:$E,'Disbursements Summary'!$C:$C,$C135,'Disbursements Summary'!$A:$A,"DFS")</f>
        <v>0</v>
      </c>
      <c r="AV135" s="55">
        <f>SUMIFS('Awards Summary'!$H:$H,'Awards Summary'!$B:$B,$C135,'Awards Summary'!$J:$J,"DOH")</f>
        <v>0</v>
      </c>
      <c r="AW135" s="55">
        <f>SUMIFS('Disbursements Summary'!$E:$E,'Disbursements Summary'!$C:$C,$C135,'Disbursements Summary'!$A:$A,"DOH")</f>
        <v>0</v>
      </c>
      <c r="AX135" s="55">
        <f>SUMIFS('Awards Summary'!$H:$H,'Awards Summary'!$B:$B,$C135,'Awards Summary'!$J:$J,"DOL")</f>
        <v>0</v>
      </c>
      <c r="AY135" s="55">
        <f>SUMIFS('Disbursements Summary'!$E:$E,'Disbursements Summary'!$C:$C,$C135,'Disbursements Summary'!$A:$A,"DOL")</f>
        <v>0</v>
      </c>
      <c r="AZ135" s="55">
        <f>SUMIFS('Awards Summary'!$H:$H,'Awards Summary'!$B:$B,$C135,'Awards Summary'!$J:$J,"DMV")</f>
        <v>0</v>
      </c>
      <c r="BA135" s="55">
        <f>SUMIFS('Disbursements Summary'!$E:$E,'Disbursements Summary'!$C:$C,$C135,'Disbursements Summary'!$A:$A,"DMV")</f>
        <v>0</v>
      </c>
      <c r="BB135" s="55">
        <f>SUMIFS('Awards Summary'!$H:$H,'Awards Summary'!$B:$B,$C135,'Awards Summary'!$J:$J,"DPS")</f>
        <v>0</v>
      </c>
      <c r="BC135" s="55">
        <f>SUMIFS('Disbursements Summary'!$E:$E,'Disbursements Summary'!$C:$C,$C135,'Disbursements Summary'!$A:$A,"DPS")</f>
        <v>0</v>
      </c>
      <c r="BD135" s="55">
        <f>SUMIFS('Awards Summary'!$H:$H,'Awards Summary'!$B:$B,$C135,'Awards Summary'!$J:$J,"DOS")</f>
        <v>0</v>
      </c>
      <c r="BE135" s="55">
        <f>SUMIFS('Disbursements Summary'!$E:$E,'Disbursements Summary'!$C:$C,$C135,'Disbursements Summary'!$A:$A,"DOS")</f>
        <v>0</v>
      </c>
      <c r="BF135" s="55">
        <f>SUMIFS('Awards Summary'!$H:$H,'Awards Summary'!$B:$B,$C135,'Awards Summary'!$J:$J,"TAX")</f>
        <v>0</v>
      </c>
      <c r="BG135" s="55">
        <f>SUMIFS('Disbursements Summary'!$E:$E,'Disbursements Summary'!$C:$C,$C135,'Disbursements Summary'!$A:$A,"TAX")</f>
        <v>0</v>
      </c>
      <c r="BH135" s="55">
        <f>SUMIFS('Awards Summary'!$H:$H,'Awards Summary'!$B:$B,$C135,'Awards Summary'!$J:$J,"DOT")</f>
        <v>0</v>
      </c>
      <c r="BI135" s="55">
        <f>SUMIFS('Disbursements Summary'!$E:$E,'Disbursements Summary'!$C:$C,$C135,'Disbursements Summary'!$A:$A,"DOT")</f>
        <v>0</v>
      </c>
      <c r="BJ135" s="55">
        <f>SUMIFS('Awards Summary'!$H:$H,'Awards Summary'!$B:$B,$C135,'Awards Summary'!$J:$J,"DANC")</f>
        <v>0</v>
      </c>
      <c r="BK135" s="55">
        <f>SUMIFS('Disbursements Summary'!$E:$E,'Disbursements Summary'!$C:$C,$C135,'Disbursements Summary'!$A:$A,"DANC")</f>
        <v>0</v>
      </c>
      <c r="BL135" s="55">
        <f>SUMIFS('Awards Summary'!$H:$H,'Awards Summary'!$B:$B,$C135,'Awards Summary'!$J:$J,"DOB")</f>
        <v>0</v>
      </c>
      <c r="BM135" s="55">
        <f>SUMIFS('Disbursements Summary'!$E:$E,'Disbursements Summary'!$C:$C,$C135,'Disbursements Summary'!$A:$A,"DOB")</f>
        <v>0</v>
      </c>
      <c r="BN135" s="55">
        <f>SUMIFS('Awards Summary'!$H:$H,'Awards Summary'!$B:$B,$C135,'Awards Summary'!$J:$J,"DCJS")</f>
        <v>0</v>
      </c>
      <c r="BO135" s="55">
        <f>SUMIFS('Disbursements Summary'!$E:$E,'Disbursements Summary'!$C:$C,$C135,'Disbursements Summary'!$A:$A,"DCJS")</f>
        <v>0</v>
      </c>
      <c r="BP135" s="55">
        <f>SUMIFS('Awards Summary'!$H:$H,'Awards Summary'!$B:$B,$C135,'Awards Summary'!$J:$J,"DHSES")</f>
        <v>0</v>
      </c>
      <c r="BQ135" s="55">
        <f>SUMIFS('Disbursements Summary'!$E:$E,'Disbursements Summary'!$C:$C,$C135,'Disbursements Summary'!$A:$A,"DHSES")</f>
        <v>0</v>
      </c>
      <c r="BR135" s="55">
        <f>SUMIFS('Awards Summary'!$H:$H,'Awards Summary'!$B:$B,$C135,'Awards Summary'!$J:$J,"DHR")</f>
        <v>0</v>
      </c>
      <c r="BS135" s="55">
        <f>SUMIFS('Disbursements Summary'!$E:$E,'Disbursements Summary'!$C:$C,$C135,'Disbursements Summary'!$A:$A,"DHR")</f>
        <v>0</v>
      </c>
      <c r="BT135" s="55">
        <f>SUMIFS('Awards Summary'!$H:$H,'Awards Summary'!$B:$B,$C135,'Awards Summary'!$J:$J,"DMNA")</f>
        <v>0</v>
      </c>
      <c r="BU135" s="55">
        <f>SUMIFS('Disbursements Summary'!$E:$E,'Disbursements Summary'!$C:$C,$C135,'Disbursements Summary'!$A:$A,"DMNA")</f>
        <v>0</v>
      </c>
      <c r="BV135" s="55">
        <f>SUMIFS('Awards Summary'!$H:$H,'Awards Summary'!$B:$B,$C135,'Awards Summary'!$J:$J,"TROOPERS")</f>
        <v>0</v>
      </c>
      <c r="BW135" s="55">
        <f>SUMIFS('Disbursements Summary'!$E:$E,'Disbursements Summary'!$C:$C,$C135,'Disbursements Summary'!$A:$A,"TROOPERS")</f>
        <v>0</v>
      </c>
      <c r="BX135" s="55">
        <f>SUMIFS('Awards Summary'!$H:$H,'Awards Summary'!$B:$B,$C135,'Awards Summary'!$J:$J,"DVA")</f>
        <v>0</v>
      </c>
      <c r="BY135" s="55">
        <f>SUMIFS('Disbursements Summary'!$E:$E,'Disbursements Summary'!$C:$C,$C135,'Disbursements Summary'!$A:$A,"DVA")</f>
        <v>0</v>
      </c>
      <c r="BZ135" s="55">
        <f>SUMIFS('Awards Summary'!$H:$H,'Awards Summary'!$B:$B,$C135,'Awards Summary'!$J:$J,"DASNY")</f>
        <v>0</v>
      </c>
      <c r="CA135" s="55">
        <f>SUMIFS('Disbursements Summary'!$E:$E,'Disbursements Summary'!$C:$C,$C135,'Disbursements Summary'!$A:$A,"DASNY")</f>
        <v>0</v>
      </c>
      <c r="CB135" s="55">
        <f>SUMIFS('Awards Summary'!$H:$H,'Awards Summary'!$B:$B,$C135,'Awards Summary'!$J:$J,"EGG")</f>
        <v>0</v>
      </c>
      <c r="CC135" s="55">
        <f>SUMIFS('Disbursements Summary'!$E:$E,'Disbursements Summary'!$C:$C,$C135,'Disbursements Summary'!$A:$A,"EGG")</f>
        <v>0</v>
      </c>
      <c r="CD135" s="55">
        <f>SUMIFS('Awards Summary'!$H:$H,'Awards Summary'!$B:$B,$C135,'Awards Summary'!$J:$J,"ESD")</f>
        <v>0</v>
      </c>
      <c r="CE135" s="55">
        <f>SUMIFS('Disbursements Summary'!$E:$E,'Disbursements Summary'!$C:$C,$C135,'Disbursements Summary'!$A:$A,"ESD")</f>
        <v>0</v>
      </c>
      <c r="CF135" s="55">
        <f>SUMIFS('Awards Summary'!$H:$H,'Awards Summary'!$B:$B,$C135,'Awards Summary'!$J:$J,"EFC")</f>
        <v>0</v>
      </c>
      <c r="CG135" s="55">
        <f>SUMIFS('Disbursements Summary'!$E:$E,'Disbursements Summary'!$C:$C,$C135,'Disbursements Summary'!$A:$A,"EFC")</f>
        <v>0</v>
      </c>
      <c r="CH135" s="55">
        <f>SUMIFS('Awards Summary'!$H:$H,'Awards Summary'!$B:$B,$C135,'Awards Summary'!$J:$J,"ECFSA")</f>
        <v>0</v>
      </c>
      <c r="CI135" s="55">
        <f>SUMIFS('Disbursements Summary'!$E:$E,'Disbursements Summary'!$C:$C,$C135,'Disbursements Summary'!$A:$A,"ECFSA")</f>
        <v>0</v>
      </c>
      <c r="CJ135" s="55">
        <f>SUMIFS('Awards Summary'!$H:$H,'Awards Summary'!$B:$B,$C135,'Awards Summary'!$J:$J,"ECMC")</f>
        <v>0</v>
      </c>
      <c r="CK135" s="55">
        <f>SUMIFS('Disbursements Summary'!$E:$E,'Disbursements Summary'!$C:$C,$C135,'Disbursements Summary'!$A:$A,"ECMC")</f>
        <v>0</v>
      </c>
      <c r="CL135" s="55">
        <f>SUMIFS('Awards Summary'!$H:$H,'Awards Summary'!$B:$B,$C135,'Awards Summary'!$J:$J,"CHAMBER")</f>
        <v>0</v>
      </c>
      <c r="CM135" s="55">
        <f>SUMIFS('Disbursements Summary'!$E:$E,'Disbursements Summary'!$C:$C,$C135,'Disbursements Summary'!$A:$A,"CHAMBER")</f>
        <v>0</v>
      </c>
      <c r="CN135" s="55">
        <f>SUMIFS('Awards Summary'!$H:$H,'Awards Summary'!$B:$B,$C135,'Awards Summary'!$J:$J,"GAMING")</f>
        <v>0</v>
      </c>
      <c r="CO135" s="55">
        <f>SUMIFS('Disbursements Summary'!$E:$E,'Disbursements Summary'!$C:$C,$C135,'Disbursements Summary'!$A:$A,"GAMING")</f>
        <v>0</v>
      </c>
      <c r="CP135" s="55">
        <f>SUMIFS('Awards Summary'!$H:$H,'Awards Summary'!$B:$B,$C135,'Awards Summary'!$J:$J,"GOER")</f>
        <v>0</v>
      </c>
      <c r="CQ135" s="55">
        <f>SUMIFS('Disbursements Summary'!$E:$E,'Disbursements Summary'!$C:$C,$C135,'Disbursements Summary'!$A:$A,"GOER")</f>
        <v>0</v>
      </c>
      <c r="CR135" s="55">
        <f>SUMIFS('Awards Summary'!$H:$H,'Awards Summary'!$B:$B,$C135,'Awards Summary'!$J:$J,"HESC")</f>
        <v>0</v>
      </c>
      <c r="CS135" s="55">
        <f>SUMIFS('Disbursements Summary'!$E:$E,'Disbursements Summary'!$C:$C,$C135,'Disbursements Summary'!$A:$A,"HESC")</f>
        <v>0</v>
      </c>
      <c r="CT135" s="55">
        <f>SUMIFS('Awards Summary'!$H:$H,'Awards Summary'!$B:$B,$C135,'Awards Summary'!$J:$J,"GOSR")</f>
        <v>0</v>
      </c>
      <c r="CU135" s="55">
        <f>SUMIFS('Disbursements Summary'!$E:$E,'Disbursements Summary'!$C:$C,$C135,'Disbursements Summary'!$A:$A,"GOSR")</f>
        <v>0</v>
      </c>
      <c r="CV135" s="55">
        <f>SUMIFS('Awards Summary'!$H:$H,'Awards Summary'!$B:$B,$C135,'Awards Summary'!$J:$J,"HRPT")</f>
        <v>0</v>
      </c>
      <c r="CW135" s="55">
        <f>SUMIFS('Disbursements Summary'!$E:$E,'Disbursements Summary'!$C:$C,$C135,'Disbursements Summary'!$A:$A,"HRPT")</f>
        <v>0</v>
      </c>
      <c r="CX135" s="55">
        <f>SUMIFS('Awards Summary'!$H:$H,'Awards Summary'!$B:$B,$C135,'Awards Summary'!$J:$J,"HRBRRD")</f>
        <v>0</v>
      </c>
      <c r="CY135" s="55">
        <f>SUMIFS('Disbursements Summary'!$E:$E,'Disbursements Summary'!$C:$C,$C135,'Disbursements Summary'!$A:$A,"HRBRRD")</f>
        <v>0</v>
      </c>
      <c r="CZ135" s="55">
        <f>SUMIFS('Awards Summary'!$H:$H,'Awards Summary'!$B:$B,$C135,'Awards Summary'!$J:$J,"ITS")</f>
        <v>0</v>
      </c>
      <c r="DA135" s="55">
        <f>SUMIFS('Disbursements Summary'!$E:$E,'Disbursements Summary'!$C:$C,$C135,'Disbursements Summary'!$A:$A,"ITS")</f>
        <v>0</v>
      </c>
      <c r="DB135" s="55">
        <f>SUMIFS('Awards Summary'!$H:$H,'Awards Summary'!$B:$B,$C135,'Awards Summary'!$J:$J,"JAVITS")</f>
        <v>0</v>
      </c>
      <c r="DC135" s="55">
        <f>SUMIFS('Disbursements Summary'!$E:$E,'Disbursements Summary'!$C:$C,$C135,'Disbursements Summary'!$A:$A,"JAVITS")</f>
        <v>0</v>
      </c>
      <c r="DD135" s="55">
        <f>SUMIFS('Awards Summary'!$H:$H,'Awards Summary'!$B:$B,$C135,'Awards Summary'!$J:$J,"JCOPE")</f>
        <v>0</v>
      </c>
      <c r="DE135" s="55">
        <f>SUMIFS('Disbursements Summary'!$E:$E,'Disbursements Summary'!$C:$C,$C135,'Disbursements Summary'!$A:$A,"JCOPE")</f>
        <v>0</v>
      </c>
      <c r="DF135" s="55">
        <f>SUMIFS('Awards Summary'!$H:$H,'Awards Summary'!$B:$B,$C135,'Awards Summary'!$J:$J,"JUSTICE")</f>
        <v>0</v>
      </c>
      <c r="DG135" s="55">
        <f>SUMIFS('Disbursements Summary'!$E:$E,'Disbursements Summary'!$C:$C,$C135,'Disbursements Summary'!$A:$A,"JUSTICE")</f>
        <v>0</v>
      </c>
      <c r="DH135" s="55">
        <f>SUMIFS('Awards Summary'!$H:$H,'Awards Summary'!$B:$B,$C135,'Awards Summary'!$J:$J,"LCWSA")</f>
        <v>0</v>
      </c>
      <c r="DI135" s="55">
        <f>SUMIFS('Disbursements Summary'!$E:$E,'Disbursements Summary'!$C:$C,$C135,'Disbursements Summary'!$A:$A,"LCWSA")</f>
        <v>0</v>
      </c>
      <c r="DJ135" s="55">
        <f>SUMIFS('Awards Summary'!$H:$H,'Awards Summary'!$B:$B,$C135,'Awards Summary'!$J:$J,"LIPA")</f>
        <v>0</v>
      </c>
      <c r="DK135" s="55">
        <f>SUMIFS('Disbursements Summary'!$E:$E,'Disbursements Summary'!$C:$C,$C135,'Disbursements Summary'!$A:$A,"LIPA")</f>
        <v>0</v>
      </c>
      <c r="DL135" s="55">
        <f>SUMIFS('Awards Summary'!$H:$H,'Awards Summary'!$B:$B,$C135,'Awards Summary'!$J:$J,"MTA")</f>
        <v>0</v>
      </c>
      <c r="DM135" s="55">
        <f>SUMIFS('Disbursements Summary'!$E:$E,'Disbursements Summary'!$C:$C,$C135,'Disbursements Summary'!$A:$A,"MTA")</f>
        <v>0</v>
      </c>
      <c r="DN135" s="55">
        <f>SUMIFS('Awards Summary'!$H:$H,'Awards Summary'!$B:$B,$C135,'Awards Summary'!$J:$J,"NIFA")</f>
        <v>0</v>
      </c>
      <c r="DO135" s="55">
        <f>SUMIFS('Disbursements Summary'!$E:$E,'Disbursements Summary'!$C:$C,$C135,'Disbursements Summary'!$A:$A,"NIFA")</f>
        <v>0</v>
      </c>
      <c r="DP135" s="55">
        <f>SUMIFS('Awards Summary'!$H:$H,'Awards Summary'!$B:$B,$C135,'Awards Summary'!$J:$J,"NHCC")</f>
        <v>0</v>
      </c>
      <c r="DQ135" s="55">
        <f>SUMIFS('Disbursements Summary'!$E:$E,'Disbursements Summary'!$C:$C,$C135,'Disbursements Summary'!$A:$A,"NHCC")</f>
        <v>0</v>
      </c>
      <c r="DR135" s="55">
        <f>SUMIFS('Awards Summary'!$H:$H,'Awards Summary'!$B:$B,$C135,'Awards Summary'!$J:$J,"NHT")</f>
        <v>0</v>
      </c>
      <c r="DS135" s="55">
        <f>SUMIFS('Disbursements Summary'!$E:$E,'Disbursements Summary'!$C:$C,$C135,'Disbursements Summary'!$A:$A,"NHT")</f>
        <v>0</v>
      </c>
      <c r="DT135" s="55">
        <f>SUMIFS('Awards Summary'!$H:$H,'Awards Summary'!$B:$B,$C135,'Awards Summary'!$J:$J,"NYPA")</f>
        <v>0</v>
      </c>
      <c r="DU135" s="55">
        <f>SUMIFS('Disbursements Summary'!$E:$E,'Disbursements Summary'!$C:$C,$C135,'Disbursements Summary'!$A:$A,"NYPA")</f>
        <v>0</v>
      </c>
      <c r="DV135" s="55">
        <f>SUMIFS('Awards Summary'!$H:$H,'Awards Summary'!$B:$B,$C135,'Awards Summary'!$J:$J,"NYSBA")</f>
        <v>0</v>
      </c>
      <c r="DW135" s="55">
        <f>SUMIFS('Disbursements Summary'!$E:$E,'Disbursements Summary'!$C:$C,$C135,'Disbursements Summary'!$A:$A,"NYSBA")</f>
        <v>0</v>
      </c>
      <c r="DX135" s="55">
        <f>SUMIFS('Awards Summary'!$H:$H,'Awards Summary'!$B:$B,$C135,'Awards Summary'!$J:$J,"NYSERDA")</f>
        <v>0</v>
      </c>
      <c r="DY135" s="55">
        <f>SUMIFS('Disbursements Summary'!$E:$E,'Disbursements Summary'!$C:$C,$C135,'Disbursements Summary'!$A:$A,"NYSERDA")</f>
        <v>0</v>
      </c>
      <c r="DZ135" s="55">
        <f>SUMIFS('Awards Summary'!$H:$H,'Awards Summary'!$B:$B,$C135,'Awards Summary'!$J:$J,"DHCR")</f>
        <v>0</v>
      </c>
      <c r="EA135" s="55">
        <f>SUMIFS('Disbursements Summary'!$E:$E,'Disbursements Summary'!$C:$C,$C135,'Disbursements Summary'!$A:$A,"DHCR")</f>
        <v>0</v>
      </c>
      <c r="EB135" s="55">
        <f>SUMIFS('Awards Summary'!$H:$H,'Awards Summary'!$B:$B,$C135,'Awards Summary'!$J:$J,"HFA")</f>
        <v>0</v>
      </c>
      <c r="EC135" s="55">
        <f>SUMIFS('Disbursements Summary'!$E:$E,'Disbursements Summary'!$C:$C,$C135,'Disbursements Summary'!$A:$A,"HFA")</f>
        <v>0</v>
      </c>
      <c r="ED135" s="55">
        <f>SUMIFS('Awards Summary'!$H:$H,'Awards Summary'!$B:$B,$C135,'Awards Summary'!$J:$J,"NYSIF")</f>
        <v>0</v>
      </c>
      <c r="EE135" s="55">
        <f>SUMIFS('Disbursements Summary'!$E:$E,'Disbursements Summary'!$C:$C,$C135,'Disbursements Summary'!$A:$A,"NYSIF")</f>
        <v>0</v>
      </c>
      <c r="EF135" s="55">
        <f>SUMIFS('Awards Summary'!$H:$H,'Awards Summary'!$B:$B,$C135,'Awards Summary'!$J:$J,"NYBREDS")</f>
        <v>0</v>
      </c>
      <c r="EG135" s="55">
        <f>SUMIFS('Disbursements Summary'!$E:$E,'Disbursements Summary'!$C:$C,$C135,'Disbursements Summary'!$A:$A,"NYBREDS")</f>
        <v>0</v>
      </c>
      <c r="EH135" s="55">
        <f>SUMIFS('Awards Summary'!$H:$H,'Awards Summary'!$B:$B,$C135,'Awards Summary'!$J:$J,"NYSTA")</f>
        <v>0</v>
      </c>
      <c r="EI135" s="55">
        <f>SUMIFS('Disbursements Summary'!$E:$E,'Disbursements Summary'!$C:$C,$C135,'Disbursements Summary'!$A:$A,"NYSTA")</f>
        <v>0</v>
      </c>
      <c r="EJ135" s="55">
        <f>SUMIFS('Awards Summary'!$H:$H,'Awards Summary'!$B:$B,$C135,'Awards Summary'!$J:$J,"NFWB")</f>
        <v>0</v>
      </c>
      <c r="EK135" s="55">
        <f>SUMIFS('Disbursements Summary'!$E:$E,'Disbursements Summary'!$C:$C,$C135,'Disbursements Summary'!$A:$A,"NFWB")</f>
        <v>0</v>
      </c>
      <c r="EL135" s="55">
        <f>SUMIFS('Awards Summary'!$H:$H,'Awards Summary'!$B:$B,$C135,'Awards Summary'!$J:$J,"NFTA")</f>
        <v>0</v>
      </c>
      <c r="EM135" s="55">
        <f>SUMIFS('Disbursements Summary'!$E:$E,'Disbursements Summary'!$C:$C,$C135,'Disbursements Summary'!$A:$A,"NFTA")</f>
        <v>0</v>
      </c>
      <c r="EN135" s="55">
        <f>SUMIFS('Awards Summary'!$H:$H,'Awards Summary'!$B:$B,$C135,'Awards Summary'!$J:$J,"OPWDD")</f>
        <v>0</v>
      </c>
      <c r="EO135" s="55">
        <f>SUMIFS('Disbursements Summary'!$E:$E,'Disbursements Summary'!$C:$C,$C135,'Disbursements Summary'!$A:$A,"OPWDD")</f>
        <v>0</v>
      </c>
      <c r="EP135" s="55">
        <f>SUMIFS('Awards Summary'!$H:$H,'Awards Summary'!$B:$B,$C135,'Awards Summary'!$J:$J,"AGING")</f>
        <v>0</v>
      </c>
      <c r="EQ135" s="55">
        <f>SUMIFS('Disbursements Summary'!$E:$E,'Disbursements Summary'!$C:$C,$C135,'Disbursements Summary'!$A:$A,"AGING")</f>
        <v>0</v>
      </c>
      <c r="ER135" s="55">
        <f>SUMIFS('Awards Summary'!$H:$H,'Awards Summary'!$B:$B,$C135,'Awards Summary'!$J:$J,"OPDV")</f>
        <v>0</v>
      </c>
      <c r="ES135" s="55">
        <f>SUMIFS('Disbursements Summary'!$E:$E,'Disbursements Summary'!$C:$C,$C135,'Disbursements Summary'!$A:$A,"OPDV")</f>
        <v>0</v>
      </c>
      <c r="ET135" s="55">
        <f>SUMIFS('Awards Summary'!$H:$H,'Awards Summary'!$B:$B,$C135,'Awards Summary'!$J:$J,"OVS")</f>
        <v>0</v>
      </c>
      <c r="EU135" s="55">
        <f>SUMIFS('Disbursements Summary'!$E:$E,'Disbursements Summary'!$C:$C,$C135,'Disbursements Summary'!$A:$A,"OVS")</f>
        <v>0</v>
      </c>
      <c r="EV135" s="55">
        <f>SUMIFS('Awards Summary'!$H:$H,'Awards Summary'!$B:$B,$C135,'Awards Summary'!$J:$J,"OASAS")</f>
        <v>0</v>
      </c>
      <c r="EW135" s="55">
        <f>SUMIFS('Disbursements Summary'!$E:$E,'Disbursements Summary'!$C:$C,$C135,'Disbursements Summary'!$A:$A,"OASAS")</f>
        <v>0</v>
      </c>
      <c r="EX135" s="55">
        <f>SUMIFS('Awards Summary'!$H:$H,'Awards Summary'!$B:$B,$C135,'Awards Summary'!$J:$J,"OCFS")</f>
        <v>0</v>
      </c>
      <c r="EY135" s="55">
        <f>SUMIFS('Disbursements Summary'!$E:$E,'Disbursements Summary'!$C:$C,$C135,'Disbursements Summary'!$A:$A,"OCFS")</f>
        <v>0</v>
      </c>
      <c r="EZ135" s="55">
        <f>SUMIFS('Awards Summary'!$H:$H,'Awards Summary'!$B:$B,$C135,'Awards Summary'!$J:$J,"OGS")</f>
        <v>0</v>
      </c>
      <c r="FA135" s="55">
        <f>SUMIFS('Disbursements Summary'!$E:$E,'Disbursements Summary'!$C:$C,$C135,'Disbursements Summary'!$A:$A,"OGS")</f>
        <v>0</v>
      </c>
      <c r="FB135" s="55">
        <f>SUMIFS('Awards Summary'!$H:$H,'Awards Summary'!$B:$B,$C135,'Awards Summary'!$J:$J,"OMH")</f>
        <v>0</v>
      </c>
      <c r="FC135" s="55">
        <f>SUMIFS('Disbursements Summary'!$E:$E,'Disbursements Summary'!$C:$C,$C135,'Disbursements Summary'!$A:$A,"OMH")</f>
        <v>0</v>
      </c>
      <c r="FD135" s="55">
        <f>SUMIFS('Awards Summary'!$H:$H,'Awards Summary'!$B:$B,$C135,'Awards Summary'!$J:$J,"PARKS")</f>
        <v>0</v>
      </c>
      <c r="FE135" s="55">
        <f>SUMIFS('Disbursements Summary'!$E:$E,'Disbursements Summary'!$C:$C,$C135,'Disbursements Summary'!$A:$A,"PARKS")</f>
        <v>0</v>
      </c>
      <c r="FF135" s="55">
        <f>SUMIFS('Awards Summary'!$H:$H,'Awards Summary'!$B:$B,$C135,'Awards Summary'!$J:$J,"OTDA")</f>
        <v>0</v>
      </c>
      <c r="FG135" s="55">
        <f>SUMIFS('Disbursements Summary'!$E:$E,'Disbursements Summary'!$C:$C,$C135,'Disbursements Summary'!$A:$A,"OTDA")</f>
        <v>0</v>
      </c>
      <c r="FH135" s="55">
        <f>SUMIFS('Awards Summary'!$H:$H,'Awards Summary'!$B:$B,$C135,'Awards Summary'!$J:$J,"OIG")</f>
        <v>0</v>
      </c>
      <c r="FI135" s="55">
        <f>SUMIFS('Disbursements Summary'!$E:$E,'Disbursements Summary'!$C:$C,$C135,'Disbursements Summary'!$A:$A,"OIG")</f>
        <v>0</v>
      </c>
      <c r="FJ135" s="55">
        <f>SUMIFS('Awards Summary'!$H:$H,'Awards Summary'!$B:$B,$C135,'Awards Summary'!$J:$J,"OMIG")</f>
        <v>0</v>
      </c>
      <c r="FK135" s="55">
        <f>SUMIFS('Disbursements Summary'!$E:$E,'Disbursements Summary'!$C:$C,$C135,'Disbursements Summary'!$A:$A,"OMIG")</f>
        <v>0</v>
      </c>
      <c r="FL135" s="55">
        <f>SUMIFS('Awards Summary'!$H:$H,'Awards Summary'!$B:$B,$C135,'Awards Summary'!$J:$J,"OSC")</f>
        <v>0</v>
      </c>
      <c r="FM135" s="55">
        <f>SUMIFS('Disbursements Summary'!$E:$E,'Disbursements Summary'!$C:$C,$C135,'Disbursements Summary'!$A:$A,"OSC")</f>
        <v>0</v>
      </c>
      <c r="FN135" s="55">
        <f>SUMIFS('Awards Summary'!$H:$H,'Awards Summary'!$B:$B,$C135,'Awards Summary'!$J:$J,"OWIG")</f>
        <v>0</v>
      </c>
      <c r="FO135" s="55">
        <f>SUMIFS('Disbursements Summary'!$E:$E,'Disbursements Summary'!$C:$C,$C135,'Disbursements Summary'!$A:$A,"OWIG")</f>
        <v>0</v>
      </c>
      <c r="FP135" s="55">
        <f>SUMIFS('Awards Summary'!$H:$H,'Awards Summary'!$B:$B,$C135,'Awards Summary'!$J:$J,"OGDEN")</f>
        <v>0</v>
      </c>
      <c r="FQ135" s="55">
        <f>SUMIFS('Disbursements Summary'!$E:$E,'Disbursements Summary'!$C:$C,$C135,'Disbursements Summary'!$A:$A,"OGDEN")</f>
        <v>0</v>
      </c>
      <c r="FR135" s="55">
        <f>SUMIFS('Awards Summary'!$H:$H,'Awards Summary'!$B:$B,$C135,'Awards Summary'!$J:$J,"ORDA")</f>
        <v>0</v>
      </c>
      <c r="FS135" s="55">
        <f>SUMIFS('Disbursements Summary'!$E:$E,'Disbursements Summary'!$C:$C,$C135,'Disbursements Summary'!$A:$A,"ORDA")</f>
        <v>0</v>
      </c>
      <c r="FT135" s="55">
        <f>SUMIFS('Awards Summary'!$H:$H,'Awards Summary'!$B:$B,$C135,'Awards Summary'!$J:$J,"OSWEGO")</f>
        <v>0</v>
      </c>
      <c r="FU135" s="55">
        <f>SUMIFS('Disbursements Summary'!$E:$E,'Disbursements Summary'!$C:$C,$C135,'Disbursements Summary'!$A:$A,"OSWEGO")</f>
        <v>0</v>
      </c>
      <c r="FV135" s="55">
        <f>SUMIFS('Awards Summary'!$H:$H,'Awards Summary'!$B:$B,$C135,'Awards Summary'!$J:$J,"PERB")</f>
        <v>0</v>
      </c>
      <c r="FW135" s="55">
        <f>SUMIFS('Disbursements Summary'!$E:$E,'Disbursements Summary'!$C:$C,$C135,'Disbursements Summary'!$A:$A,"PERB")</f>
        <v>0</v>
      </c>
      <c r="FX135" s="55">
        <f>SUMIFS('Awards Summary'!$H:$H,'Awards Summary'!$B:$B,$C135,'Awards Summary'!$J:$J,"RGRTA")</f>
        <v>0</v>
      </c>
      <c r="FY135" s="55">
        <f>SUMIFS('Disbursements Summary'!$E:$E,'Disbursements Summary'!$C:$C,$C135,'Disbursements Summary'!$A:$A,"RGRTA")</f>
        <v>0</v>
      </c>
      <c r="FZ135" s="55">
        <f>SUMIFS('Awards Summary'!$H:$H,'Awards Summary'!$B:$B,$C135,'Awards Summary'!$J:$J,"RIOC")</f>
        <v>0</v>
      </c>
      <c r="GA135" s="55">
        <f>SUMIFS('Disbursements Summary'!$E:$E,'Disbursements Summary'!$C:$C,$C135,'Disbursements Summary'!$A:$A,"RIOC")</f>
        <v>0</v>
      </c>
      <c r="GB135" s="55">
        <f>SUMIFS('Awards Summary'!$H:$H,'Awards Summary'!$B:$B,$C135,'Awards Summary'!$J:$J,"RPCI")</f>
        <v>0</v>
      </c>
      <c r="GC135" s="55">
        <f>SUMIFS('Disbursements Summary'!$E:$E,'Disbursements Summary'!$C:$C,$C135,'Disbursements Summary'!$A:$A,"RPCI")</f>
        <v>0</v>
      </c>
      <c r="GD135" s="55">
        <f>SUMIFS('Awards Summary'!$H:$H,'Awards Summary'!$B:$B,$C135,'Awards Summary'!$J:$J,"SMDA")</f>
        <v>0</v>
      </c>
      <c r="GE135" s="55">
        <f>SUMIFS('Disbursements Summary'!$E:$E,'Disbursements Summary'!$C:$C,$C135,'Disbursements Summary'!$A:$A,"SMDA")</f>
        <v>0</v>
      </c>
      <c r="GF135" s="55">
        <f>SUMIFS('Awards Summary'!$H:$H,'Awards Summary'!$B:$B,$C135,'Awards Summary'!$J:$J,"SCOC")</f>
        <v>0</v>
      </c>
      <c r="GG135" s="55">
        <f>SUMIFS('Disbursements Summary'!$E:$E,'Disbursements Summary'!$C:$C,$C135,'Disbursements Summary'!$A:$A,"SCOC")</f>
        <v>0</v>
      </c>
      <c r="GH135" s="55">
        <f>SUMIFS('Awards Summary'!$H:$H,'Awards Summary'!$B:$B,$C135,'Awards Summary'!$J:$J,"SUCF")</f>
        <v>0</v>
      </c>
      <c r="GI135" s="55">
        <f>SUMIFS('Disbursements Summary'!$E:$E,'Disbursements Summary'!$C:$C,$C135,'Disbursements Summary'!$A:$A,"SUCF")</f>
        <v>0</v>
      </c>
      <c r="GJ135" s="55">
        <f>SUMIFS('Awards Summary'!$H:$H,'Awards Summary'!$B:$B,$C135,'Awards Summary'!$J:$J,"SUNY")</f>
        <v>0</v>
      </c>
      <c r="GK135" s="55">
        <f>SUMIFS('Disbursements Summary'!$E:$E,'Disbursements Summary'!$C:$C,$C135,'Disbursements Summary'!$A:$A,"SUNY")</f>
        <v>0</v>
      </c>
      <c r="GL135" s="55">
        <f>SUMIFS('Awards Summary'!$H:$H,'Awards Summary'!$B:$B,$C135,'Awards Summary'!$J:$J,"SRAA")</f>
        <v>0</v>
      </c>
      <c r="GM135" s="55">
        <f>SUMIFS('Disbursements Summary'!$E:$E,'Disbursements Summary'!$C:$C,$C135,'Disbursements Summary'!$A:$A,"SRAA")</f>
        <v>0</v>
      </c>
      <c r="GN135" s="55">
        <f>SUMIFS('Awards Summary'!$H:$H,'Awards Summary'!$B:$B,$C135,'Awards Summary'!$J:$J,"UNDC")</f>
        <v>0</v>
      </c>
      <c r="GO135" s="55">
        <f>SUMIFS('Disbursements Summary'!$E:$E,'Disbursements Summary'!$C:$C,$C135,'Disbursements Summary'!$A:$A,"UNDC")</f>
        <v>0</v>
      </c>
      <c r="GP135" s="55">
        <f>SUMIFS('Awards Summary'!$H:$H,'Awards Summary'!$B:$B,$C135,'Awards Summary'!$J:$J,"MVWA")</f>
        <v>0</v>
      </c>
      <c r="GQ135" s="55">
        <f>SUMIFS('Disbursements Summary'!$E:$E,'Disbursements Summary'!$C:$C,$C135,'Disbursements Summary'!$A:$A,"MVWA")</f>
        <v>0</v>
      </c>
      <c r="GR135" s="55">
        <f>SUMIFS('Awards Summary'!$H:$H,'Awards Summary'!$B:$B,$C135,'Awards Summary'!$J:$J,"WMC")</f>
        <v>0</v>
      </c>
      <c r="GS135" s="55">
        <f>SUMIFS('Disbursements Summary'!$E:$E,'Disbursements Summary'!$C:$C,$C135,'Disbursements Summary'!$A:$A,"WMC")</f>
        <v>0</v>
      </c>
      <c r="GT135" s="55">
        <f>SUMIFS('Awards Summary'!$H:$H,'Awards Summary'!$B:$B,$C135,'Awards Summary'!$J:$J,"WCB")</f>
        <v>0</v>
      </c>
      <c r="GU135" s="55">
        <f>SUMIFS('Disbursements Summary'!$E:$E,'Disbursements Summary'!$C:$C,$C135,'Disbursements Summary'!$A:$A,"WCB")</f>
        <v>0</v>
      </c>
      <c r="GV135" s="32">
        <f t="shared" si="10"/>
        <v>0</v>
      </c>
      <c r="GW135" s="32">
        <f t="shared" si="11"/>
        <v>0</v>
      </c>
      <c r="GX135" s="30" t="b">
        <f t="shared" si="12"/>
        <v>1</v>
      </c>
      <c r="GY135" s="30" t="b">
        <f t="shared" si="13"/>
        <v>1</v>
      </c>
    </row>
    <row r="136" spans="1:16384" s="61" customFormat="1">
      <c r="A136" s="22" t="str">
        <f t="shared" ref="A136:A150" si="14">IF(D136&gt;0,"X","")</f>
        <v/>
      </c>
      <c r="B136" s="69" t="s">
        <v>465</v>
      </c>
      <c r="C136" s="65">
        <v>171368</v>
      </c>
      <c r="D136" s="66">
        <f>COUNTIF('Awards Summary'!B:B,"171368")</f>
        <v>0</v>
      </c>
      <c r="E136" s="67">
        <f>SUMIFS('Awards Summary'!H:H,'Awards Summary'!B:B,"171368")</f>
        <v>0</v>
      </c>
      <c r="F136" s="68">
        <f>SUMIFS('Disbursements Summary'!E:E,'Disbursements Summary'!C:C, "171368")</f>
        <v>0</v>
      </c>
      <c r="G136" s="30"/>
      <c r="H136" s="55">
        <f>SUMIFS('Awards Summary'!$H:$H,'Awards Summary'!$B:$B,$C136,'Awards Summary'!$J:$J,"APA")</f>
        <v>0</v>
      </c>
      <c r="I136" s="55">
        <f>SUMIFS('Disbursements Summary'!$E:$E,'Disbursements Summary'!$C:$C,$C136,'Disbursements Summary'!$A:$A,"APA")</f>
        <v>0</v>
      </c>
      <c r="J136" s="55">
        <f>SUMIFS('Awards Summary'!$H:$H,'Awards Summary'!$B:$B,$C136,'Awards Summary'!$J:$J,"Ag&amp;Horse")</f>
        <v>0</v>
      </c>
      <c r="K136" s="55">
        <f>SUMIFS('Disbursements Summary'!$E:$E,'Disbursements Summary'!$C:$C,$C136,'Disbursements Summary'!$A:$A,"Ag&amp;Horse")</f>
        <v>0</v>
      </c>
      <c r="L136" s="55">
        <f>SUMIFS('Awards Summary'!$H:$H,'Awards Summary'!$B:$B,$C136,'Awards Summary'!$J:$J,"ACAA")</f>
        <v>0</v>
      </c>
      <c r="M136" s="55">
        <f>SUMIFS('Disbursements Summary'!$E:$E,'Disbursements Summary'!$C:$C,$C136,'Disbursements Summary'!$A:$A,"ACAA")</f>
        <v>0</v>
      </c>
      <c r="N136" s="55">
        <f>SUMIFS('Awards Summary'!$H:$H,'Awards Summary'!$B:$B,$C136,'Awards Summary'!$J:$J,"PortAlbany")</f>
        <v>0</v>
      </c>
      <c r="O136" s="55">
        <f>SUMIFS('Disbursements Summary'!$E:$E,'Disbursements Summary'!$C:$C,$C136,'Disbursements Summary'!$A:$A,"PortAlbany")</f>
        <v>0</v>
      </c>
      <c r="P136" s="55">
        <f>SUMIFS('Awards Summary'!$H:$H,'Awards Summary'!$B:$B,$C136,'Awards Summary'!$J:$J,"SLA")</f>
        <v>0</v>
      </c>
      <c r="Q136" s="55">
        <f>SUMIFS('Disbursements Summary'!$E:$E,'Disbursements Summary'!$C:$C,$C136,'Disbursements Summary'!$A:$A,"SLA")</f>
        <v>0</v>
      </c>
      <c r="R136" s="55">
        <f>SUMIFS('Awards Summary'!$H:$H,'Awards Summary'!$B:$B,$C136,'Awards Summary'!$J:$J,"BPCA")</f>
        <v>0</v>
      </c>
      <c r="S136" s="55">
        <f>SUMIFS('Disbursements Summary'!$E:$E,'Disbursements Summary'!$C:$C,$C136,'Disbursements Summary'!$A:$A,"BPCA")</f>
        <v>0</v>
      </c>
      <c r="T136" s="55">
        <f>SUMIFS('Awards Summary'!$H:$H,'Awards Summary'!$B:$B,$C136,'Awards Summary'!$J:$J,"ELECTIONS")</f>
        <v>0</v>
      </c>
      <c r="U136" s="55">
        <f>SUMIFS('Disbursements Summary'!$E:$E,'Disbursements Summary'!$C:$C,$C136,'Disbursements Summary'!$A:$A,"ELECTIONS")</f>
        <v>0</v>
      </c>
      <c r="V136" s="55">
        <f>SUMIFS('Awards Summary'!$H:$H,'Awards Summary'!$B:$B,$C136,'Awards Summary'!$J:$J,"BFSA")</f>
        <v>0</v>
      </c>
      <c r="W136" s="55">
        <f>SUMIFS('Disbursements Summary'!$E:$E,'Disbursements Summary'!$C:$C,$C136,'Disbursements Summary'!$A:$A,"BFSA")</f>
        <v>0</v>
      </c>
      <c r="X136" s="55">
        <f>SUMIFS('Awards Summary'!$H:$H,'Awards Summary'!$B:$B,$C136,'Awards Summary'!$J:$J,"CDTA")</f>
        <v>0</v>
      </c>
      <c r="Y136" s="55">
        <f>SUMIFS('Disbursements Summary'!$E:$E,'Disbursements Summary'!$C:$C,$C136,'Disbursements Summary'!$A:$A,"CDTA")</f>
        <v>0</v>
      </c>
      <c r="Z136" s="55">
        <f>SUMIFS('Awards Summary'!$H:$H,'Awards Summary'!$B:$B,$C136,'Awards Summary'!$J:$J,"CCWSA")</f>
        <v>0</v>
      </c>
      <c r="AA136" s="55">
        <f>SUMIFS('Disbursements Summary'!$E:$E,'Disbursements Summary'!$C:$C,$C136,'Disbursements Summary'!$A:$A,"CCWSA")</f>
        <v>0</v>
      </c>
      <c r="AB136" s="55">
        <f>SUMIFS('Awards Summary'!$H:$H,'Awards Summary'!$B:$B,$C136,'Awards Summary'!$J:$J,"CNYRTA")</f>
        <v>0</v>
      </c>
      <c r="AC136" s="55">
        <f>SUMIFS('Disbursements Summary'!$E:$E,'Disbursements Summary'!$C:$C,$C136,'Disbursements Summary'!$A:$A,"CNYRTA")</f>
        <v>0</v>
      </c>
      <c r="AD136" s="55">
        <f>SUMIFS('Awards Summary'!$H:$H,'Awards Summary'!$B:$B,$C136,'Awards Summary'!$J:$J,"CUCF")</f>
        <v>0</v>
      </c>
      <c r="AE136" s="55">
        <f>SUMIFS('Disbursements Summary'!$E:$E,'Disbursements Summary'!$C:$C,$C136,'Disbursements Summary'!$A:$A,"CUCF")</f>
        <v>0</v>
      </c>
      <c r="AF136" s="55">
        <f>SUMIFS('Awards Summary'!$H:$H,'Awards Summary'!$B:$B,$C136,'Awards Summary'!$J:$J,"CUNY")</f>
        <v>0</v>
      </c>
      <c r="AG136" s="55">
        <f>SUMIFS('Disbursements Summary'!$E:$E,'Disbursements Summary'!$C:$C,$C136,'Disbursements Summary'!$A:$A,"CUNY")</f>
        <v>0</v>
      </c>
      <c r="AH136" s="55">
        <f>SUMIFS('Awards Summary'!$H:$H,'Awards Summary'!$B:$B,$C136,'Awards Summary'!$J:$J,"ARTS")</f>
        <v>0</v>
      </c>
      <c r="AI136" s="55">
        <f>SUMIFS('Disbursements Summary'!$E:$E,'Disbursements Summary'!$C:$C,$C136,'Disbursements Summary'!$A:$A,"ARTS")</f>
        <v>0</v>
      </c>
      <c r="AJ136" s="55">
        <f>SUMIFS('Awards Summary'!$H:$H,'Awards Summary'!$B:$B,$C136,'Awards Summary'!$J:$J,"AG&amp;MKTS")</f>
        <v>0</v>
      </c>
      <c r="AK136" s="55">
        <f>SUMIFS('Disbursements Summary'!$E:$E,'Disbursements Summary'!$C:$C,$C136,'Disbursements Summary'!$A:$A,"AG&amp;MKTS")</f>
        <v>0</v>
      </c>
      <c r="AL136" s="55">
        <f>SUMIFS('Awards Summary'!$H:$H,'Awards Summary'!$B:$B,$C136,'Awards Summary'!$J:$J,"CS")</f>
        <v>0</v>
      </c>
      <c r="AM136" s="55">
        <f>SUMIFS('Disbursements Summary'!$E:$E,'Disbursements Summary'!$C:$C,$C136,'Disbursements Summary'!$A:$A,"CS")</f>
        <v>0</v>
      </c>
      <c r="AN136" s="55">
        <f>SUMIFS('Awards Summary'!$H:$H,'Awards Summary'!$B:$B,$C136,'Awards Summary'!$J:$J,"DOCCS")</f>
        <v>0</v>
      </c>
      <c r="AO136" s="55">
        <f>SUMIFS('Disbursements Summary'!$E:$E,'Disbursements Summary'!$C:$C,$C136,'Disbursements Summary'!$A:$A,"DOCCS")</f>
        <v>0</v>
      </c>
      <c r="AP136" s="55">
        <f>SUMIFS('Awards Summary'!$H:$H,'Awards Summary'!$B:$B,$C136,'Awards Summary'!$J:$J,"DED")</f>
        <v>0</v>
      </c>
      <c r="AQ136" s="55">
        <f>SUMIFS('Disbursements Summary'!$E:$E,'Disbursements Summary'!$C:$C,$C136,'Disbursements Summary'!$A:$A,"DED")</f>
        <v>0</v>
      </c>
      <c r="AR136" s="55">
        <f>SUMIFS('Awards Summary'!$H:$H,'Awards Summary'!$B:$B,$C136,'Awards Summary'!$J:$J,"DEC")</f>
        <v>0</v>
      </c>
      <c r="AS136" s="55">
        <f>SUMIFS('Disbursements Summary'!$E:$E,'Disbursements Summary'!$C:$C,$C136,'Disbursements Summary'!$A:$A,"DEC")</f>
        <v>0</v>
      </c>
      <c r="AT136" s="55">
        <f>SUMIFS('Awards Summary'!$H:$H,'Awards Summary'!$B:$B,$C136,'Awards Summary'!$J:$J,"DFS")</f>
        <v>0</v>
      </c>
      <c r="AU136" s="55">
        <f>SUMIFS('Disbursements Summary'!$E:$E,'Disbursements Summary'!$C:$C,$C136,'Disbursements Summary'!$A:$A,"DFS")</f>
        <v>0</v>
      </c>
      <c r="AV136" s="55">
        <f>SUMIFS('Awards Summary'!$H:$H,'Awards Summary'!$B:$B,$C136,'Awards Summary'!$J:$J,"DOH")</f>
        <v>0</v>
      </c>
      <c r="AW136" s="55">
        <f>SUMIFS('Disbursements Summary'!$E:$E,'Disbursements Summary'!$C:$C,$C136,'Disbursements Summary'!$A:$A,"DOH")</f>
        <v>0</v>
      </c>
      <c r="AX136" s="55">
        <f>SUMIFS('Awards Summary'!$H:$H,'Awards Summary'!$B:$B,$C136,'Awards Summary'!$J:$J,"DOL")</f>
        <v>0</v>
      </c>
      <c r="AY136" s="55">
        <f>SUMIFS('Disbursements Summary'!$E:$E,'Disbursements Summary'!$C:$C,$C136,'Disbursements Summary'!$A:$A,"DOL")</f>
        <v>0</v>
      </c>
      <c r="AZ136" s="55">
        <f>SUMIFS('Awards Summary'!$H:$H,'Awards Summary'!$B:$B,$C136,'Awards Summary'!$J:$J,"DMV")</f>
        <v>0</v>
      </c>
      <c r="BA136" s="55">
        <f>SUMIFS('Disbursements Summary'!$E:$E,'Disbursements Summary'!$C:$C,$C136,'Disbursements Summary'!$A:$A,"DMV")</f>
        <v>0</v>
      </c>
      <c r="BB136" s="55">
        <f>SUMIFS('Awards Summary'!$H:$H,'Awards Summary'!$B:$B,$C136,'Awards Summary'!$J:$J,"DPS")</f>
        <v>0</v>
      </c>
      <c r="BC136" s="55">
        <f>SUMIFS('Disbursements Summary'!$E:$E,'Disbursements Summary'!$C:$C,$C136,'Disbursements Summary'!$A:$A,"DPS")</f>
        <v>0</v>
      </c>
      <c r="BD136" s="55">
        <f>SUMIFS('Awards Summary'!$H:$H,'Awards Summary'!$B:$B,$C136,'Awards Summary'!$J:$J,"DOS")</f>
        <v>0</v>
      </c>
      <c r="BE136" s="55">
        <f>SUMIFS('Disbursements Summary'!$E:$E,'Disbursements Summary'!$C:$C,$C136,'Disbursements Summary'!$A:$A,"DOS")</f>
        <v>0</v>
      </c>
      <c r="BF136" s="55">
        <f>SUMIFS('Awards Summary'!$H:$H,'Awards Summary'!$B:$B,$C136,'Awards Summary'!$J:$J,"TAX")</f>
        <v>0</v>
      </c>
      <c r="BG136" s="55">
        <f>SUMIFS('Disbursements Summary'!$E:$E,'Disbursements Summary'!$C:$C,$C136,'Disbursements Summary'!$A:$A,"TAX")</f>
        <v>0</v>
      </c>
      <c r="BH136" s="55">
        <f>SUMIFS('Awards Summary'!$H:$H,'Awards Summary'!$B:$B,$C136,'Awards Summary'!$J:$J,"DOT")</f>
        <v>0</v>
      </c>
      <c r="BI136" s="55">
        <f>SUMIFS('Disbursements Summary'!$E:$E,'Disbursements Summary'!$C:$C,$C136,'Disbursements Summary'!$A:$A,"DOT")</f>
        <v>0</v>
      </c>
      <c r="BJ136" s="55">
        <f>SUMIFS('Awards Summary'!$H:$H,'Awards Summary'!$B:$B,$C136,'Awards Summary'!$J:$J,"DANC")</f>
        <v>0</v>
      </c>
      <c r="BK136" s="55">
        <f>SUMIFS('Disbursements Summary'!$E:$E,'Disbursements Summary'!$C:$C,$C136,'Disbursements Summary'!$A:$A,"DANC")</f>
        <v>0</v>
      </c>
      <c r="BL136" s="55">
        <f>SUMIFS('Awards Summary'!$H:$H,'Awards Summary'!$B:$B,$C136,'Awards Summary'!$J:$J,"DOB")</f>
        <v>0</v>
      </c>
      <c r="BM136" s="55">
        <f>SUMIFS('Disbursements Summary'!$E:$E,'Disbursements Summary'!$C:$C,$C136,'Disbursements Summary'!$A:$A,"DOB")</f>
        <v>0</v>
      </c>
      <c r="BN136" s="55">
        <f>SUMIFS('Awards Summary'!$H:$H,'Awards Summary'!$B:$B,$C136,'Awards Summary'!$J:$J,"DCJS")</f>
        <v>0</v>
      </c>
      <c r="BO136" s="55">
        <f>SUMIFS('Disbursements Summary'!$E:$E,'Disbursements Summary'!$C:$C,$C136,'Disbursements Summary'!$A:$A,"DCJS")</f>
        <v>0</v>
      </c>
      <c r="BP136" s="55">
        <f>SUMIFS('Awards Summary'!$H:$H,'Awards Summary'!$B:$B,$C136,'Awards Summary'!$J:$J,"DHSES")</f>
        <v>0</v>
      </c>
      <c r="BQ136" s="55">
        <f>SUMIFS('Disbursements Summary'!$E:$E,'Disbursements Summary'!$C:$C,$C136,'Disbursements Summary'!$A:$A,"DHSES")</f>
        <v>0</v>
      </c>
      <c r="BR136" s="55">
        <f>SUMIFS('Awards Summary'!$H:$H,'Awards Summary'!$B:$B,$C136,'Awards Summary'!$J:$J,"DHR")</f>
        <v>0</v>
      </c>
      <c r="BS136" s="55">
        <f>SUMIFS('Disbursements Summary'!$E:$E,'Disbursements Summary'!$C:$C,$C136,'Disbursements Summary'!$A:$A,"DHR")</f>
        <v>0</v>
      </c>
      <c r="BT136" s="55">
        <f>SUMIFS('Awards Summary'!$H:$H,'Awards Summary'!$B:$B,$C136,'Awards Summary'!$J:$J,"DMNA")</f>
        <v>0</v>
      </c>
      <c r="BU136" s="55">
        <f>SUMIFS('Disbursements Summary'!$E:$E,'Disbursements Summary'!$C:$C,$C136,'Disbursements Summary'!$A:$A,"DMNA")</f>
        <v>0</v>
      </c>
      <c r="BV136" s="55">
        <f>SUMIFS('Awards Summary'!$H:$H,'Awards Summary'!$B:$B,$C136,'Awards Summary'!$J:$J,"TROOPERS")</f>
        <v>0</v>
      </c>
      <c r="BW136" s="55">
        <f>SUMIFS('Disbursements Summary'!$E:$E,'Disbursements Summary'!$C:$C,$C136,'Disbursements Summary'!$A:$A,"TROOPERS")</f>
        <v>0</v>
      </c>
      <c r="BX136" s="55">
        <f>SUMIFS('Awards Summary'!$H:$H,'Awards Summary'!$B:$B,$C136,'Awards Summary'!$J:$J,"DVA")</f>
        <v>0</v>
      </c>
      <c r="BY136" s="55">
        <f>SUMIFS('Disbursements Summary'!$E:$E,'Disbursements Summary'!$C:$C,$C136,'Disbursements Summary'!$A:$A,"DVA")</f>
        <v>0</v>
      </c>
      <c r="BZ136" s="55">
        <f>SUMIFS('Awards Summary'!$H:$H,'Awards Summary'!$B:$B,$C136,'Awards Summary'!$J:$J,"DASNY")</f>
        <v>0</v>
      </c>
      <c r="CA136" s="55">
        <f>SUMIFS('Disbursements Summary'!$E:$E,'Disbursements Summary'!$C:$C,$C136,'Disbursements Summary'!$A:$A,"DASNY")</f>
        <v>0</v>
      </c>
      <c r="CB136" s="55">
        <f>SUMIFS('Awards Summary'!$H:$H,'Awards Summary'!$B:$B,$C136,'Awards Summary'!$J:$J,"EGG")</f>
        <v>0</v>
      </c>
      <c r="CC136" s="55">
        <f>SUMIFS('Disbursements Summary'!$E:$E,'Disbursements Summary'!$C:$C,$C136,'Disbursements Summary'!$A:$A,"EGG")</f>
        <v>0</v>
      </c>
      <c r="CD136" s="55">
        <f>SUMIFS('Awards Summary'!$H:$H,'Awards Summary'!$B:$B,$C136,'Awards Summary'!$J:$J,"ESD")</f>
        <v>0</v>
      </c>
      <c r="CE136" s="55">
        <f>SUMIFS('Disbursements Summary'!$E:$E,'Disbursements Summary'!$C:$C,$C136,'Disbursements Summary'!$A:$A,"ESD")</f>
        <v>0</v>
      </c>
      <c r="CF136" s="55">
        <f>SUMIFS('Awards Summary'!$H:$H,'Awards Summary'!$B:$B,$C136,'Awards Summary'!$J:$J,"EFC")</f>
        <v>0</v>
      </c>
      <c r="CG136" s="55">
        <f>SUMIFS('Disbursements Summary'!$E:$E,'Disbursements Summary'!$C:$C,$C136,'Disbursements Summary'!$A:$A,"EFC")</f>
        <v>0</v>
      </c>
      <c r="CH136" s="55">
        <f>SUMIFS('Awards Summary'!$H:$H,'Awards Summary'!$B:$B,$C136,'Awards Summary'!$J:$J,"ECFSA")</f>
        <v>0</v>
      </c>
      <c r="CI136" s="55">
        <f>SUMIFS('Disbursements Summary'!$E:$E,'Disbursements Summary'!$C:$C,$C136,'Disbursements Summary'!$A:$A,"ECFSA")</f>
        <v>0</v>
      </c>
      <c r="CJ136" s="55">
        <f>SUMIFS('Awards Summary'!$H:$H,'Awards Summary'!$B:$B,$C136,'Awards Summary'!$J:$J,"ECMC")</f>
        <v>0</v>
      </c>
      <c r="CK136" s="55">
        <f>SUMIFS('Disbursements Summary'!$E:$E,'Disbursements Summary'!$C:$C,$C136,'Disbursements Summary'!$A:$A,"ECMC")</f>
        <v>0</v>
      </c>
      <c r="CL136" s="55">
        <f>SUMIFS('Awards Summary'!$H:$H,'Awards Summary'!$B:$B,$C136,'Awards Summary'!$J:$J,"CHAMBER")</f>
        <v>0</v>
      </c>
      <c r="CM136" s="55">
        <f>SUMIFS('Disbursements Summary'!$E:$E,'Disbursements Summary'!$C:$C,$C136,'Disbursements Summary'!$A:$A,"CHAMBER")</f>
        <v>0</v>
      </c>
      <c r="CN136" s="55">
        <f>SUMIFS('Awards Summary'!$H:$H,'Awards Summary'!$B:$B,$C136,'Awards Summary'!$J:$J,"GAMING")</f>
        <v>0</v>
      </c>
      <c r="CO136" s="55">
        <f>SUMIFS('Disbursements Summary'!$E:$E,'Disbursements Summary'!$C:$C,$C136,'Disbursements Summary'!$A:$A,"GAMING")</f>
        <v>0</v>
      </c>
      <c r="CP136" s="55">
        <f>SUMIFS('Awards Summary'!$H:$H,'Awards Summary'!$B:$B,$C136,'Awards Summary'!$J:$J,"GOER")</f>
        <v>0</v>
      </c>
      <c r="CQ136" s="55">
        <f>SUMIFS('Disbursements Summary'!$E:$E,'Disbursements Summary'!$C:$C,$C136,'Disbursements Summary'!$A:$A,"GOER")</f>
        <v>0</v>
      </c>
      <c r="CR136" s="55">
        <f>SUMIFS('Awards Summary'!$H:$H,'Awards Summary'!$B:$B,$C136,'Awards Summary'!$J:$J,"HESC")</f>
        <v>0</v>
      </c>
      <c r="CS136" s="55">
        <f>SUMIFS('Disbursements Summary'!$E:$E,'Disbursements Summary'!$C:$C,$C136,'Disbursements Summary'!$A:$A,"HESC")</f>
        <v>0</v>
      </c>
      <c r="CT136" s="55">
        <f>SUMIFS('Awards Summary'!$H:$H,'Awards Summary'!$B:$B,$C136,'Awards Summary'!$J:$J,"GOSR")</f>
        <v>0</v>
      </c>
      <c r="CU136" s="55">
        <f>SUMIFS('Disbursements Summary'!$E:$E,'Disbursements Summary'!$C:$C,$C136,'Disbursements Summary'!$A:$A,"GOSR")</f>
        <v>0</v>
      </c>
      <c r="CV136" s="55">
        <f>SUMIFS('Awards Summary'!$H:$H,'Awards Summary'!$B:$B,$C136,'Awards Summary'!$J:$J,"HRPT")</f>
        <v>0</v>
      </c>
      <c r="CW136" s="55">
        <f>SUMIFS('Disbursements Summary'!$E:$E,'Disbursements Summary'!$C:$C,$C136,'Disbursements Summary'!$A:$A,"HRPT")</f>
        <v>0</v>
      </c>
      <c r="CX136" s="55">
        <f>SUMIFS('Awards Summary'!$H:$H,'Awards Summary'!$B:$B,$C136,'Awards Summary'!$J:$J,"HRBRRD")</f>
        <v>0</v>
      </c>
      <c r="CY136" s="55">
        <f>SUMIFS('Disbursements Summary'!$E:$E,'Disbursements Summary'!$C:$C,$C136,'Disbursements Summary'!$A:$A,"HRBRRD")</f>
        <v>0</v>
      </c>
      <c r="CZ136" s="55">
        <f>SUMIFS('Awards Summary'!$H:$H,'Awards Summary'!$B:$B,$C136,'Awards Summary'!$J:$J,"ITS")</f>
        <v>0</v>
      </c>
      <c r="DA136" s="55">
        <f>SUMIFS('Disbursements Summary'!$E:$E,'Disbursements Summary'!$C:$C,$C136,'Disbursements Summary'!$A:$A,"ITS")</f>
        <v>0</v>
      </c>
      <c r="DB136" s="55">
        <f>SUMIFS('Awards Summary'!$H:$H,'Awards Summary'!$B:$B,$C136,'Awards Summary'!$J:$J,"JAVITS")</f>
        <v>0</v>
      </c>
      <c r="DC136" s="55">
        <f>SUMIFS('Disbursements Summary'!$E:$E,'Disbursements Summary'!$C:$C,$C136,'Disbursements Summary'!$A:$A,"JAVITS")</f>
        <v>0</v>
      </c>
      <c r="DD136" s="55">
        <f>SUMIFS('Awards Summary'!$H:$H,'Awards Summary'!$B:$B,$C136,'Awards Summary'!$J:$J,"JCOPE")</f>
        <v>0</v>
      </c>
      <c r="DE136" s="55">
        <f>SUMIFS('Disbursements Summary'!$E:$E,'Disbursements Summary'!$C:$C,$C136,'Disbursements Summary'!$A:$A,"JCOPE")</f>
        <v>0</v>
      </c>
      <c r="DF136" s="55">
        <f>SUMIFS('Awards Summary'!$H:$H,'Awards Summary'!$B:$B,$C136,'Awards Summary'!$J:$J,"JUSTICE")</f>
        <v>0</v>
      </c>
      <c r="DG136" s="55">
        <f>SUMIFS('Disbursements Summary'!$E:$E,'Disbursements Summary'!$C:$C,$C136,'Disbursements Summary'!$A:$A,"JUSTICE")</f>
        <v>0</v>
      </c>
      <c r="DH136" s="55">
        <f>SUMIFS('Awards Summary'!$H:$H,'Awards Summary'!$B:$B,$C136,'Awards Summary'!$J:$J,"LCWSA")</f>
        <v>0</v>
      </c>
      <c r="DI136" s="55">
        <f>SUMIFS('Disbursements Summary'!$E:$E,'Disbursements Summary'!$C:$C,$C136,'Disbursements Summary'!$A:$A,"LCWSA")</f>
        <v>0</v>
      </c>
      <c r="DJ136" s="55">
        <f>SUMIFS('Awards Summary'!$H:$H,'Awards Summary'!$B:$B,$C136,'Awards Summary'!$J:$J,"LIPA")</f>
        <v>0</v>
      </c>
      <c r="DK136" s="55">
        <f>SUMIFS('Disbursements Summary'!$E:$E,'Disbursements Summary'!$C:$C,$C136,'Disbursements Summary'!$A:$A,"LIPA")</f>
        <v>0</v>
      </c>
      <c r="DL136" s="55">
        <f>SUMIFS('Awards Summary'!$H:$H,'Awards Summary'!$B:$B,$C136,'Awards Summary'!$J:$J,"MTA")</f>
        <v>0</v>
      </c>
      <c r="DM136" s="55">
        <f>SUMIFS('Disbursements Summary'!$E:$E,'Disbursements Summary'!$C:$C,$C136,'Disbursements Summary'!$A:$A,"MTA")</f>
        <v>0</v>
      </c>
      <c r="DN136" s="55">
        <f>SUMIFS('Awards Summary'!$H:$H,'Awards Summary'!$B:$B,$C136,'Awards Summary'!$J:$J,"NIFA")</f>
        <v>0</v>
      </c>
      <c r="DO136" s="55">
        <f>SUMIFS('Disbursements Summary'!$E:$E,'Disbursements Summary'!$C:$C,$C136,'Disbursements Summary'!$A:$A,"NIFA")</f>
        <v>0</v>
      </c>
      <c r="DP136" s="55">
        <f>SUMIFS('Awards Summary'!$H:$H,'Awards Summary'!$B:$B,$C136,'Awards Summary'!$J:$J,"NHCC")</f>
        <v>0</v>
      </c>
      <c r="DQ136" s="55">
        <f>SUMIFS('Disbursements Summary'!$E:$E,'Disbursements Summary'!$C:$C,$C136,'Disbursements Summary'!$A:$A,"NHCC")</f>
        <v>0</v>
      </c>
      <c r="DR136" s="55">
        <f>SUMIFS('Awards Summary'!$H:$H,'Awards Summary'!$B:$B,$C136,'Awards Summary'!$J:$J,"NHT")</f>
        <v>0</v>
      </c>
      <c r="DS136" s="55">
        <f>SUMIFS('Disbursements Summary'!$E:$E,'Disbursements Summary'!$C:$C,$C136,'Disbursements Summary'!$A:$A,"NHT")</f>
        <v>0</v>
      </c>
      <c r="DT136" s="55">
        <f>SUMIFS('Awards Summary'!$H:$H,'Awards Summary'!$B:$B,$C136,'Awards Summary'!$J:$J,"NYPA")</f>
        <v>0</v>
      </c>
      <c r="DU136" s="55">
        <f>SUMIFS('Disbursements Summary'!$E:$E,'Disbursements Summary'!$C:$C,$C136,'Disbursements Summary'!$A:$A,"NYPA")</f>
        <v>0</v>
      </c>
      <c r="DV136" s="55">
        <f>SUMIFS('Awards Summary'!$H:$H,'Awards Summary'!$B:$B,$C136,'Awards Summary'!$J:$J,"NYSBA")</f>
        <v>0</v>
      </c>
      <c r="DW136" s="55">
        <f>SUMIFS('Disbursements Summary'!$E:$E,'Disbursements Summary'!$C:$C,$C136,'Disbursements Summary'!$A:$A,"NYSBA")</f>
        <v>0</v>
      </c>
      <c r="DX136" s="55">
        <f>SUMIFS('Awards Summary'!$H:$H,'Awards Summary'!$B:$B,$C136,'Awards Summary'!$J:$J,"NYSERDA")</f>
        <v>0</v>
      </c>
      <c r="DY136" s="55">
        <f>SUMIFS('Disbursements Summary'!$E:$E,'Disbursements Summary'!$C:$C,$C136,'Disbursements Summary'!$A:$A,"NYSERDA")</f>
        <v>0</v>
      </c>
      <c r="DZ136" s="55">
        <f>SUMIFS('Awards Summary'!$H:$H,'Awards Summary'!$B:$B,$C136,'Awards Summary'!$J:$J,"DHCR")</f>
        <v>0</v>
      </c>
      <c r="EA136" s="55">
        <f>SUMIFS('Disbursements Summary'!$E:$E,'Disbursements Summary'!$C:$C,$C136,'Disbursements Summary'!$A:$A,"DHCR")</f>
        <v>0</v>
      </c>
      <c r="EB136" s="55">
        <f>SUMIFS('Awards Summary'!$H:$H,'Awards Summary'!$B:$B,$C136,'Awards Summary'!$J:$J,"HFA")</f>
        <v>0</v>
      </c>
      <c r="EC136" s="55">
        <f>SUMIFS('Disbursements Summary'!$E:$E,'Disbursements Summary'!$C:$C,$C136,'Disbursements Summary'!$A:$A,"HFA")</f>
        <v>0</v>
      </c>
      <c r="ED136" s="55">
        <f>SUMIFS('Awards Summary'!$H:$H,'Awards Summary'!$B:$B,$C136,'Awards Summary'!$J:$J,"NYSIF")</f>
        <v>0</v>
      </c>
      <c r="EE136" s="55">
        <f>SUMIFS('Disbursements Summary'!$E:$E,'Disbursements Summary'!$C:$C,$C136,'Disbursements Summary'!$A:$A,"NYSIF")</f>
        <v>0</v>
      </c>
      <c r="EF136" s="55">
        <f>SUMIFS('Awards Summary'!$H:$H,'Awards Summary'!$B:$B,$C136,'Awards Summary'!$J:$J,"NYBREDS")</f>
        <v>0</v>
      </c>
      <c r="EG136" s="55">
        <f>SUMIFS('Disbursements Summary'!$E:$E,'Disbursements Summary'!$C:$C,$C136,'Disbursements Summary'!$A:$A,"NYBREDS")</f>
        <v>0</v>
      </c>
      <c r="EH136" s="55">
        <f>SUMIFS('Awards Summary'!$H:$H,'Awards Summary'!$B:$B,$C136,'Awards Summary'!$J:$J,"NYSTA")</f>
        <v>0</v>
      </c>
      <c r="EI136" s="55">
        <f>SUMIFS('Disbursements Summary'!$E:$E,'Disbursements Summary'!$C:$C,$C136,'Disbursements Summary'!$A:$A,"NYSTA")</f>
        <v>0</v>
      </c>
      <c r="EJ136" s="55">
        <f>SUMIFS('Awards Summary'!$H:$H,'Awards Summary'!$B:$B,$C136,'Awards Summary'!$J:$J,"NFWB")</f>
        <v>0</v>
      </c>
      <c r="EK136" s="55">
        <f>SUMIFS('Disbursements Summary'!$E:$E,'Disbursements Summary'!$C:$C,$C136,'Disbursements Summary'!$A:$A,"NFWB")</f>
        <v>0</v>
      </c>
      <c r="EL136" s="55">
        <f>SUMIFS('Awards Summary'!$H:$H,'Awards Summary'!$B:$B,$C136,'Awards Summary'!$J:$J,"NFTA")</f>
        <v>0</v>
      </c>
      <c r="EM136" s="55">
        <f>SUMIFS('Disbursements Summary'!$E:$E,'Disbursements Summary'!$C:$C,$C136,'Disbursements Summary'!$A:$A,"NFTA")</f>
        <v>0</v>
      </c>
      <c r="EN136" s="55">
        <f>SUMIFS('Awards Summary'!$H:$H,'Awards Summary'!$B:$B,$C136,'Awards Summary'!$J:$J,"OPWDD")</f>
        <v>0</v>
      </c>
      <c r="EO136" s="55">
        <f>SUMIFS('Disbursements Summary'!$E:$E,'Disbursements Summary'!$C:$C,$C136,'Disbursements Summary'!$A:$A,"OPWDD")</f>
        <v>0</v>
      </c>
      <c r="EP136" s="55">
        <f>SUMIFS('Awards Summary'!$H:$H,'Awards Summary'!$B:$B,$C136,'Awards Summary'!$J:$J,"AGING")</f>
        <v>0</v>
      </c>
      <c r="EQ136" s="55">
        <f>SUMIFS('Disbursements Summary'!$E:$E,'Disbursements Summary'!$C:$C,$C136,'Disbursements Summary'!$A:$A,"AGING")</f>
        <v>0</v>
      </c>
      <c r="ER136" s="55">
        <f>SUMIFS('Awards Summary'!$H:$H,'Awards Summary'!$B:$B,$C136,'Awards Summary'!$J:$J,"OPDV")</f>
        <v>0</v>
      </c>
      <c r="ES136" s="55">
        <f>SUMIFS('Disbursements Summary'!$E:$E,'Disbursements Summary'!$C:$C,$C136,'Disbursements Summary'!$A:$A,"OPDV")</f>
        <v>0</v>
      </c>
      <c r="ET136" s="55">
        <f>SUMIFS('Awards Summary'!$H:$H,'Awards Summary'!$B:$B,$C136,'Awards Summary'!$J:$J,"OVS")</f>
        <v>0</v>
      </c>
      <c r="EU136" s="55">
        <f>SUMIFS('Disbursements Summary'!$E:$E,'Disbursements Summary'!$C:$C,$C136,'Disbursements Summary'!$A:$A,"OVS")</f>
        <v>0</v>
      </c>
      <c r="EV136" s="55">
        <f>SUMIFS('Awards Summary'!$H:$H,'Awards Summary'!$B:$B,$C136,'Awards Summary'!$J:$J,"OASAS")</f>
        <v>0</v>
      </c>
      <c r="EW136" s="55">
        <f>SUMIFS('Disbursements Summary'!$E:$E,'Disbursements Summary'!$C:$C,$C136,'Disbursements Summary'!$A:$A,"OASAS")</f>
        <v>0</v>
      </c>
      <c r="EX136" s="55">
        <f>SUMIFS('Awards Summary'!$H:$H,'Awards Summary'!$B:$B,$C136,'Awards Summary'!$J:$J,"OCFS")</f>
        <v>0</v>
      </c>
      <c r="EY136" s="55">
        <f>SUMIFS('Disbursements Summary'!$E:$E,'Disbursements Summary'!$C:$C,$C136,'Disbursements Summary'!$A:$A,"OCFS")</f>
        <v>0</v>
      </c>
      <c r="EZ136" s="55">
        <f>SUMIFS('Awards Summary'!$H:$H,'Awards Summary'!$B:$B,$C136,'Awards Summary'!$J:$J,"OGS")</f>
        <v>0</v>
      </c>
      <c r="FA136" s="55">
        <f>SUMIFS('Disbursements Summary'!$E:$E,'Disbursements Summary'!$C:$C,$C136,'Disbursements Summary'!$A:$A,"OGS")</f>
        <v>0</v>
      </c>
      <c r="FB136" s="55">
        <f>SUMIFS('Awards Summary'!$H:$H,'Awards Summary'!$B:$B,$C136,'Awards Summary'!$J:$J,"OMH")</f>
        <v>0</v>
      </c>
      <c r="FC136" s="55">
        <f>SUMIFS('Disbursements Summary'!$E:$E,'Disbursements Summary'!$C:$C,$C136,'Disbursements Summary'!$A:$A,"OMH")</f>
        <v>0</v>
      </c>
      <c r="FD136" s="55">
        <f>SUMIFS('Awards Summary'!$H:$H,'Awards Summary'!$B:$B,$C136,'Awards Summary'!$J:$J,"PARKS")</f>
        <v>0</v>
      </c>
      <c r="FE136" s="55">
        <f>SUMIFS('Disbursements Summary'!$E:$E,'Disbursements Summary'!$C:$C,$C136,'Disbursements Summary'!$A:$A,"PARKS")</f>
        <v>0</v>
      </c>
      <c r="FF136" s="55">
        <f>SUMIFS('Awards Summary'!$H:$H,'Awards Summary'!$B:$B,$C136,'Awards Summary'!$J:$J,"OTDA")</f>
        <v>0</v>
      </c>
      <c r="FG136" s="55">
        <f>SUMIFS('Disbursements Summary'!$E:$E,'Disbursements Summary'!$C:$C,$C136,'Disbursements Summary'!$A:$A,"OTDA")</f>
        <v>0</v>
      </c>
      <c r="FH136" s="55">
        <f>SUMIFS('Awards Summary'!$H:$H,'Awards Summary'!$B:$B,$C136,'Awards Summary'!$J:$J,"OIG")</f>
        <v>0</v>
      </c>
      <c r="FI136" s="55">
        <f>SUMIFS('Disbursements Summary'!$E:$E,'Disbursements Summary'!$C:$C,$C136,'Disbursements Summary'!$A:$A,"OIG")</f>
        <v>0</v>
      </c>
      <c r="FJ136" s="55">
        <f>SUMIFS('Awards Summary'!$H:$H,'Awards Summary'!$B:$B,$C136,'Awards Summary'!$J:$J,"OMIG")</f>
        <v>0</v>
      </c>
      <c r="FK136" s="55">
        <f>SUMIFS('Disbursements Summary'!$E:$E,'Disbursements Summary'!$C:$C,$C136,'Disbursements Summary'!$A:$A,"OMIG")</f>
        <v>0</v>
      </c>
      <c r="FL136" s="55">
        <f>SUMIFS('Awards Summary'!$H:$H,'Awards Summary'!$B:$B,$C136,'Awards Summary'!$J:$J,"OSC")</f>
        <v>0</v>
      </c>
      <c r="FM136" s="55">
        <f>SUMIFS('Disbursements Summary'!$E:$E,'Disbursements Summary'!$C:$C,$C136,'Disbursements Summary'!$A:$A,"OSC")</f>
        <v>0</v>
      </c>
      <c r="FN136" s="55">
        <f>SUMIFS('Awards Summary'!$H:$H,'Awards Summary'!$B:$B,$C136,'Awards Summary'!$J:$J,"OWIG")</f>
        <v>0</v>
      </c>
      <c r="FO136" s="55">
        <f>SUMIFS('Disbursements Summary'!$E:$E,'Disbursements Summary'!$C:$C,$C136,'Disbursements Summary'!$A:$A,"OWIG")</f>
        <v>0</v>
      </c>
      <c r="FP136" s="55">
        <f>SUMIFS('Awards Summary'!$H:$H,'Awards Summary'!$B:$B,$C136,'Awards Summary'!$J:$J,"OGDEN")</f>
        <v>0</v>
      </c>
      <c r="FQ136" s="55">
        <f>SUMIFS('Disbursements Summary'!$E:$E,'Disbursements Summary'!$C:$C,$C136,'Disbursements Summary'!$A:$A,"OGDEN")</f>
        <v>0</v>
      </c>
      <c r="FR136" s="55">
        <f>SUMIFS('Awards Summary'!$H:$H,'Awards Summary'!$B:$B,$C136,'Awards Summary'!$J:$J,"ORDA")</f>
        <v>0</v>
      </c>
      <c r="FS136" s="55">
        <f>SUMIFS('Disbursements Summary'!$E:$E,'Disbursements Summary'!$C:$C,$C136,'Disbursements Summary'!$A:$A,"ORDA")</f>
        <v>0</v>
      </c>
      <c r="FT136" s="55">
        <f>SUMIFS('Awards Summary'!$H:$H,'Awards Summary'!$B:$B,$C136,'Awards Summary'!$J:$J,"OSWEGO")</f>
        <v>0</v>
      </c>
      <c r="FU136" s="55">
        <f>SUMIFS('Disbursements Summary'!$E:$E,'Disbursements Summary'!$C:$C,$C136,'Disbursements Summary'!$A:$A,"OSWEGO")</f>
        <v>0</v>
      </c>
      <c r="FV136" s="55">
        <f>SUMIFS('Awards Summary'!$H:$H,'Awards Summary'!$B:$B,$C136,'Awards Summary'!$J:$J,"PERB")</f>
        <v>0</v>
      </c>
      <c r="FW136" s="55">
        <f>SUMIFS('Disbursements Summary'!$E:$E,'Disbursements Summary'!$C:$C,$C136,'Disbursements Summary'!$A:$A,"PERB")</f>
        <v>0</v>
      </c>
      <c r="FX136" s="55">
        <f>SUMIFS('Awards Summary'!$H:$H,'Awards Summary'!$B:$B,$C136,'Awards Summary'!$J:$J,"RGRTA")</f>
        <v>0</v>
      </c>
      <c r="FY136" s="55">
        <f>SUMIFS('Disbursements Summary'!$E:$E,'Disbursements Summary'!$C:$C,$C136,'Disbursements Summary'!$A:$A,"RGRTA")</f>
        <v>0</v>
      </c>
      <c r="FZ136" s="55">
        <f>SUMIFS('Awards Summary'!$H:$H,'Awards Summary'!$B:$B,$C136,'Awards Summary'!$J:$J,"RIOC")</f>
        <v>0</v>
      </c>
      <c r="GA136" s="55">
        <f>SUMIFS('Disbursements Summary'!$E:$E,'Disbursements Summary'!$C:$C,$C136,'Disbursements Summary'!$A:$A,"RIOC")</f>
        <v>0</v>
      </c>
      <c r="GB136" s="55">
        <f>SUMIFS('Awards Summary'!$H:$H,'Awards Summary'!$B:$B,$C136,'Awards Summary'!$J:$J,"RPCI")</f>
        <v>0</v>
      </c>
      <c r="GC136" s="55">
        <f>SUMIFS('Disbursements Summary'!$E:$E,'Disbursements Summary'!$C:$C,$C136,'Disbursements Summary'!$A:$A,"RPCI")</f>
        <v>0</v>
      </c>
      <c r="GD136" s="55">
        <f>SUMIFS('Awards Summary'!$H:$H,'Awards Summary'!$B:$B,$C136,'Awards Summary'!$J:$J,"SMDA")</f>
        <v>0</v>
      </c>
      <c r="GE136" s="55">
        <f>SUMIFS('Disbursements Summary'!$E:$E,'Disbursements Summary'!$C:$C,$C136,'Disbursements Summary'!$A:$A,"SMDA")</f>
        <v>0</v>
      </c>
      <c r="GF136" s="55">
        <f>SUMIFS('Awards Summary'!$H:$H,'Awards Summary'!$B:$B,$C136,'Awards Summary'!$J:$J,"SCOC")</f>
        <v>0</v>
      </c>
      <c r="GG136" s="55">
        <f>SUMIFS('Disbursements Summary'!$E:$E,'Disbursements Summary'!$C:$C,$C136,'Disbursements Summary'!$A:$A,"SCOC")</f>
        <v>0</v>
      </c>
      <c r="GH136" s="55">
        <f>SUMIFS('Awards Summary'!$H:$H,'Awards Summary'!$B:$B,$C136,'Awards Summary'!$J:$J,"SUCF")</f>
        <v>0</v>
      </c>
      <c r="GI136" s="55">
        <f>SUMIFS('Disbursements Summary'!$E:$E,'Disbursements Summary'!$C:$C,$C136,'Disbursements Summary'!$A:$A,"SUCF")</f>
        <v>0</v>
      </c>
      <c r="GJ136" s="55">
        <f>SUMIFS('Awards Summary'!$H:$H,'Awards Summary'!$B:$B,$C136,'Awards Summary'!$J:$J,"SUNY")</f>
        <v>0</v>
      </c>
      <c r="GK136" s="55">
        <f>SUMIFS('Disbursements Summary'!$E:$E,'Disbursements Summary'!$C:$C,$C136,'Disbursements Summary'!$A:$A,"SUNY")</f>
        <v>0</v>
      </c>
      <c r="GL136" s="55">
        <f>SUMIFS('Awards Summary'!$H:$H,'Awards Summary'!$B:$B,$C136,'Awards Summary'!$J:$J,"SRAA")</f>
        <v>0</v>
      </c>
      <c r="GM136" s="55">
        <f>SUMIFS('Disbursements Summary'!$E:$E,'Disbursements Summary'!$C:$C,$C136,'Disbursements Summary'!$A:$A,"SRAA")</f>
        <v>0</v>
      </c>
      <c r="GN136" s="55">
        <f>SUMIFS('Awards Summary'!$H:$H,'Awards Summary'!$B:$B,$C136,'Awards Summary'!$J:$J,"UNDC")</f>
        <v>0</v>
      </c>
      <c r="GO136" s="55">
        <f>SUMIFS('Disbursements Summary'!$E:$E,'Disbursements Summary'!$C:$C,$C136,'Disbursements Summary'!$A:$A,"UNDC")</f>
        <v>0</v>
      </c>
      <c r="GP136" s="55">
        <f>SUMIFS('Awards Summary'!$H:$H,'Awards Summary'!$B:$B,$C136,'Awards Summary'!$J:$J,"MVWA")</f>
        <v>0</v>
      </c>
      <c r="GQ136" s="55">
        <f>SUMIFS('Disbursements Summary'!$E:$E,'Disbursements Summary'!$C:$C,$C136,'Disbursements Summary'!$A:$A,"MVWA")</f>
        <v>0</v>
      </c>
      <c r="GR136" s="55">
        <f>SUMIFS('Awards Summary'!$H:$H,'Awards Summary'!$B:$B,$C136,'Awards Summary'!$J:$J,"WMC")</f>
        <v>0</v>
      </c>
      <c r="GS136" s="55">
        <f>SUMIFS('Disbursements Summary'!$E:$E,'Disbursements Summary'!$C:$C,$C136,'Disbursements Summary'!$A:$A,"WMC")</f>
        <v>0</v>
      </c>
      <c r="GT136" s="55">
        <f>SUMIFS('Awards Summary'!$H:$H,'Awards Summary'!$B:$B,$C136,'Awards Summary'!$J:$J,"WCB")</f>
        <v>0</v>
      </c>
      <c r="GU136" s="55">
        <f>SUMIFS('Disbursements Summary'!$E:$E,'Disbursements Summary'!$C:$C,$C136,'Disbursements Summary'!$A:$A,"WCB")</f>
        <v>0</v>
      </c>
      <c r="GV136" s="32">
        <f t="shared" si="10"/>
        <v>0</v>
      </c>
      <c r="GW136" s="32">
        <f t="shared" si="11"/>
        <v>0</v>
      </c>
      <c r="GX136" s="30" t="b">
        <f t="shared" si="12"/>
        <v>1</v>
      </c>
      <c r="GY136" s="30" t="b">
        <f t="shared" si="13"/>
        <v>1</v>
      </c>
    </row>
    <row r="137" spans="1:16384" s="61" customFormat="1">
      <c r="A137" s="22" t="str">
        <f t="shared" si="14"/>
        <v/>
      </c>
      <c r="B137" s="196" t="s">
        <v>481</v>
      </c>
      <c r="C137" s="65">
        <v>171369</v>
      </c>
      <c r="D137" s="66">
        <f>COUNTIF('Awards Summary'!B:B,"171369")</f>
        <v>0</v>
      </c>
      <c r="E137" s="67">
        <f>SUMIFS('Awards Summary'!H:H,'Awards Summary'!B:B,"171369")</f>
        <v>0</v>
      </c>
      <c r="F137" s="68">
        <f>SUMIFS('Disbursements Summary'!E:E,'Disbursements Summary'!C:C, "171369")</f>
        <v>0</v>
      </c>
      <c r="G137" s="30"/>
      <c r="H137" s="55">
        <f>SUMIFS('Awards Summary'!$H:$H,'Awards Summary'!$B:$B,$C137,'Awards Summary'!$J:$J,"APA")</f>
        <v>0</v>
      </c>
      <c r="I137" s="55">
        <f>SUMIFS('Disbursements Summary'!$E:$E,'Disbursements Summary'!$C:$C,$C137,'Disbursements Summary'!$A:$A,"APA")</f>
        <v>0</v>
      </c>
      <c r="J137" s="55">
        <f>SUMIFS('Awards Summary'!$H:$H,'Awards Summary'!$B:$B,$C137,'Awards Summary'!$J:$J,"Ag&amp;Horse")</f>
        <v>0</v>
      </c>
      <c r="K137" s="55">
        <f>SUMIFS('Disbursements Summary'!$E:$E,'Disbursements Summary'!$C:$C,$C137,'Disbursements Summary'!$A:$A,"Ag&amp;Horse")</f>
        <v>0</v>
      </c>
      <c r="L137" s="55">
        <f>SUMIFS('Awards Summary'!$H:$H,'Awards Summary'!$B:$B,$C137,'Awards Summary'!$J:$J,"ACAA")</f>
        <v>0</v>
      </c>
      <c r="M137" s="55">
        <f>SUMIFS('Disbursements Summary'!$E:$E,'Disbursements Summary'!$C:$C,$C137,'Disbursements Summary'!$A:$A,"ACAA")</f>
        <v>0</v>
      </c>
      <c r="N137" s="55">
        <f>SUMIFS('Awards Summary'!$H:$H,'Awards Summary'!$B:$B,$C137,'Awards Summary'!$J:$J,"PortAlbany")</f>
        <v>0</v>
      </c>
      <c r="O137" s="55">
        <f>SUMIFS('Disbursements Summary'!$E:$E,'Disbursements Summary'!$C:$C,$C137,'Disbursements Summary'!$A:$A,"PortAlbany")</f>
        <v>0</v>
      </c>
      <c r="P137" s="55">
        <f>SUMIFS('Awards Summary'!$H:$H,'Awards Summary'!$B:$B,$C137,'Awards Summary'!$J:$J,"SLA")</f>
        <v>0</v>
      </c>
      <c r="Q137" s="55">
        <f>SUMIFS('Disbursements Summary'!$E:$E,'Disbursements Summary'!$C:$C,$C137,'Disbursements Summary'!$A:$A,"SLA")</f>
        <v>0</v>
      </c>
      <c r="R137" s="55">
        <f>SUMIFS('Awards Summary'!$H:$H,'Awards Summary'!$B:$B,$C137,'Awards Summary'!$J:$J,"BPCA")</f>
        <v>0</v>
      </c>
      <c r="S137" s="55">
        <f>SUMIFS('Disbursements Summary'!$E:$E,'Disbursements Summary'!$C:$C,$C137,'Disbursements Summary'!$A:$A,"BPCA")</f>
        <v>0</v>
      </c>
      <c r="T137" s="55">
        <f>SUMIFS('Awards Summary'!$H:$H,'Awards Summary'!$B:$B,$C137,'Awards Summary'!$J:$J,"ELECTIONS")</f>
        <v>0</v>
      </c>
      <c r="U137" s="55">
        <f>SUMIFS('Disbursements Summary'!$E:$E,'Disbursements Summary'!$C:$C,$C137,'Disbursements Summary'!$A:$A,"ELECTIONS")</f>
        <v>0</v>
      </c>
      <c r="V137" s="55">
        <f>SUMIFS('Awards Summary'!$H:$H,'Awards Summary'!$B:$B,$C137,'Awards Summary'!$J:$J,"BFSA")</f>
        <v>0</v>
      </c>
      <c r="W137" s="55">
        <f>SUMIFS('Disbursements Summary'!$E:$E,'Disbursements Summary'!$C:$C,$C137,'Disbursements Summary'!$A:$A,"BFSA")</f>
        <v>0</v>
      </c>
      <c r="X137" s="55">
        <f>SUMIFS('Awards Summary'!$H:$H,'Awards Summary'!$B:$B,$C137,'Awards Summary'!$J:$J,"CDTA")</f>
        <v>0</v>
      </c>
      <c r="Y137" s="55">
        <f>SUMIFS('Disbursements Summary'!$E:$E,'Disbursements Summary'!$C:$C,$C137,'Disbursements Summary'!$A:$A,"CDTA")</f>
        <v>0</v>
      </c>
      <c r="Z137" s="55">
        <f>SUMIFS('Awards Summary'!$H:$H,'Awards Summary'!$B:$B,$C137,'Awards Summary'!$J:$J,"CCWSA")</f>
        <v>0</v>
      </c>
      <c r="AA137" s="55">
        <f>SUMIFS('Disbursements Summary'!$E:$E,'Disbursements Summary'!$C:$C,$C137,'Disbursements Summary'!$A:$A,"CCWSA")</f>
        <v>0</v>
      </c>
      <c r="AB137" s="55">
        <f>SUMIFS('Awards Summary'!$H:$H,'Awards Summary'!$B:$B,$C137,'Awards Summary'!$J:$J,"CNYRTA")</f>
        <v>0</v>
      </c>
      <c r="AC137" s="55">
        <f>SUMIFS('Disbursements Summary'!$E:$E,'Disbursements Summary'!$C:$C,$C137,'Disbursements Summary'!$A:$A,"CNYRTA")</f>
        <v>0</v>
      </c>
      <c r="AD137" s="55">
        <f>SUMIFS('Awards Summary'!$H:$H,'Awards Summary'!$B:$B,$C137,'Awards Summary'!$J:$J,"CUCF")</f>
        <v>0</v>
      </c>
      <c r="AE137" s="55">
        <f>SUMIFS('Disbursements Summary'!$E:$E,'Disbursements Summary'!$C:$C,$C137,'Disbursements Summary'!$A:$A,"CUCF")</f>
        <v>0</v>
      </c>
      <c r="AF137" s="55">
        <f>SUMIFS('Awards Summary'!$H:$H,'Awards Summary'!$B:$B,$C137,'Awards Summary'!$J:$J,"CUNY")</f>
        <v>0</v>
      </c>
      <c r="AG137" s="55">
        <f>SUMIFS('Disbursements Summary'!$E:$E,'Disbursements Summary'!$C:$C,$C137,'Disbursements Summary'!$A:$A,"CUNY")</f>
        <v>0</v>
      </c>
      <c r="AH137" s="55">
        <f>SUMIFS('Awards Summary'!$H:$H,'Awards Summary'!$B:$B,$C137,'Awards Summary'!$J:$J,"ARTS")</f>
        <v>0</v>
      </c>
      <c r="AI137" s="55">
        <f>SUMIFS('Disbursements Summary'!$E:$E,'Disbursements Summary'!$C:$C,$C137,'Disbursements Summary'!$A:$A,"ARTS")</f>
        <v>0</v>
      </c>
      <c r="AJ137" s="55">
        <f>SUMIFS('Awards Summary'!$H:$H,'Awards Summary'!$B:$B,$C137,'Awards Summary'!$J:$J,"AG&amp;MKTS")</f>
        <v>0</v>
      </c>
      <c r="AK137" s="55">
        <f>SUMIFS('Disbursements Summary'!$E:$E,'Disbursements Summary'!$C:$C,$C137,'Disbursements Summary'!$A:$A,"AG&amp;MKTS")</f>
        <v>0</v>
      </c>
      <c r="AL137" s="55">
        <f>SUMIFS('Awards Summary'!$H:$H,'Awards Summary'!$B:$B,$C137,'Awards Summary'!$J:$J,"CS")</f>
        <v>0</v>
      </c>
      <c r="AM137" s="55">
        <f>SUMIFS('Disbursements Summary'!$E:$E,'Disbursements Summary'!$C:$C,$C137,'Disbursements Summary'!$A:$A,"CS")</f>
        <v>0</v>
      </c>
      <c r="AN137" s="55">
        <f>SUMIFS('Awards Summary'!$H:$H,'Awards Summary'!$B:$B,$C137,'Awards Summary'!$J:$J,"DOCCS")</f>
        <v>0</v>
      </c>
      <c r="AO137" s="55">
        <f>SUMIFS('Disbursements Summary'!$E:$E,'Disbursements Summary'!$C:$C,$C137,'Disbursements Summary'!$A:$A,"DOCCS")</f>
        <v>0</v>
      </c>
      <c r="AP137" s="55">
        <f>SUMIFS('Awards Summary'!$H:$H,'Awards Summary'!$B:$B,$C137,'Awards Summary'!$J:$J,"DED")</f>
        <v>0</v>
      </c>
      <c r="AQ137" s="55">
        <f>SUMIFS('Disbursements Summary'!$E:$E,'Disbursements Summary'!$C:$C,$C137,'Disbursements Summary'!$A:$A,"DED")</f>
        <v>0</v>
      </c>
      <c r="AR137" s="55">
        <f>SUMIFS('Awards Summary'!$H:$H,'Awards Summary'!$B:$B,$C137,'Awards Summary'!$J:$J,"DEC")</f>
        <v>0</v>
      </c>
      <c r="AS137" s="55">
        <f>SUMIFS('Disbursements Summary'!$E:$E,'Disbursements Summary'!$C:$C,$C137,'Disbursements Summary'!$A:$A,"DEC")</f>
        <v>0</v>
      </c>
      <c r="AT137" s="55">
        <f>SUMIFS('Awards Summary'!$H:$H,'Awards Summary'!$B:$B,$C137,'Awards Summary'!$J:$J,"DFS")</f>
        <v>0</v>
      </c>
      <c r="AU137" s="55">
        <f>SUMIFS('Disbursements Summary'!$E:$E,'Disbursements Summary'!$C:$C,$C137,'Disbursements Summary'!$A:$A,"DFS")</f>
        <v>0</v>
      </c>
      <c r="AV137" s="55">
        <f>SUMIFS('Awards Summary'!$H:$H,'Awards Summary'!$B:$B,$C137,'Awards Summary'!$J:$J,"DOH")</f>
        <v>0</v>
      </c>
      <c r="AW137" s="55">
        <f>SUMIFS('Disbursements Summary'!$E:$E,'Disbursements Summary'!$C:$C,$C137,'Disbursements Summary'!$A:$A,"DOH")</f>
        <v>0</v>
      </c>
      <c r="AX137" s="55">
        <f>SUMIFS('Awards Summary'!$H:$H,'Awards Summary'!$B:$B,$C137,'Awards Summary'!$J:$J,"DOL")</f>
        <v>0</v>
      </c>
      <c r="AY137" s="55">
        <f>SUMIFS('Disbursements Summary'!$E:$E,'Disbursements Summary'!$C:$C,$C137,'Disbursements Summary'!$A:$A,"DOL")</f>
        <v>0</v>
      </c>
      <c r="AZ137" s="55">
        <f>SUMIFS('Awards Summary'!$H:$H,'Awards Summary'!$B:$B,$C137,'Awards Summary'!$J:$J,"DMV")</f>
        <v>0</v>
      </c>
      <c r="BA137" s="55">
        <f>SUMIFS('Disbursements Summary'!$E:$E,'Disbursements Summary'!$C:$C,$C137,'Disbursements Summary'!$A:$A,"DMV")</f>
        <v>0</v>
      </c>
      <c r="BB137" s="55">
        <f>SUMIFS('Awards Summary'!$H:$H,'Awards Summary'!$B:$B,$C137,'Awards Summary'!$J:$J,"DPS")</f>
        <v>0</v>
      </c>
      <c r="BC137" s="55">
        <f>SUMIFS('Disbursements Summary'!$E:$E,'Disbursements Summary'!$C:$C,$C137,'Disbursements Summary'!$A:$A,"DPS")</f>
        <v>0</v>
      </c>
      <c r="BD137" s="55">
        <f>SUMIFS('Awards Summary'!$H:$H,'Awards Summary'!$B:$B,$C137,'Awards Summary'!$J:$J,"DOS")</f>
        <v>0</v>
      </c>
      <c r="BE137" s="55">
        <f>SUMIFS('Disbursements Summary'!$E:$E,'Disbursements Summary'!$C:$C,$C137,'Disbursements Summary'!$A:$A,"DOS")</f>
        <v>0</v>
      </c>
      <c r="BF137" s="55">
        <f>SUMIFS('Awards Summary'!$H:$H,'Awards Summary'!$B:$B,$C137,'Awards Summary'!$J:$J,"TAX")</f>
        <v>0</v>
      </c>
      <c r="BG137" s="55">
        <f>SUMIFS('Disbursements Summary'!$E:$E,'Disbursements Summary'!$C:$C,$C137,'Disbursements Summary'!$A:$A,"TAX")</f>
        <v>0</v>
      </c>
      <c r="BH137" s="55">
        <f>SUMIFS('Awards Summary'!$H:$H,'Awards Summary'!$B:$B,$C137,'Awards Summary'!$J:$J,"DOT")</f>
        <v>0</v>
      </c>
      <c r="BI137" s="55">
        <f>SUMIFS('Disbursements Summary'!$E:$E,'Disbursements Summary'!$C:$C,$C137,'Disbursements Summary'!$A:$A,"DOT")</f>
        <v>0</v>
      </c>
      <c r="BJ137" s="55">
        <f>SUMIFS('Awards Summary'!$H:$H,'Awards Summary'!$B:$B,$C137,'Awards Summary'!$J:$J,"DANC")</f>
        <v>0</v>
      </c>
      <c r="BK137" s="55">
        <f>SUMIFS('Disbursements Summary'!$E:$E,'Disbursements Summary'!$C:$C,$C137,'Disbursements Summary'!$A:$A,"DANC")</f>
        <v>0</v>
      </c>
      <c r="BL137" s="55">
        <f>SUMIFS('Awards Summary'!$H:$H,'Awards Summary'!$B:$B,$C137,'Awards Summary'!$J:$J,"DOB")</f>
        <v>0</v>
      </c>
      <c r="BM137" s="55">
        <f>SUMIFS('Disbursements Summary'!$E:$E,'Disbursements Summary'!$C:$C,$C137,'Disbursements Summary'!$A:$A,"DOB")</f>
        <v>0</v>
      </c>
      <c r="BN137" s="55">
        <f>SUMIFS('Awards Summary'!$H:$H,'Awards Summary'!$B:$B,$C137,'Awards Summary'!$J:$J,"DCJS")</f>
        <v>0</v>
      </c>
      <c r="BO137" s="55">
        <f>SUMIFS('Disbursements Summary'!$E:$E,'Disbursements Summary'!$C:$C,$C137,'Disbursements Summary'!$A:$A,"DCJS")</f>
        <v>0</v>
      </c>
      <c r="BP137" s="55">
        <f>SUMIFS('Awards Summary'!$H:$H,'Awards Summary'!$B:$B,$C137,'Awards Summary'!$J:$J,"DHSES")</f>
        <v>0</v>
      </c>
      <c r="BQ137" s="55">
        <f>SUMIFS('Disbursements Summary'!$E:$E,'Disbursements Summary'!$C:$C,$C137,'Disbursements Summary'!$A:$A,"DHSES")</f>
        <v>0</v>
      </c>
      <c r="BR137" s="55">
        <f>SUMIFS('Awards Summary'!$H:$H,'Awards Summary'!$B:$B,$C137,'Awards Summary'!$J:$J,"DHR")</f>
        <v>0</v>
      </c>
      <c r="BS137" s="55">
        <f>SUMIFS('Disbursements Summary'!$E:$E,'Disbursements Summary'!$C:$C,$C137,'Disbursements Summary'!$A:$A,"DHR")</f>
        <v>0</v>
      </c>
      <c r="BT137" s="55">
        <f>SUMIFS('Awards Summary'!$H:$H,'Awards Summary'!$B:$B,$C137,'Awards Summary'!$J:$J,"DMNA")</f>
        <v>0</v>
      </c>
      <c r="BU137" s="55">
        <f>SUMIFS('Disbursements Summary'!$E:$E,'Disbursements Summary'!$C:$C,$C137,'Disbursements Summary'!$A:$A,"DMNA")</f>
        <v>0</v>
      </c>
      <c r="BV137" s="55">
        <f>SUMIFS('Awards Summary'!$H:$H,'Awards Summary'!$B:$B,$C137,'Awards Summary'!$J:$J,"TROOPERS")</f>
        <v>0</v>
      </c>
      <c r="BW137" s="55">
        <f>SUMIFS('Disbursements Summary'!$E:$E,'Disbursements Summary'!$C:$C,$C137,'Disbursements Summary'!$A:$A,"TROOPERS")</f>
        <v>0</v>
      </c>
      <c r="BX137" s="55">
        <f>SUMIFS('Awards Summary'!$H:$H,'Awards Summary'!$B:$B,$C137,'Awards Summary'!$J:$J,"DVA")</f>
        <v>0</v>
      </c>
      <c r="BY137" s="55">
        <f>SUMIFS('Disbursements Summary'!$E:$E,'Disbursements Summary'!$C:$C,$C137,'Disbursements Summary'!$A:$A,"DVA")</f>
        <v>0</v>
      </c>
      <c r="BZ137" s="55">
        <f>SUMIFS('Awards Summary'!$H:$H,'Awards Summary'!$B:$B,$C137,'Awards Summary'!$J:$J,"DASNY")</f>
        <v>0</v>
      </c>
      <c r="CA137" s="55">
        <f>SUMIFS('Disbursements Summary'!$E:$E,'Disbursements Summary'!$C:$C,$C137,'Disbursements Summary'!$A:$A,"DASNY")</f>
        <v>0</v>
      </c>
      <c r="CB137" s="55">
        <f>SUMIFS('Awards Summary'!$H:$H,'Awards Summary'!$B:$B,$C137,'Awards Summary'!$J:$J,"EGG")</f>
        <v>0</v>
      </c>
      <c r="CC137" s="55">
        <f>SUMIFS('Disbursements Summary'!$E:$E,'Disbursements Summary'!$C:$C,$C137,'Disbursements Summary'!$A:$A,"EGG")</f>
        <v>0</v>
      </c>
      <c r="CD137" s="55">
        <f>SUMIFS('Awards Summary'!$H:$H,'Awards Summary'!$B:$B,$C137,'Awards Summary'!$J:$J,"ESD")</f>
        <v>0</v>
      </c>
      <c r="CE137" s="55">
        <f>SUMIFS('Disbursements Summary'!$E:$E,'Disbursements Summary'!$C:$C,$C137,'Disbursements Summary'!$A:$A,"ESD")</f>
        <v>0</v>
      </c>
      <c r="CF137" s="55">
        <f>SUMIFS('Awards Summary'!$H:$H,'Awards Summary'!$B:$B,$C137,'Awards Summary'!$J:$J,"EFC")</f>
        <v>0</v>
      </c>
      <c r="CG137" s="55">
        <f>SUMIFS('Disbursements Summary'!$E:$E,'Disbursements Summary'!$C:$C,$C137,'Disbursements Summary'!$A:$A,"EFC")</f>
        <v>0</v>
      </c>
      <c r="CH137" s="55">
        <f>SUMIFS('Awards Summary'!$H:$H,'Awards Summary'!$B:$B,$C137,'Awards Summary'!$J:$J,"ECFSA")</f>
        <v>0</v>
      </c>
      <c r="CI137" s="55">
        <f>SUMIFS('Disbursements Summary'!$E:$E,'Disbursements Summary'!$C:$C,$C137,'Disbursements Summary'!$A:$A,"ECFSA")</f>
        <v>0</v>
      </c>
      <c r="CJ137" s="55">
        <f>SUMIFS('Awards Summary'!$H:$H,'Awards Summary'!$B:$B,$C137,'Awards Summary'!$J:$J,"ECMC")</f>
        <v>0</v>
      </c>
      <c r="CK137" s="55">
        <f>SUMIFS('Disbursements Summary'!$E:$E,'Disbursements Summary'!$C:$C,$C137,'Disbursements Summary'!$A:$A,"ECMC")</f>
        <v>0</v>
      </c>
      <c r="CL137" s="55">
        <f>SUMIFS('Awards Summary'!$H:$H,'Awards Summary'!$B:$B,$C137,'Awards Summary'!$J:$J,"CHAMBER")</f>
        <v>0</v>
      </c>
      <c r="CM137" s="55">
        <f>SUMIFS('Disbursements Summary'!$E:$E,'Disbursements Summary'!$C:$C,$C137,'Disbursements Summary'!$A:$A,"CHAMBER")</f>
        <v>0</v>
      </c>
      <c r="CN137" s="55">
        <f>SUMIFS('Awards Summary'!$H:$H,'Awards Summary'!$B:$B,$C137,'Awards Summary'!$J:$J,"GAMING")</f>
        <v>0</v>
      </c>
      <c r="CO137" s="55">
        <f>SUMIFS('Disbursements Summary'!$E:$E,'Disbursements Summary'!$C:$C,$C137,'Disbursements Summary'!$A:$A,"GAMING")</f>
        <v>0</v>
      </c>
      <c r="CP137" s="55">
        <f>SUMIFS('Awards Summary'!$H:$H,'Awards Summary'!$B:$B,$C137,'Awards Summary'!$J:$J,"GOER")</f>
        <v>0</v>
      </c>
      <c r="CQ137" s="55">
        <f>SUMIFS('Disbursements Summary'!$E:$E,'Disbursements Summary'!$C:$C,$C137,'Disbursements Summary'!$A:$A,"GOER")</f>
        <v>0</v>
      </c>
      <c r="CR137" s="55">
        <f>SUMIFS('Awards Summary'!$H:$H,'Awards Summary'!$B:$B,$C137,'Awards Summary'!$J:$J,"HESC")</f>
        <v>0</v>
      </c>
      <c r="CS137" s="55">
        <f>SUMIFS('Disbursements Summary'!$E:$E,'Disbursements Summary'!$C:$C,$C137,'Disbursements Summary'!$A:$A,"HESC")</f>
        <v>0</v>
      </c>
      <c r="CT137" s="55">
        <f>SUMIFS('Awards Summary'!$H:$H,'Awards Summary'!$B:$B,$C137,'Awards Summary'!$J:$J,"GOSR")</f>
        <v>0</v>
      </c>
      <c r="CU137" s="55">
        <f>SUMIFS('Disbursements Summary'!$E:$E,'Disbursements Summary'!$C:$C,$C137,'Disbursements Summary'!$A:$A,"GOSR")</f>
        <v>0</v>
      </c>
      <c r="CV137" s="55">
        <f>SUMIFS('Awards Summary'!$H:$H,'Awards Summary'!$B:$B,$C137,'Awards Summary'!$J:$J,"HRPT")</f>
        <v>0</v>
      </c>
      <c r="CW137" s="55">
        <f>SUMIFS('Disbursements Summary'!$E:$E,'Disbursements Summary'!$C:$C,$C137,'Disbursements Summary'!$A:$A,"HRPT")</f>
        <v>0</v>
      </c>
      <c r="CX137" s="55">
        <f>SUMIFS('Awards Summary'!$H:$H,'Awards Summary'!$B:$B,$C137,'Awards Summary'!$J:$J,"HRBRRD")</f>
        <v>0</v>
      </c>
      <c r="CY137" s="55">
        <f>SUMIFS('Disbursements Summary'!$E:$E,'Disbursements Summary'!$C:$C,$C137,'Disbursements Summary'!$A:$A,"HRBRRD")</f>
        <v>0</v>
      </c>
      <c r="CZ137" s="55">
        <f>SUMIFS('Awards Summary'!$H:$H,'Awards Summary'!$B:$B,$C137,'Awards Summary'!$J:$J,"ITS")</f>
        <v>0</v>
      </c>
      <c r="DA137" s="55">
        <f>SUMIFS('Disbursements Summary'!$E:$E,'Disbursements Summary'!$C:$C,$C137,'Disbursements Summary'!$A:$A,"ITS")</f>
        <v>0</v>
      </c>
      <c r="DB137" s="55">
        <f>SUMIFS('Awards Summary'!$H:$H,'Awards Summary'!$B:$B,$C137,'Awards Summary'!$J:$J,"JAVITS")</f>
        <v>0</v>
      </c>
      <c r="DC137" s="55">
        <f>SUMIFS('Disbursements Summary'!$E:$E,'Disbursements Summary'!$C:$C,$C137,'Disbursements Summary'!$A:$A,"JAVITS")</f>
        <v>0</v>
      </c>
      <c r="DD137" s="55">
        <f>SUMIFS('Awards Summary'!$H:$H,'Awards Summary'!$B:$B,$C137,'Awards Summary'!$J:$J,"JCOPE")</f>
        <v>0</v>
      </c>
      <c r="DE137" s="55">
        <f>SUMIFS('Disbursements Summary'!$E:$E,'Disbursements Summary'!$C:$C,$C137,'Disbursements Summary'!$A:$A,"JCOPE")</f>
        <v>0</v>
      </c>
      <c r="DF137" s="55">
        <f>SUMIFS('Awards Summary'!$H:$H,'Awards Summary'!$B:$B,$C137,'Awards Summary'!$J:$J,"JUSTICE")</f>
        <v>0</v>
      </c>
      <c r="DG137" s="55">
        <f>SUMIFS('Disbursements Summary'!$E:$E,'Disbursements Summary'!$C:$C,$C137,'Disbursements Summary'!$A:$A,"JUSTICE")</f>
        <v>0</v>
      </c>
      <c r="DH137" s="55">
        <f>SUMIFS('Awards Summary'!$H:$H,'Awards Summary'!$B:$B,$C137,'Awards Summary'!$J:$J,"LCWSA")</f>
        <v>0</v>
      </c>
      <c r="DI137" s="55">
        <f>SUMIFS('Disbursements Summary'!$E:$E,'Disbursements Summary'!$C:$C,$C137,'Disbursements Summary'!$A:$A,"LCWSA")</f>
        <v>0</v>
      </c>
      <c r="DJ137" s="55">
        <f>SUMIFS('Awards Summary'!$H:$H,'Awards Summary'!$B:$B,$C137,'Awards Summary'!$J:$J,"LIPA")</f>
        <v>0</v>
      </c>
      <c r="DK137" s="55">
        <f>SUMIFS('Disbursements Summary'!$E:$E,'Disbursements Summary'!$C:$C,$C137,'Disbursements Summary'!$A:$A,"LIPA")</f>
        <v>0</v>
      </c>
      <c r="DL137" s="55">
        <f>SUMIFS('Awards Summary'!$H:$H,'Awards Summary'!$B:$B,$C137,'Awards Summary'!$J:$J,"MTA")</f>
        <v>0</v>
      </c>
      <c r="DM137" s="55">
        <f>SUMIFS('Disbursements Summary'!$E:$E,'Disbursements Summary'!$C:$C,$C137,'Disbursements Summary'!$A:$A,"MTA")</f>
        <v>0</v>
      </c>
      <c r="DN137" s="55">
        <f>SUMIFS('Awards Summary'!$H:$H,'Awards Summary'!$B:$B,$C137,'Awards Summary'!$J:$J,"NIFA")</f>
        <v>0</v>
      </c>
      <c r="DO137" s="55">
        <f>SUMIFS('Disbursements Summary'!$E:$E,'Disbursements Summary'!$C:$C,$C137,'Disbursements Summary'!$A:$A,"NIFA")</f>
        <v>0</v>
      </c>
      <c r="DP137" s="55">
        <f>SUMIFS('Awards Summary'!$H:$H,'Awards Summary'!$B:$B,$C137,'Awards Summary'!$J:$J,"NHCC")</f>
        <v>0</v>
      </c>
      <c r="DQ137" s="55">
        <f>SUMIFS('Disbursements Summary'!$E:$E,'Disbursements Summary'!$C:$C,$C137,'Disbursements Summary'!$A:$A,"NHCC")</f>
        <v>0</v>
      </c>
      <c r="DR137" s="55">
        <f>SUMIFS('Awards Summary'!$H:$H,'Awards Summary'!$B:$B,$C137,'Awards Summary'!$J:$J,"NHT")</f>
        <v>0</v>
      </c>
      <c r="DS137" s="55">
        <f>SUMIFS('Disbursements Summary'!$E:$E,'Disbursements Summary'!$C:$C,$C137,'Disbursements Summary'!$A:$A,"NHT")</f>
        <v>0</v>
      </c>
      <c r="DT137" s="55">
        <f>SUMIFS('Awards Summary'!$H:$H,'Awards Summary'!$B:$B,$C137,'Awards Summary'!$J:$J,"NYPA")</f>
        <v>0</v>
      </c>
      <c r="DU137" s="55">
        <f>SUMIFS('Disbursements Summary'!$E:$E,'Disbursements Summary'!$C:$C,$C137,'Disbursements Summary'!$A:$A,"NYPA")</f>
        <v>0</v>
      </c>
      <c r="DV137" s="55">
        <f>SUMIFS('Awards Summary'!$H:$H,'Awards Summary'!$B:$B,$C137,'Awards Summary'!$J:$J,"NYSBA")</f>
        <v>0</v>
      </c>
      <c r="DW137" s="55">
        <f>SUMIFS('Disbursements Summary'!$E:$E,'Disbursements Summary'!$C:$C,$C137,'Disbursements Summary'!$A:$A,"NYSBA")</f>
        <v>0</v>
      </c>
      <c r="DX137" s="55">
        <f>SUMIFS('Awards Summary'!$H:$H,'Awards Summary'!$B:$B,$C137,'Awards Summary'!$J:$J,"NYSERDA")</f>
        <v>0</v>
      </c>
      <c r="DY137" s="55">
        <f>SUMIFS('Disbursements Summary'!$E:$E,'Disbursements Summary'!$C:$C,$C137,'Disbursements Summary'!$A:$A,"NYSERDA")</f>
        <v>0</v>
      </c>
      <c r="DZ137" s="55">
        <f>SUMIFS('Awards Summary'!$H:$H,'Awards Summary'!$B:$B,$C137,'Awards Summary'!$J:$J,"DHCR")</f>
        <v>0</v>
      </c>
      <c r="EA137" s="55">
        <f>SUMIFS('Disbursements Summary'!$E:$E,'Disbursements Summary'!$C:$C,$C137,'Disbursements Summary'!$A:$A,"DHCR")</f>
        <v>0</v>
      </c>
      <c r="EB137" s="55">
        <f>SUMIFS('Awards Summary'!$H:$H,'Awards Summary'!$B:$B,$C137,'Awards Summary'!$J:$J,"HFA")</f>
        <v>0</v>
      </c>
      <c r="EC137" s="55">
        <f>SUMIFS('Disbursements Summary'!$E:$E,'Disbursements Summary'!$C:$C,$C137,'Disbursements Summary'!$A:$A,"HFA")</f>
        <v>0</v>
      </c>
      <c r="ED137" s="55">
        <f>SUMIFS('Awards Summary'!$H:$H,'Awards Summary'!$B:$B,$C137,'Awards Summary'!$J:$J,"NYSIF")</f>
        <v>0</v>
      </c>
      <c r="EE137" s="55">
        <f>SUMIFS('Disbursements Summary'!$E:$E,'Disbursements Summary'!$C:$C,$C137,'Disbursements Summary'!$A:$A,"NYSIF")</f>
        <v>0</v>
      </c>
      <c r="EF137" s="55">
        <f>SUMIFS('Awards Summary'!$H:$H,'Awards Summary'!$B:$B,$C137,'Awards Summary'!$J:$J,"NYBREDS")</f>
        <v>0</v>
      </c>
      <c r="EG137" s="55">
        <f>SUMIFS('Disbursements Summary'!$E:$E,'Disbursements Summary'!$C:$C,$C137,'Disbursements Summary'!$A:$A,"NYBREDS")</f>
        <v>0</v>
      </c>
      <c r="EH137" s="55">
        <f>SUMIFS('Awards Summary'!$H:$H,'Awards Summary'!$B:$B,$C137,'Awards Summary'!$J:$J,"NYSTA")</f>
        <v>0</v>
      </c>
      <c r="EI137" s="55">
        <f>SUMIFS('Disbursements Summary'!$E:$E,'Disbursements Summary'!$C:$C,$C137,'Disbursements Summary'!$A:$A,"NYSTA")</f>
        <v>0</v>
      </c>
      <c r="EJ137" s="55">
        <f>SUMIFS('Awards Summary'!$H:$H,'Awards Summary'!$B:$B,$C137,'Awards Summary'!$J:$J,"NFWB")</f>
        <v>0</v>
      </c>
      <c r="EK137" s="55">
        <f>SUMIFS('Disbursements Summary'!$E:$E,'Disbursements Summary'!$C:$C,$C137,'Disbursements Summary'!$A:$A,"NFWB")</f>
        <v>0</v>
      </c>
      <c r="EL137" s="55">
        <f>SUMIFS('Awards Summary'!$H:$H,'Awards Summary'!$B:$B,$C137,'Awards Summary'!$J:$J,"NFTA")</f>
        <v>0</v>
      </c>
      <c r="EM137" s="55">
        <f>SUMIFS('Disbursements Summary'!$E:$E,'Disbursements Summary'!$C:$C,$C137,'Disbursements Summary'!$A:$A,"NFTA")</f>
        <v>0</v>
      </c>
      <c r="EN137" s="55">
        <f>SUMIFS('Awards Summary'!$H:$H,'Awards Summary'!$B:$B,$C137,'Awards Summary'!$J:$J,"OPWDD")</f>
        <v>0</v>
      </c>
      <c r="EO137" s="55">
        <f>SUMIFS('Disbursements Summary'!$E:$E,'Disbursements Summary'!$C:$C,$C137,'Disbursements Summary'!$A:$A,"OPWDD")</f>
        <v>0</v>
      </c>
      <c r="EP137" s="55">
        <f>SUMIFS('Awards Summary'!$H:$H,'Awards Summary'!$B:$B,$C137,'Awards Summary'!$J:$J,"AGING")</f>
        <v>0</v>
      </c>
      <c r="EQ137" s="55">
        <f>SUMIFS('Disbursements Summary'!$E:$E,'Disbursements Summary'!$C:$C,$C137,'Disbursements Summary'!$A:$A,"AGING")</f>
        <v>0</v>
      </c>
      <c r="ER137" s="55">
        <f>SUMIFS('Awards Summary'!$H:$H,'Awards Summary'!$B:$B,$C137,'Awards Summary'!$J:$J,"OPDV")</f>
        <v>0</v>
      </c>
      <c r="ES137" s="55">
        <f>SUMIFS('Disbursements Summary'!$E:$E,'Disbursements Summary'!$C:$C,$C137,'Disbursements Summary'!$A:$A,"OPDV")</f>
        <v>0</v>
      </c>
      <c r="ET137" s="55">
        <f>SUMIFS('Awards Summary'!$H:$H,'Awards Summary'!$B:$B,$C137,'Awards Summary'!$J:$J,"OVS")</f>
        <v>0</v>
      </c>
      <c r="EU137" s="55">
        <f>SUMIFS('Disbursements Summary'!$E:$E,'Disbursements Summary'!$C:$C,$C137,'Disbursements Summary'!$A:$A,"OVS")</f>
        <v>0</v>
      </c>
      <c r="EV137" s="55">
        <f>SUMIFS('Awards Summary'!$H:$H,'Awards Summary'!$B:$B,$C137,'Awards Summary'!$J:$J,"OASAS")</f>
        <v>0</v>
      </c>
      <c r="EW137" s="55">
        <f>SUMIFS('Disbursements Summary'!$E:$E,'Disbursements Summary'!$C:$C,$C137,'Disbursements Summary'!$A:$A,"OASAS")</f>
        <v>0</v>
      </c>
      <c r="EX137" s="55">
        <f>SUMIFS('Awards Summary'!$H:$H,'Awards Summary'!$B:$B,$C137,'Awards Summary'!$J:$J,"OCFS")</f>
        <v>0</v>
      </c>
      <c r="EY137" s="55">
        <f>SUMIFS('Disbursements Summary'!$E:$E,'Disbursements Summary'!$C:$C,$C137,'Disbursements Summary'!$A:$A,"OCFS")</f>
        <v>0</v>
      </c>
      <c r="EZ137" s="55">
        <f>SUMIFS('Awards Summary'!$H:$H,'Awards Summary'!$B:$B,$C137,'Awards Summary'!$J:$J,"OGS")</f>
        <v>0</v>
      </c>
      <c r="FA137" s="55">
        <f>SUMIFS('Disbursements Summary'!$E:$E,'Disbursements Summary'!$C:$C,$C137,'Disbursements Summary'!$A:$A,"OGS")</f>
        <v>0</v>
      </c>
      <c r="FB137" s="55">
        <f>SUMIFS('Awards Summary'!$H:$H,'Awards Summary'!$B:$B,$C137,'Awards Summary'!$J:$J,"OMH")</f>
        <v>0</v>
      </c>
      <c r="FC137" s="55">
        <f>SUMIFS('Disbursements Summary'!$E:$E,'Disbursements Summary'!$C:$C,$C137,'Disbursements Summary'!$A:$A,"OMH")</f>
        <v>0</v>
      </c>
      <c r="FD137" s="55">
        <f>SUMIFS('Awards Summary'!$H:$H,'Awards Summary'!$B:$B,$C137,'Awards Summary'!$J:$J,"PARKS")</f>
        <v>0</v>
      </c>
      <c r="FE137" s="55">
        <f>SUMIFS('Disbursements Summary'!$E:$E,'Disbursements Summary'!$C:$C,$C137,'Disbursements Summary'!$A:$A,"PARKS")</f>
        <v>0</v>
      </c>
      <c r="FF137" s="55">
        <f>SUMIFS('Awards Summary'!$H:$H,'Awards Summary'!$B:$B,$C137,'Awards Summary'!$J:$J,"OTDA")</f>
        <v>0</v>
      </c>
      <c r="FG137" s="55">
        <f>SUMIFS('Disbursements Summary'!$E:$E,'Disbursements Summary'!$C:$C,$C137,'Disbursements Summary'!$A:$A,"OTDA")</f>
        <v>0</v>
      </c>
      <c r="FH137" s="55">
        <f>SUMIFS('Awards Summary'!$H:$H,'Awards Summary'!$B:$B,$C137,'Awards Summary'!$J:$J,"OIG")</f>
        <v>0</v>
      </c>
      <c r="FI137" s="55">
        <f>SUMIFS('Disbursements Summary'!$E:$E,'Disbursements Summary'!$C:$C,$C137,'Disbursements Summary'!$A:$A,"OIG")</f>
        <v>0</v>
      </c>
      <c r="FJ137" s="55">
        <f>SUMIFS('Awards Summary'!$H:$H,'Awards Summary'!$B:$B,$C137,'Awards Summary'!$J:$J,"OMIG")</f>
        <v>0</v>
      </c>
      <c r="FK137" s="55">
        <f>SUMIFS('Disbursements Summary'!$E:$E,'Disbursements Summary'!$C:$C,$C137,'Disbursements Summary'!$A:$A,"OMIG")</f>
        <v>0</v>
      </c>
      <c r="FL137" s="55">
        <f>SUMIFS('Awards Summary'!$H:$H,'Awards Summary'!$B:$B,$C137,'Awards Summary'!$J:$J,"OSC")</f>
        <v>0</v>
      </c>
      <c r="FM137" s="55">
        <f>SUMIFS('Disbursements Summary'!$E:$E,'Disbursements Summary'!$C:$C,$C137,'Disbursements Summary'!$A:$A,"OSC")</f>
        <v>0</v>
      </c>
      <c r="FN137" s="55">
        <f>SUMIFS('Awards Summary'!$H:$H,'Awards Summary'!$B:$B,$C137,'Awards Summary'!$J:$J,"OWIG")</f>
        <v>0</v>
      </c>
      <c r="FO137" s="55">
        <f>SUMIFS('Disbursements Summary'!$E:$E,'Disbursements Summary'!$C:$C,$C137,'Disbursements Summary'!$A:$A,"OWIG")</f>
        <v>0</v>
      </c>
      <c r="FP137" s="55">
        <f>SUMIFS('Awards Summary'!$H:$H,'Awards Summary'!$B:$B,$C137,'Awards Summary'!$J:$J,"OGDEN")</f>
        <v>0</v>
      </c>
      <c r="FQ137" s="55">
        <f>SUMIFS('Disbursements Summary'!$E:$E,'Disbursements Summary'!$C:$C,$C137,'Disbursements Summary'!$A:$A,"OGDEN")</f>
        <v>0</v>
      </c>
      <c r="FR137" s="55">
        <f>SUMIFS('Awards Summary'!$H:$H,'Awards Summary'!$B:$B,$C137,'Awards Summary'!$J:$J,"ORDA")</f>
        <v>0</v>
      </c>
      <c r="FS137" s="55">
        <f>SUMIFS('Disbursements Summary'!$E:$E,'Disbursements Summary'!$C:$C,$C137,'Disbursements Summary'!$A:$A,"ORDA")</f>
        <v>0</v>
      </c>
      <c r="FT137" s="55">
        <f>SUMIFS('Awards Summary'!$H:$H,'Awards Summary'!$B:$B,$C137,'Awards Summary'!$J:$J,"OSWEGO")</f>
        <v>0</v>
      </c>
      <c r="FU137" s="55">
        <f>SUMIFS('Disbursements Summary'!$E:$E,'Disbursements Summary'!$C:$C,$C137,'Disbursements Summary'!$A:$A,"OSWEGO")</f>
        <v>0</v>
      </c>
      <c r="FV137" s="55">
        <f>SUMIFS('Awards Summary'!$H:$H,'Awards Summary'!$B:$B,$C137,'Awards Summary'!$J:$J,"PERB")</f>
        <v>0</v>
      </c>
      <c r="FW137" s="55">
        <f>SUMIFS('Disbursements Summary'!$E:$E,'Disbursements Summary'!$C:$C,$C137,'Disbursements Summary'!$A:$A,"PERB")</f>
        <v>0</v>
      </c>
      <c r="FX137" s="55">
        <f>SUMIFS('Awards Summary'!$H:$H,'Awards Summary'!$B:$B,$C137,'Awards Summary'!$J:$J,"RGRTA")</f>
        <v>0</v>
      </c>
      <c r="FY137" s="55">
        <f>SUMIFS('Disbursements Summary'!$E:$E,'Disbursements Summary'!$C:$C,$C137,'Disbursements Summary'!$A:$A,"RGRTA")</f>
        <v>0</v>
      </c>
      <c r="FZ137" s="55">
        <f>SUMIFS('Awards Summary'!$H:$H,'Awards Summary'!$B:$B,$C137,'Awards Summary'!$J:$J,"RIOC")</f>
        <v>0</v>
      </c>
      <c r="GA137" s="55">
        <f>SUMIFS('Disbursements Summary'!$E:$E,'Disbursements Summary'!$C:$C,$C137,'Disbursements Summary'!$A:$A,"RIOC")</f>
        <v>0</v>
      </c>
      <c r="GB137" s="55">
        <f>SUMIFS('Awards Summary'!$H:$H,'Awards Summary'!$B:$B,$C137,'Awards Summary'!$J:$J,"RPCI")</f>
        <v>0</v>
      </c>
      <c r="GC137" s="55">
        <f>SUMIFS('Disbursements Summary'!$E:$E,'Disbursements Summary'!$C:$C,$C137,'Disbursements Summary'!$A:$A,"RPCI")</f>
        <v>0</v>
      </c>
      <c r="GD137" s="55">
        <f>SUMIFS('Awards Summary'!$H:$H,'Awards Summary'!$B:$B,$C137,'Awards Summary'!$J:$J,"SMDA")</f>
        <v>0</v>
      </c>
      <c r="GE137" s="55">
        <f>SUMIFS('Disbursements Summary'!$E:$E,'Disbursements Summary'!$C:$C,$C137,'Disbursements Summary'!$A:$A,"SMDA")</f>
        <v>0</v>
      </c>
      <c r="GF137" s="55">
        <f>SUMIFS('Awards Summary'!$H:$H,'Awards Summary'!$B:$B,$C137,'Awards Summary'!$J:$J,"SCOC")</f>
        <v>0</v>
      </c>
      <c r="GG137" s="55">
        <f>SUMIFS('Disbursements Summary'!$E:$E,'Disbursements Summary'!$C:$C,$C137,'Disbursements Summary'!$A:$A,"SCOC")</f>
        <v>0</v>
      </c>
      <c r="GH137" s="55">
        <f>SUMIFS('Awards Summary'!$H:$H,'Awards Summary'!$B:$B,$C137,'Awards Summary'!$J:$J,"SUCF")</f>
        <v>0</v>
      </c>
      <c r="GI137" s="55">
        <f>SUMIFS('Disbursements Summary'!$E:$E,'Disbursements Summary'!$C:$C,$C137,'Disbursements Summary'!$A:$A,"SUCF")</f>
        <v>0</v>
      </c>
      <c r="GJ137" s="55">
        <f>SUMIFS('Awards Summary'!$H:$H,'Awards Summary'!$B:$B,$C137,'Awards Summary'!$J:$J,"SUNY")</f>
        <v>0</v>
      </c>
      <c r="GK137" s="55">
        <f>SUMIFS('Disbursements Summary'!$E:$E,'Disbursements Summary'!$C:$C,$C137,'Disbursements Summary'!$A:$A,"SUNY")</f>
        <v>0</v>
      </c>
      <c r="GL137" s="55">
        <f>SUMIFS('Awards Summary'!$H:$H,'Awards Summary'!$B:$B,$C137,'Awards Summary'!$J:$J,"SRAA")</f>
        <v>0</v>
      </c>
      <c r="GM137" s="55">
        <f>SUMIFS('Disbursements Summary'!$E:$E,'Disbursements Summary'!$C:$C,$C137,'Disbursements Summary'!$A:$A,"SRAA")</f>
        <v>0</v>
      </c>
      <c r="GN137" s="55">
        <f>SUMIFS('Awards Summary'!$H:$H,'Awards Summary'!$B:$B,$C137,'Awards Summary'!$J:$J,"UNDC")</f>
        <v>0</v>
      </c>
      <c r="GO137" s="55">
        <f>SUMIFS('Disbursements Summary'!$E:$E,'Disbursements Summary'!$C:$C,$C137,'Disbursements Summary'!$A:$A,"UNDC")</f>
        <v>0</v>
      </c>
      <c r="GP137" s="55">
        <f>SUMIFS('Awards Summary'!$H:$H,'Awards Summary'!$B:$B,$C137,'Awards Summary'!$J:$J,"MVWA")</f>
        <v>0</v>
      </c>
      <c r="GQ137" s="55">
        <f>SUMIFS('Disbursements Summary'!$E:$E,'Disbursements Summary'!$C:$C,$C137,'Disbursements Summary'!$A:$A,"MVWA")</f>
        <v>0</v>
      </c>
      <c r="GR137" s="55">
        <f>SUMIFS('Awards Summary'!$H:$H,'Awards Summary'!$B:$B,$C137,'Awards Summary'!$J:$J,"WMC")</f>
        <v>0</v>
      </c>
      <c r="GS137" s="55">
        <f>SUMIFS('Disbursements Summary'!$E:$E,'Disbursements Summary'!$C:$C,$C137,'Disbursements Summary'!$A:$A,"WMC")</f>
        <v>0</v>
      </c>
      <c r="GT137" s="55">
        <f>SUMIFS('Awards Summary'!$H:$H,'Awards Summary'!$B:$B,$C137,'Awards Summary'!$J:$J,"WCB")</f>
        <v>0</v>
      </c>
      <c r="GU137" s="55">
        <f>SUMIFS('Disbursements Summary'!$E:$E,'Disbursements Summary'!$C:$C,$C137,'Disbursements Summary'!$A:$A,"WCB")</f>
        <v>0</v>
      </c>
      <c r="GV137" s="32">
        <f t="shared" si="10"/>
        <v>0</v>
      </c>
      <c r="GW137" s="32">
        <f t="shared" si="11"/>
        <v>0</v>
      </c>
      <c r="GX137" s="30" t="b">
        <f t="shared" si="12"/>
        <v>1</v>
      </c>
      <c r="GY137" s="30" t="b">
        <f t="shared" si="13"/>
        <v>1</v>
      </c>
    </row>
    <row r="138" spans="1:16384" s="219" customFormat="1">
      <c r="A138" s="22" t="str">
        <f t="shared" si="14"/>
        <v/>
      </c>
      <c r="B138" s="196" t="s">
        <v>490</v>
      </c>
      <c r="C138" s="65">
        <v>171370</v>
      </c>
      <c r="D138" s="66">
        <f>COUNTIF('Awards Summary'!B:B,"171370")</f>
        <v>0</v>
      </c>
      <c r="E138" s="67">
        <f>SUMIFS('Awards Summary'!H:H,'Awards Summary'!B:B,"171370")</f>
        <v>0</v>
      </c>
      <c r="F138" s="68">
        <f>SUMIFS('Disbursements Summary'!E:E,'Disbursements Summary'!C:C, "171370")</f>
        <v>0</v>
      </c>
      <c r="G138" s="30"/>
      <c r="H138" s="55">
        <f>SUMIFS('Awards Summary'!$H:$H,'Awards Summary'!$B:$B,$C138,'Awards Summary'!$J:$J,"APA")</f>
        <v>0</v>
      </c>
      <c r="I138" s="55">
        <f>SUMIFS('Disbursements Summary'!$E:$E,'Disbursements Summary'!$C:$C,$C138,'Disbursements Summary'!$A:$A,"APA")</f>
        <v>0</v>
      </c>
      <c r="J138" s="55">
        <f>SUMIFS('Awards Summary'!$H:$H,'Awards Summary'!$B:$B,$C138,'Awards Summary'!$J:$J,"Ag&amp;Horse")</f>
        <v>0</v>
      </c>
      <c r="K138" s="55">
        <f>SUMIFS('Disbursements Summary'!$E:$E,'Disbursements Summary'!$C:$C,$C138,'Disbursements Summary'!$A:$A,"Ag&amp;Horse")</f>
        <v>0</v>
      </c>
      <c r="L138" s="55">
        <f>SUMIFS('Awards Summary'!$H:$H,'Awards Summary'!$B:$B,$C138,'Awards Summary'!$J:$J,"ACAA")</f>
        <v>0</v>
      </c>
      <c r="M138" s="55">
        <f>SUMIFS('Disbursements Summary'!$E:$E,'Disbursements Summary'!$C:$C,$C138,'Disbursements Summary'!$A:$A,"ACAA")</f>
        <v>0</v>
      </c>
      <c r="N138" s="55">
        <f>SUMIFS('Awards Summary'!$H:$H,'Awards Summary'!$B:$B,$C138,'Awards Summary'!$J:$J,"PortAlbany")</f>
        <v>0</v>
      </c>
      <c r="O138" s="55">
        <f>SUMIFS('Disbursements Summary'!$E:$E,'Disbursements Summary'!$C:$C,$C138,'Disbursements Summary'!$A:$A,"PortAlbany")</f>
        <v>0</v>
      </c>
      <c r="P138" s="55">
        <f>SUMIFS('Awards Summary'!$H:$H,'Awards Summary'!$B:$B,$C138,'Awards Summary'!$J:$J,"SLA")</f>
        <v>0</v>
      </c>
      <c r="Q138" s="55">
        <f>SUMIFS('Disbursements Summary'!$E:$E,'Disbursements Summary'!$C:$C,$C138,'Disbursements Summary'!$A:$A,"SLA")</f>
        <v>0</v>
      </c>
      <c r="R138" s="55">
        <f>SUMIFS('Awards Summary'!$H:$H,'Awards Summary'!$B:$B,$C138,'Awards Summary'!$J:$J,"BPCA")</f>
        <v>0</v>
      </c>
      <c r="S138" s="55">
        <f>SUMIFS('Disbursements Summary'!$E:$E,'Disbursements Summary'!$C:$C,$C138,'Disbursements Summary'!$A:$A,"BPCA")</f>
        <v>0</v>
      </c>
      <c r="T138" s="55">
        <f>SUMIFS('Awards Summary'!$H:$H,'Awards Summary'!$B:$B,$C138,'Awards Summary'!$J:$J,"ELECTIONS")</f>
        <v>0</v>
      </c>
      <c r="U138" s="55">
        <f>SUMIFS('Disbursements Summary'!$E:$E,'Disbursements Summary'!$C:$C,$C138,'Disbursements Summary'!$A:$A,"ELECTIONS")</f>
        <v>0</v>
      </c>
      <c r="V138" s="55">
        <f>SUMIFS('Awards Summary'!$H:$H,'Awards Summary'!$B:$B,$C138,'Awards Summary'!$J:$J,"BFSA")</f>
        <v>0</v>
      </c>
      <c r="W138" s="55">
        <f>SUMIFS('Disbursements Summary'!$E:$E,'Disbursements Summary'!$C:$C,$C138,'Disbursements Summary'!$A:$A,"BFSA")</f>
        <v>0</v>
      </c>
      <c r="X138" s="55">
        <f>SUMIFS('Awards Summary'!$H:$H,'Awards Summary'!$B:$B,$C138,'Awards Summary'!$J:$J,"CDTA")</f>
        <v>0</v>
      </c>
      <c r="Y138" s="55">
        <f>SUMIFS('Disbursements Summary'!$E:$E,'Disbursements Summary'!$C:$C,$C138,'Disbursements Summary'!$A:$A,"CDTA")</f>
        <v>0</v>
      </c>
      <c r="Z138" s="55">
        <f>SUMIFS('Awards Summary'!$H:$H,'Awards Summary'!$B:$B,$C138,'Awards Summary'!$J:$J,"CCWSA")</f>
        <v>0</v>
      </c>
      <c r="AA138" s="55">
        <f>SUMIFS('Disbursements Summary'!$E:$E,'Disbursements Summary'!$C:$C,$C138,'Disbursements Summary'!$A:$A,"CCWSA")</f>
        <v>0</v>
      </c>
      <c r="AB138" s="55">
        <f>SUMIFS('Awards Summary'!$H:$H,'Awards Summary'!$B:$B,$C138,'Awards Summary'!$J:$J,"CNYRTA")</f>
        <v>0</v>
      </c>
      <c r="AC138" s="55">
        <f>SUMIFS('Disbursements Summary'!$E:$E,'Disbursements Summary'!$C:$C,$C138,'Disbursements Summary'!$A:$A,"CNYRTA")</f>
        <v>0</v>
      </c>
      <c r="AD138" s="55">
        <f>SUMIFS('Awards Summary'!$H:$H,'Awards Summary'!$B:$B,$C138,'Awards Summary'!$J:$J,"CUCF")</f>
        <v>0</v>
      </c>
      <c r="AE138" s="55">
        <f>SUMIFS('Disbursements Summary'!$E:$E,'Disbursements Summary'!$C:$C,$C138,'Disbursements Summary'!$A:$A,"CUCF")</f>
        <v>0</v>
      </c>
      <c r="AF138" s="55">
        <f>SUMIFS('Awards Summary'!$H:$H,'Awards Summary'!$B:$B,$C138,'Awards Summary'!$J:$J,"CUNY")</f>
        <v>0</v>
      </c>
      <c r="AG138" s="55">
        <f>SUMIFS('Disbursements Summary'!$E:$E,'Disbursements Summary'!$C:$C,$C138,'Disbursements Summary'!$A:$A,"CUNY")</f>
        <v>0</v>
      </c>
      <c r="AH138" s="55">
        <f>SUMIFS('Awards Summary'!$H:$H,'Awards Summary'!$B:$B,$C138,'Awards Summary'!$J:$J,"ARTS")</f>
        <v>0</v>
      </c>
      <c r="AI138" s="55">
        <f>SUMIFS('Disbursements Summary'!$E:$E,'Disbursements Summary'!$C:$C,$C138,'Disbursements Summary'!$A:$A,"ARTS")</f>
        <v>0</v>
      </c>
      <c r="AJ138" s="55">
        <f>SUMIFS('Awards Summary'!$H:$H,'Awards Summary'!$B:$B,$C138,'Awards Summary'!$J:$J,"AG&amp;MKTS")</f>
        <v>0</v>
      </c>
      <c r="AK138" s="55">
        <f>SUMIFS('Disbursements Summary'!$E:$E,'Disbursements Summary'!$C:$C,$C138,'Disbursements Summary'!$A:$A,"AG&amp;MKTS")</f>
        <v>0</v>
      </c>
      <c r="AL138" s="55">
        <f>SUMIFS('Awards Summary'!$H:$H,'Awards Summary'!$B:$B,$C138,'Awards Summary'!$J:$J,"CS")</f>
        <v>0</v>
      </c>
      <c r="AM138" s="55">
        <f>SUMIFS('Disbursements Summary'!$E:$E,'Disbursements Summary'!$C:$C,$C138,'Disbursements Summary'!$A:$A,"CS")</f>
        <v>0</v>
      </c>
      <c r="AN138" s="55">
        <f>SUMIFS('Awards Summary'!$H:$H,'Awards Summary'!$B:$B,$C138,'Awards Summary'!$J:$J,"DOCCS")</f>
        <v>0</v>
      </c>
      <c r="AO138" s="55">
        <f>SUMIFS('Disbursements Summary'!$E:$E,'Disbursements Summary'!$C:$C,$C138,'Disbursements Summary'!$A:$A,"DOCCS")</f>
        <v>0</v>
      </c>
      <c r="AP138" s="55">
        <f>SUMIFS('Awards Summary'!$H:$H,'Awards Summary'!$B:$B,$C138,'Awards Summary'!$J:$J,"DED")</f>
        <v>0</v>
      </c>
      <c r="AQ138" s="55">
        <f>SUMIFS('Disbursements Summary'!$E:$E,'Disbursements Summary'!$C:$C,$C138,'Disbursements Summary'!$A:$A,"DED")</f>
        <v>0</v>
      </c>
      <c r="AR138" s="55">
        <f>SUMIFS('Awards Summary'!$H:$H,'Awards Summary'!$B:$B,$C138,'Awards Summary'!$J:$J,"DEC")</f>
        <v>0</v>
      </c>
      <c r="AS138" s="55">
        <f>SUMIFS('Disbursements Summary'!$E:$E,'Disbursements Summary'!$C:$C,$C138,'Disbursements Summary'!$A:$A,"DEC")</f>
        <v>0</v>
      </c>
      <c r="AT138" s="55">
        <f>SUMIFS('Awards Summary'!$H:$H,'Awards Summary'!$B:$B,$C138,'Awards Summary'!$J:$J,"DFS")</f>
        <v>0</v>
      </c>
      <c r="AU138" s="55">
        <f>SUMIFS('Disbursements Summary'!$E:$E,'Disbursements Summary'!$C:$C,$C138,'Disbursements Summary'!$A:$A,"DFS")</f>
        <v>0</v>
      </c>
      <c r="AV138" s="55">
        <f>SUMIFS('Awards Summary'!$H:$H,'Awards Summary'!$B:$B,$C138,'Awards Summary'!$J:$J,"DOH")</f>
        <v>0</v>
      </c>
      <c r="AW138" s="55">
        <f>SUMIFS('Disbursements Summary'!$E:$E,'Disbursements Summary'!$C:$C,$C138,'Disbursements Summary'!$A:$A,"DOH")</f>
        <v>0</v>
      </c>
      <c r="AX138" s="55">
        <f>SUMIFS('Awards Summary'!$H:$H,'Awards Summary'!$B:$B,$C138,'Awards Summary'!$J:$J,"DOL")</f>
        <v>0</v>
      </c>
      <c r="AY138" s="55">
        <f>SUMIFS('Disbursements Summary'!$E:$E,'Disbursements Summary'!$C:$C,$C138,'Disbursements Summary'!$A:$A,"DOL")</f>
        <v>0</v>
      </c>
      <c r="AZ138" s="55">
        <f>SUMIFS('Awards Summary'!$H:$H,'Awards Summary'!$B:$B,$C138,'Awards Summary'!$J:$J,"DMV")</f>
        <v>0</v>
      </c>
      <c r="BA138" s="55">
        <f>SUMIFS('Disbursements Summary'!$E:$E,'Disbursements Summary'!$C:$C,$C138,'Disbursements Summary'!$A:$A,"DMV")</f>
        <v>0</v>
      </c>
      <c r="BB138" s="55">
        <f>SUMIFS('Awards Summary'!$H:$H,'Awards Summary'!$B:$B,$C138,'Awards Summary'!$J:$J,"DPS")</f>
        <v>0</v>
      </c>
      <c r="BC138" s="55">
        <f>SUMIFS('Disbursements Summary'!$E:$E,'Disbursements Summary'!$C:$C,$C138,'Disbursements Summary'!$A:$A,"DPS")</f>
        <v>0</v>
      </c>
      <c r="BD138" s="55">
        <f>SUMIFS('Awards Summary'!$H:$H,'Awards Summary'!$B:$B,$C138,'Awards Summary'!$J:$J,"DOS")</f>
        <v>0</v>
      </c>
      <c r="BE138" s="55">
        <f>SUMIFS('Disbursements Summary'!$E:$E,'Disbursements Summary'!$C:$C,$C138,'Disbursements Summary'!$A:$A,"DOS")</f>
        <v>0</v>
      </c>
      <c r="BF138" s="55">
        <f>SUMIFS('Awards Summary'!$H:$H,'Awards Summary'!$B:$B,$C138,'Awards Summary'!$J:$J,"TAX")</f>
        <v>0</v>
      </c>
      <c r="BG138" s="55">
        <f>SUMIFS('Disbursements Summary'!$E:$E,'Disbursements Summary'!$C:$C,$C138,'Disbursements Summary'!$A:$A,"TAX")</f>
        <v>0</v>
      </c>
      <c r="BH138" s="55">
        <f>SUMIFS('Awards Summary'!$H:$H,'Awards Summary'!$B:$B,$C138,'Awards Summary'!$J:$J,"DOT")</f>
        <v>0</v>
      </c>
      <c r="BI138" s="55">
        <f>SUMIFS('Disbursements Summary'!$E:$E,'Disbursements Summary'!$C:$C,$C138,'Disbursements Summary'!$A:$A,"DOT")</f>
        <v>0</v>
      </c>
      <c r="BJ138" s="55">
        <f>SUMIFS('Awards Summary'!$H:$H,'Awards Summary'!$B:$B,$C138,'Awards Summary'!$J:$J,"DANC")</f>
        <v>0</v>
      </c>
      <c r="BK138" s="55">
        <f>SUMIFS('Disbursements Summary'!$E:$E,'Disbursements Summary'!$C:$C,$C138,'Disbursements Summary'!$A:$A,"DANC")</f>
        <v>0</v>
      </c>
      <c r="BL138" s="55">
        <f>SUMIFS('Awards Summary'!$H:$H,'Awards Summary'!$B:$B,$C138,'Awards Summary'!$J:$J,"DOB")</f>
        <v>0</v>
      </c>
      <c r="BM138" s="55">
        <f>SUMIFS('Disbursements Summary'!$E:$E,'Disbursements Summary'!$C:$C,$C138,'Disbursements Summary'!$A:$A,"DOB")</f>
        <v>0</v>
      </c>
      <c r="BN138" s="55">
        <f>SUMIFS('Awards Summary'!$H:$H,'Awards Summary'!$B:$B,$C138,'Awards Summary'!$J:$J,"DCJS")</f>
        <v>0</v>
      </c>
      <c r="BO138" s="55">
        <f>SUMIFS('Disbursements Summary'!$E:$E,'Disbursements Summary'!$C:$C,$C138,'Disbursements Summary'!$A:$A,"DCJS")</f>
        <v>0</v>
      </c>
      <c r="BP138" s="55">
        <f>SUMIFS('Awards Summary'!$H:$H,'Awards Summary'!$B:$B,$C138,'Awards Summary'!$J:$J,"DHSES")</f>
        <v>0</v>
      </c>
      <c r="BQ138" s="55">
        <f>SUMIFS('Disbursements Summary'!$E:$E,'Disbursements Summary'!$C:$C,$C138,'Disbursements Summary'!$A:$A,"DHSES")</f>
        <v>0</v>
      </c>
      <c r="BR138" s="55">
        <f>SUMIFS('Awards Summary'!$H:$H,'Awards Summary'!$B:$B,$C138,'Awards Summary'!$J:$J,"DHR")</f>
        <v>0</v>
      </c>
      <c r="BS138" s="55">
        <f>SUMIFS('Disbursements Summary'!$E:$E,'Disbursements Summary'!$C:$C,$C138,'Disbursements Summary'!$A:$A,"DHR")</f>
        <v>0</v>
      </c>
      <c r="BT138" s="55">
        <f>SUMIFS('Awards Summary'!$H:$H,'Awards Summary'!$B:$B,$C138,'Awards Summary'!$J:$J,"DMNA")</f>
        <v>0</v>
      </c>
      <c r="BU138" s="55">
        <f>SUMIFS('Disbursements Summary'!$E:$E,'Disbursements Summary'!$C:$C,$C138,'Disbursements Summary'!$A:$A,"DMNA")</f>
        <v>0</v>
      </c>
      <c r="BV138" s="55">
        <f>SUMIFS('Awards Summary'!$H:$H,'Awards Summary'!$B:$B,$C138,'Awards Summary'!$J:$J,"TROOPERS")</f>
        <v>0</v>
      </c>
      <c r="BW138" s="55">
        <f>SUMIFS('Disbursements Summary'!$E:$E,'Disbursements Summary'!$C:$C,$C138,'Disbursements Summary'!$A:$A,"TROOPERS")</f>
        <v>0</v>
      </c>
      <c r="BX138" s="55">
        <f>SUMIFS('Awards Summary'!$H:$H,'Awards Summary'!$B:$B,$C138,'Awards Summary'!$J:$J,"DVA")</f>
        <v>0</v>
      </c>
      <c r="BY138" s="55">
        <f>SUMIFS('Disbursements Summary'!$E:$E,'Disbursements Summary'!$C:$C,$C138,'Disbursements Summary'!$A:$A,"DVA")</f>
        <v>0</v>
      </c>
      <c r="BZ138" s="55">
        <f>SUMIFS('Awards Summary'!$H:$H,'Awards Summary'!$B:$B,$C138,'Awards Summary'!$J:$J,"DASNY")</f>
        <v>0</v>
      </c>
      <c r="CA138" s="55">
        <f>SUMIFS('Disbursements Summary'!$E:$E,'Disbursements Summary'!$C:$C,$C138,'Disbursements Summary'!$A:$A,"DASNY")</f>
        <v>0</v>
      </c>
      <c r="CB138" s="55">
        <f>SUMIFS('Awards Summary'!$H:$H,'Awards Summary'!$B:$B,$C138,'Awards Summary'!$J:$J,"EGG")</f>
        <v>0</v>
      </c>
      <c r="CC138" s="55">
        <f>SUMIFS('Disbursements Summary'!$E:$E,'Disbursements Summary'!$C:$C,$C138,'Disbursements Summary'!$A:$A,"EGG")</f>
        <v>0</v>
      </c>
      <c r="CD138" s="55">
        <f>SUMIFS('Awards Summary'!$H:$H,'Awards Summary'!$B:$B,$C138,'Awards Summary'!$J:$J,"ESD")</f>
        <v>0</v>
      </c>
      <c r="CE138" s="55">
        <f>SUMIFS('Disbursements Summary'!$E:$E,'Disbursements Summary'!$C:$C,$C138,'Disbursements Summary'!$A:$A,"ESD")</f>
        <v>0</v>
      </c>
      <c r="CF138" s="55">
        <f>SUMIFS('Awards Summary'!$H:$H,'Awards Summary'!$B:$B,$C138,'Awards Summary'!$J:$J,"EFC")</f>
        <v>0</v>
      </c>
      <c r="CG138" s="55">
        <f>SUMIFS('Disbursements Summary'!$E:$E,'Disbursements Summary'!$C:$C,$C138,'Disbursements Summary'!$A:$A,"EFC")</f>
        <v>0</v>
      </c>
      <c r="CH138" s="55">
        <f>SUMIFS('Awards Summary'!$H:$H,'Awards Summary'!$B:$B,$C138,'Awards Summary'!$J:$J,"ECFSA")</f>
        <v>0</v>
      </c>
      <c r="CI138" s="55">
        <f>SUMIFS('Disbursements Summary'!$E:$E,'Disbursements Summary'!$C:$C,$C138,'Disbursements Summary'!$A:$A,"ECFSA")</f>
        <v>0</v>
      </c>
      <c r="CJ138" s="55">
        <f>SUMIFS('Awards Summary'!$H:$H,'Awards Summary'!$B:$B,$C138,'Awards Summary'!$J:$J,"ECMC")</f>
        <v>0</v>
      </c>
      <c r="CK138" s="55">
        <f>SUMIFS('Disbursements Summary'!$E:$E,'Disbursements Summary'!$C:$C,$C138,'Disbursements Summary'!$A:$A,"ECMC")</f>
        <v>0</v>
      </c>
      <c r="CL138" s="55">
        <f>SUMIFS('Awards Summary'!$H:$H,'Awards Summary'!$B:$B,$C138,'Awards Summary'!$J:$J,"CHAMBER")</f>
        <v>0</v>
      </c>
      <c r="CM138" s="55">
        <f>SUMIFS('Disbursements Summary'!$E:$E,'Disbursements Summary'!$C:$C,$C138,'Disbursements Summary'!$A:$A,"CHAMBER")</f>
        <v>0</v>
      </c>
      <c r="CN138" s="55">
        <f>SUMIFS('Awards Summary'!$H:$H,'Awards Summary'!$B:$B,$C138,'Awards Summary'!$J:$J,"GAMING")</f>
        <v>0</v>
      </c>
      <c r="CO138" s="55">
        <f>SUMIFS('Disbursements Summary'!$E:$E,'Disbursements Summary'!$C:$C,$C138,'Disbursements Summary'!$A:$A,"GAMING")</f>
        <v>0</v>
      </c>
      <c r="CP138" s="55">
        <f>SUMIFS('Awards Summary'!$H:$H,'Awards Summary'!$B:$B,$C138,'Awards Summary'!$J:$J,"GOER")</f>
        <v>0</v>
      </c>
      <c r="CQ138" s="55">
        <f>SUMIFS('Disbursements Summary'!$E:$E,'Disbursements Summary'!$C:$C,$C138,'Disbursements Summary'!$A:$A,"GOER")</f>
        <v>0</v>
      </c>
      <c r="CR138" s="55">
        <f>SUMIFS('Awards Summary'!$H:$H,'Awards Summary'!$B:$B,$C138,'Awards Summary'!$J:$J,"HESC")</f>
        <v>0</v>
      </c>
      <c r="CS138" s="55">
        <f>SUMIFS('Disbursements Summary'!$E:$E,'Disbursements Summary'!$C:$C,$C138,'Disbursements Summary'!$A:$A,"HESC")</f>
        <v>0</v>
      </c>
      <c r="CT138" s="55">
        <f>SUMIFS('Awards Summary'!$H:$H,'Awards Summary'!$B:$B,$C138,'Awards Summary'!$J:$J,"GOSR")</f>
        <v>0</v>
      </c>
      <c r="CU138" s="55">
        <f>SUMIFS('Disbursements Summary'!$E:$E,'Disbursements Summary'!$C:$C,$C138,'Disbursements Summary'!$A:$A,"GOSR")</f>
        <v>0</v>
      </c>
      <c r="CV138" s="55">
        <f>SUMIFS('Awards Summary'!$H:$H,'Awards Summary'!$B:$B,$C138,'Awards Summary'!$J:$J,"HRPT")</f>
        <v>0</v>
      </c>
      <c r="CW138" s="55">
        <f>SUMIFS('Disbursements Summary'!$E:$E,'Disbursements Summary'!$C:$C,$C138,'Disbursements Summary'!$A:$A,"HRPT")</f>
        <v>0</v>
      </c>
      <c r="CX138" s="55">
        <f>SUMIFS('Awards Summary'!$H:$H,'Awards Summary'!$B:$B,$C138,'Awards Summary'!$J:$J,"HRBRRD")</f>
        <v>0</v>
      </c>
      <c r="CY138" s="55">
        <f>SUMIFS('Disbursements Summary'!$E:$E,'Disbursements Summary'!$C:$C,$C138,'Disbursements Summary'!$A:$A,"HRBRRD")</f>
        <v>0</v>
      </c>
      <c r="CZ138" s="55">
        <f>SUMIFS('Awards Summary'!$H:$H,'Awards Summary'!$B:$B,$C138,'Awards Summary'!$J:$J,"ITS")</f>
        <v>0</v>
      </c>
      <c r="DA138" s="55">
        <f>SUMIFS('Disbursements Summary'!$E:$E,'Disbursements Summary'!$C:$C,$C138,'Disbursements Summary'!$A:$A,"ITS")</f>
        <v>0</v>
      </c>
      <c r="DB138" s="55">
        <f>SUMIFS('Awards Summary'!$H:$H,'Awards Summary'!$B:$B,$C138,'Awards Summary'!$J:$J,"JAVITS")</f>
        <v>0</v>
      </c>
      <c r="DC138" s="55">
        <f>SUMIFS('Disbursements Summary'!$E:$E,'Disbursements Summary'!$C:$C,$C138,'Disbursements Summary'!$A:$A,"JAVITS")</f>
        <v>0</v>
      </c>
      <c r="DD138" s="55">
        <f>SUMIFS('Awards Summary'!$H:$H,'Awards Summary'!$B:$B,$C138,'Awards Summary'!$J:$J,"JCOPE")</f>
        <v>0</v>
      </c>
      <c r="DE138" s="55">
        <f>SUMIFS('Disbursements Summary'!$E:$E,'Disbursements Summary'!$C:$C,$C138,'Disbursements Summary'!$A:$A,"JCOPE")</f>
        <v>0</v>
      </c>
      <c r="DF138" s="55">
        <f>SUMIFS('Awards Summary'!$H:$H,'Awards Summary'!$B:$B,$C138,'Awards Summary'!$J:$J,"JUSTICE")</f>
        <v>0</v>
      </c>
      <c r="DG138" s="55">
        <f>SUMIFS('Disbursements Summary'!$E:$E,'Disbursements Summary'!$C:$C,$C138,'Disbursements Summary'!$A:$A,"JUSTICE")</f>
        <v>0</v>
      </c>
      <c r="DH138" s="55">
        <f>SUMIFS('Awards Summary'!$H:$H,'Awards Summary'!$B:$B,$C138,'Awards Summary'!$J:$J,"LCWSA")</f>
        <v>0</v>
      </c>
      <c r="DI138" s="55">
        <f>SUMIFS('Disbursements Summary'!$E:$E,'Disbursements Summary'!$C:$C,$C138,'Disbursements Summary'!$A:$A,"LCWSA")</f>
        <v>0</v>
      </c>
      <c r="DJ138" s="55">
        <f>SUMIFS('Awards Summary'!$H:$H,'Awards Summary'!$B:$B,$C138,'Awards Summary'!$J:$J,"LIPA")</f>
        <v>0</v>
      </c>
      <c r="DK138" s="55">
        <f>SUMIFS('Disbursements Summary'!$E:$E,'Disbursements Summary'!$C:$C,$C138,'Disbursements Summary'!$A:$A,"LIPA")</f>
        <v>0</v>
      </c>
      <c r="DL138" s="55">
        <f>SUMIFS('Awards Summary'!$H:$H,'Awards Summary'!$B:$B,$C138,'Awards Summary'!$J:$J,"MTA")</f>
        <v>0</v>
      </c>
      <c r="DM138" s="55">
        <f>SUMIFS('Disbursements Summary'!$E:$E,'Disbursements Summary'!$C:$C,$C138,'Disbursements Summary'!$A:$A,"MTA")</f>
        <v>0</v>
      </c>
      <c r="DN138" s="55">
        <f>SUMIFS('Awards Summary'!$H:$H,'Awards Summary'!$B:$B,$C138,'Awards Summary'!$J:$J,"NIFA")</f>
        <v>0</v>
      </c>
      <c r="DO138" s="55">
        <f>SUMIFS('Disbursements Summary'!$E:$E,'Disbursements Summary'!$C:$C,$C138,'Disbursements Summary'!$A:$A,"NIFA")</f>
        <v>0</v>
      </c>
      <c r="DP138" s="55">
        <f>SUMIFS('Awards Summary'!$H:$H,'Awards Summary'!$B:$B,$C138,'Awards Summary'!$J:$J,"NHCC")</f>
        <v>0</v>
      </c>
      <c r="DQ138" s="55">
        <f>SUMIFS('Disbursements Summary'!$E:$E,'Disbursements Summary'!$C:$C,$C138,'Disbursements Summary'!$A:$A,"NHCC")</f>
        <v>0</v>
      </c>
      <c r="DR138" s="55">
        <f>SUMIFS('Awards Summary'!$H:$H,'Awards Summary'!$B:$B,$C138,'Awards Summary'!$J:$J,"NHT")</f>
        <v>0</v>
      </c>
      <c r="DS138" s="55">
        <f>SUMIFS('Disbursements Summary'!$E:$E,'Disbursements Summary'!$C:$C,$C138,'Disbursements Summary'!$A:$A,"NHT")</f>
        <v>0</v>
      </c>
      <c r="DT138" s="55">
        <f>SUMIFS('Awards Summary'!$H:$H,'Awards Summary'!$B:$B,$C138,'Awards Summary'!$J:$J,"NYPA")</f>
        <v>0</v>
      </c>
      <c r="DU138" s="55">
        <f>SUMIFS('Disbursements Summary'!$E:$E,'Disbursements Summary'!$C:$C,$C138,'Disbursements Summary'!$A:$A,"NYPA")</f>
        <v>0</v>
      </c>
      <c r="DV138" s="55">
        <f>SUMIFS('Awards Summary'!$H:$H,'Awards Summary'!$B:$B,$C138,'Awards Summary'!$J:$J,"NYSBA")</f>
        <v>0</v>
      </c>
      <c r="DW138" s="55">
        <f>SUMIFS('Disbursements Summary'!$E:$E,'Disbursements Summary'!$C:$C,$C138,'Disbursements Summary'!$A:$A,"NYSBA")</f>
        <v>0</v>
      </c>
      <c r="DX138" s="55">
        <f>SUMIFS('Awards Summary'!$H:$H,'Awards Summary'!$B:$B,$C138,'Awards Summary'!$J:$J,"NYSERDA")</f>
        <v>0</v>
      </c>
      <c r="DY138" s="55">
        <f>SUMIFS('Disbursements Summary'!$E:$E,'Disbursements Summary'!$C:$C,$C138,'Disbursements Summary'!$A:$A,"NYSERDA")</f>
        <v>0</v>
      </c>
      <c r="DZ138" s="55">
        <f>SUMIFS('Awards Summary'!$H:$H,'Awards Summary'!$B:$B,$C138,'Awards Summary'!$J:$J,"DHCR")</f>
        <v>0</v>
      </c>
      <c r="EA138" s="55">
        <f>SUMIFS('Disbursements Summary'!$E:$E,'Disbursements Summary'!$C:$C,$C138,'Disbursements Summary'!$A:$A,"DHCR")</f>
        <v>0</v>
      </c>
      <c r="EB138" s="55">
        <f>SUMIFS('Awards Summary'!$H:$H,'Awards Summary'!$B:$B,$C138,'Awards Summary'!$J:$J,"HFA")</f>
        <v>0</v>
      </c>
      <c r="EC138" s="55">
        <f>SUMIFS('Disbursements Summary'!$E:$E,'Disbursements Summary'!$C:$C,$C138,'Disbursements Summary'!$A:$A,"HFA")</f>
        <v>0</v>
      </c>
      <c r="ED138" s="55">
        <f>SUMIFS('Awards Summary'!$H:$H,'Awards Summary'!$B:$B,$C138,'Awards Summary'!$J:$J,"NYSIF")</f>
        <v>0</v>
      </c>
      <c r="EE138" s="55">
        <f>SUMIFS('Disbursements Summary'!$E:$E,'Disbursements Summary'!$C:$C,$C138,'Disbursements Summary'!$A:$A,"NYSIF")</f>
        <v>0</v>
      </c>
      <c r="EF138" s="55">
        <f>SUMIFS('Awards Summary'!$H:$H,'Awards Summary'!$B:$B,$C138,'Awards Summary'!$J:$J,"NYBREDS")</f>
        <v>0</v>
      </c>
      <c r="EG138" s="55">
        <f>SUMIFS('Disbursements Summary'!$E:$E,'Disbursements Summary'!$C:$C,$C138,'Disbursements Summary'!$A:$A,"NYBREDS")</f>
        <v>0</v>
      </c>
      <c r="EH138" s="55">
        <f>SUMIFS('Awards Summary'!$H:$H,'Awards Summary'!$B:$B,$C138,'Awards Summary'!$J:$J,"NYSTA")</f>
        <v>0</v>
      </c>
      <c r="EI138" s="55">
        <f>SUMIFS('Disbursements Summary'!$E:$E,'Disbursements Summary'!$C:$C,$C138,'Disbursements Summary'!$A:$A,"NYSTA")</f>
        <v>0</v>
      </c>
      <c r="EJ138" s="55">
        <f>SUMIFS('Awards Summary'!$H:$H,'Awards Summary'!$B:$B,$C138,'Awards Summary'!$J:$J,"NFWB")</f>
        <v>0</v>
      </c>
      <c r="EK138" s="55">
        <f>SUMIFS('Disbursements Summary'!$E:$E,'Disbursements Summary'!$C:$C,$C138,'Disbursements Summary'!$A:$A,"NFWB")</f>
        <v>0</v>
      </c>
      <c r="EL138" s="55">
        <f>SUMIFS('Awards Summary'!$H:$H,'Awards Summary'!$B:$B,$C138,'Awards Summary'!$J:$J,"NFTA")</f>
        <v>0</v>
      </c>
      <c r="EM138" s="55">
        <f>SUMIFS('Disbursements Summary'!$E:$E,'Disbursements Summary'!$C:$C,$C138,'Disbursements Summary'!$A:$A,"NFTA")</f>
        <v>0</v>
      </c>
      <c r="EN138" s="55">
        <f>SUMIFS('Awards Summary'!$H:$H,'Awards Summary'!$B:$B,$C138,'Awards Summary'!$J:$J,"OPWDD")</f>
        <v>0</v>
      </c>
      <c r="EO138" s="55">
        <f>SUMIFS('Disbursements Summary'!$E:$E,'Disbursements Summary'!$C:$C,$C138,'Disbursements Summary'!$A:$A,"OPWDD")</f>
        <v>0</v>
      </c>
      <c r="EP138" s="55">
        <f>SUMIFS('Awards Summary'!$H:$H,'Awards Summary'!$B:$B,$C138,'Awards Summary'!$J:$J,"AGING")</f>
        <v>0</v>
      </c>
      <c r="EQ138" s="55">
        <f>SUMIFS('Disbursements Summary'!$E:$E,'Disbursements Summary'!$C:$C,$C138,'Disbursements Summary'!$A:$A,"AGING")</f>
        <v>0</v>
      </c>
      <c r="ER138" s="55">
        <f>SUMIFS('Awards Summary'!$H:$H,'Awards Summary'!$B:$B,$C138,'Awards Summary'!$J:$J,"OPDV")</f>
        <v>0</v>
      </c>
      <c r="ES138" s="55">
        <f>SUMIFS('Disbursements Summary'!$E:$E,'Disbursements Summary'!$C:$C,$C138,'Disbursements Summary'!$A:$A,"OPDV")</f>
        <v>0</v>
      </c>
      <c r="ET138" s="55">
        <f>SUMIFS('Awards Summary'!$H:$H,'Awards Summary'!$B:$B,$C138,'Awards Summary'!$J:$J,"OVS")</f>
        <v>0</v>
      </c>
      <c r="EU138" s="55">
        <f>SUMIFS('Disbursements Summary'!$E:$E,'Disbursements Summary'!$C:$C,$C138,'Disbursements Summary'!$A:$A,"OVS")</f>
        <v>0</v>
      </c>
      <c r="EV138" s="55">
        <f>SUMIFS('Awards Summary'!$H:$H,'Awards Summary'!$B:$B,$C138,'Awards Summary'!$J:$J,"OASAS")</f>
        <v>0</v>
      </c>
      <c r="EW138" s="55">
        <f>SUMIFS('Disbursements Summary'!$E:$E,'Disbursements Summary'!$C:$C,$C138,'Disbursements Summary'!$A:$A,"OASAS")</f>
        <v>0</v>
      </c>
      <c r="EX138" s="55">
        <f>SUMIFS('Awards Summary'!$H:$H,'Awards Summary'!$B:$B,$C138,'Awards Summary'!$J:$J,"OCFS")</f>
        <v>0</v>
      </c>
      <c r="EY138" s="55">
        <f>SUMIFS('Disbursements Summary'!$E:$E,'Disbursements Summary'!$C:$C,$C138,'Disbursements Summary'!$A:$A,"OCFS")</f>
        <v>0</v>
      </c>
      <c r="EZ138" s="55">
        <f>SUMIFS('Awards Summary'!$H:$H,'Awards Summary'!$B:$B,$C138,'Awards Summary'!$J:$J,"OGS")</f>
        <v>0</v>
      </c>
      <c r="FA138" s="55">
        <f>SUMIFS('Disbursements Summary'!$E:$E,'Disbursements Summary'!$C:$C,$C138,'Disbursements Summary'!$A:$A,"OGS")</f>
        <v>0</v>
      </c>
      <c r="FB138" s="55">
        <f>SUMIFS('Awards Summary'!$H:$H,'Awards Summary'!$B:$B,$C138,'Awards Summary'!$J:$J,"OMH")</f>
        <v>0</v>
      </c>
      <c r="FC138" s="55">
        <f>SUMIFS('Disbursements Summary'!$E:$E,'Disbursements Summary'!$C:$C,$C138,'Disbursements Summary'!$A:$A,"OMH")</f>
        <v>0</v>
      </c>
      <c r="FD138" s="55">
        <f>SUMIFS('Awards Summary'!$H:$H,'Awards Summary'!$B:$B,$C138,'Awards Summary'!$J:$J,"PARKS")</f>
        <v>0</v>
      </c>
      <c r="FE138" s="55">
        <f>SUMIFS('Disbursements Summary'!$E:$E,'Disbursements Summary'!$C:$C,$C138,'Disbursements Summary'!$A:$A,"PARKS")</f>
        <v>0</v>
      </c>
      <c r="FF138" s="55">
        <f>SUMIFS('Awards Summary'!$H:$H,'Awards Summary'!$B:$B,$C138,'Awards Summary'!$J:$J,"OTDA")</f>
        <v>0</v>
      </c>
      <c r="FG138" s="55">
        <f>SUMIFS('Disbursements Summary'!$E:$E,'Disbursements Summary'!$C:$C,$C138,'Disbursements Summary'!$A:$A,"OTDA")</f>
        <v>0</v>
      </c>
      <c r="FH138" s="55">
        <f>SUMIFS('Awards Summary'!$H:$H,'Awards Summary'!$B:$B,$C138,'Awards Summary'!$J:$J,"OIG")</f>
        <v>0</v>
      </c>
      <c r="FI138" s="55">
        <f>SUMIFS('Disbursements Summary'!$E:$E,'Disbursements Summary'!$C:$C,$C138,'Disbursements Summary'!$A:$A,"OIG")</f>
        <v>0</v>
      </c>
      <c r="FJ138" s="55">
        <f>SUMIFS('Awards Summary'!$H:$H,'Awards Summary'!$B:$B,$C138,'Awards Summary'!$J:$J,"OMIG")</f>
        <v>0</v>
      </c>
      <c r="FK138" s="55">
        <f>SUMIFS('Disbursements Summary'!$E:$E,'Disbursements Summary'!$C:$C,$C138,'Disbursements Summary'!$A:$A,"OMIG")</f>
        <v>0</v>
      </c>
      <c r="FL138" s="55">
        <f>SUMIFS('Awards Summary'!$H:$H,'Awards Summary'!$B:$B,$C138,'Awards Summary'!$J:$J,"OSC")</f>
        <v>0</v>
      </c>
      <c r="FM138" s="55">
        <f>SUMIFS('Disbursements Summary'!$E:$E,'Disbursements Summary'!$C:$C,$C138,'Disbursements Summary'!$A:$A,"OSC")</f>
        <v>0</v>
      </c>
      <c r="FN138" s="55">
        <f>SUMIFS('Awards Summary'!$H:$H,'Awards Summary'!$B:$B,$C138,'Awards Summary'!$J:$J,"OWIG")</f>
        <v>0</v>
      </c>
      <c r="FO138" s="55">
        <f>SUMIFS('Disbursements Summary'!$E:$E,'Disbursements Summary'!$C:$C,$C138,'Disbursements Summary'!$A:$A,"OWIG")</f>
        <v>0</v>
      </c>
      <c r="FP138" s="55">
        <f>SUMIFS('Awards Summary'!$H:$H,'Awards Summary'!$B:$B,$C138,'Awards Summary'!$J:$J,"OGDEN")</f>
        <v>0</v>
      </c>
      <c r="FQ138" s="55">
        <f>SUMIFS('Disbursements Summary'!$E:$E,'Disbursements Summary'!$C:$C,$C138,'Disbursements Summary'!$A:$A,"OGDEN")</f>
        <v>0</v>
      </c>
      <c r="FR138" s="55">
        <f>SUMIFS('Awards Summary'!$H:$H,'Awards Summary'!$B:$B,$C138,'Awards Summary'!$J:$J,"ORDA")</f>
        <v>0</v>
      </c>
      <c r="FS138" s="55">
        <f>SUMIFS('Disbursements Summary'!$E:$E,'Disbursements Summary'!$C:$C,$C138,'Disbursements Summary'!$A:$A,"ORDA")</f>
        <v>0</v>
      </c>
      <c r="FT138" s="55">
        <f>SUMIFS('Awards Summary'!$H:$H,'Awards Summary'!$B:$B,$C138,'Awards Summary'!$J:$J,"OSWEGO")</f>
        <v>0</v>
      </c>
      <c r="FU138" s="55">
        <f>SUMIFS('Disbursements Summary'!$E:$E,'Disbursements Summary'!$C:$C,$C138,'Disbursements Summary'!$A:$A,"OSWEGO")</f>
        <v>0</v>
      </c>
      <c r="FV138" s="55">
        <f>SUMIFS('Awards Summary'!$H:$H,'Awards Summary'!$B:$B,$C138,'Awards Summary'!$J:$J,"PERB")</f>
        <v>0</v>
      </c>
      <c r="FW138" s="55">
        <f>SUMIFS('Disbursements Summary'!$E:$E,'Disbursements Summary'!$C:$C,$C138,'Disbursements Summary'!$A:$A,"PERB")</f>
        <v>0</v>
      </c>
      <c r="FX138" s="55">
        <f>SUMIFS('Awards Summary'!$H:$H,'Awards Summary'!$B:$B,$C138,'Awards Summary'!$J:$J,"RGRTA")</f>
        <v>0</v>
      </c>
      <c r="FY138" s="55">
        <f>SUMIFS('Disbursements Summary'!$E:$E,'Disbursements Summary'!$C:$C,$C138,'Disbursements Summary'!$A:$A,"RGRTA")</f>
        <v>0</v>
      </c>
      <c r="FZ138" s="55">
        <f>SUMIFS('Awards Summary'!$H:$H,'Awards Summary'!$B:$B,$C138,'Awards Summary'!$J:$J,"RIOC")</f>
        <v>0</v>
      </c>
      <c r="GA138" s="55">
        <f>SUMIFS('Disbursements Summary'!$E:$E,'Disbursements Summary'!$C:$C,$C138,'Disbursements Summary'!$A:$A,"RIOC")</f>
        <v>0</v>
      </c>
      <c r="GB138" s="55">
        <f>SUMIFS('Awards Summary'!$H:$H,'Awards Summary'!$B:$B,$C138,'Awards Summary'!$J:$J,"RPCI")</f>
        <v>0</v>
      </c>
      <c r="GC138" s="55">
        <f>SUMIFS('Disbursements Summary'!$E:$E,'Disbursements Summary'!$C:$C,$C138,'Disbursements Summary'!$A:$A,"RPCI")</f>
        <v>0</v>
      </c>
      <c r="GD138" s="55">
        <f>SUMIFS('Awards Summary'!$H:$H,'Awards Summary'!$B:$B,$C138,'Awards Summary'!$J:$J,"SMDA")</f>
        <v>0</v>
      </c>
      <c r="GE138" s="55">
        <f>SUMIFS('Disbursements Summary'!$E:$E,'Disbursements Summary'!$C:$C,$C138,'Disbursements Summary'!$A:$A,"SMDA")</f>
        <v>0</v>
      </c>
      <c r="GF138" s="55">
        <f>SUMIFS('Awards Summary'!$H:$H,'Awards Summary'!$B:$B,$C138,'Awards Summary'!$J:$J,"SCOC")</f>
        <v>0</v>
      </c>
      <c r="GG138" s="55">
        <f>SUMIFS('Disbursements Summary'!$E:$E,'Disbursements Summary'!$C:$C,$C138,'Disbursements Summary'!$A:$A,"SCOC")</f>
        <v>0</v>
      </c>
      <c r="GH138" s="55">
        <f>SUMIFS('Awards Summary'!$H:$H,'Awards Summary'!$B:$B,$C138,'Awards Summary'!$J:$J,"SUCF")</f>
        <v>0</v>
      </c>
      <c r="GI138" s="55">
        <f>SUMIFS('Disbursements Summary'!$E:$E,'Disbursements Summary'!$C:$C,$C138,'Disbursements Summary'!$A:$A,"SUCF")</f>
        <v>0</v>
      </c>
      <c r="GJ138" s="55">
        <f>SUMIFS('Awards Summary'!$H:$H,'Awards Summary'!$B:$B,$C138,'Awards Summary'!$J:$J,"SUNY")</f>
        <v>0</v>
      </c>
      <c r="GK138" s="55">
        <f>SUMIFS('Disbursements Summary'!$E:$E,'Disbursements Summary'!$C:$C,$C138,'Disbursements Summary'!$A:$A,"SUNY")</f>
        <v>0</v>
      </c>
      <c r="GL138" s="55">
        <f>SUMIFS('Awards Summary'!$H:$H,'Awards Summary'!$B:$B,$C138,'Awards Summary'!$J:$J,"SRAA")</f>
        <v>0</v>
      </c>
      <c r="GM138" s="55">
        <f>SUMIFS('Disbursements Summary'!$E:$E,'Disbursements Summary'!$C:$C,$C138,'Disbursements Summary'!$A:$A,"SRAA")</f>
        <v>0</v>
      </c>
      <c r="GN138" s="55">
        <f>SUMIFS('Awards Summary'!$H:$H,'Awards Summary'!$B:$B,$C138,'Awards Summary'!$J:$J,"UNDC")</f>
        <v>0</v>
      </c>
      <c r="GO138" s="55">
        <f>SUMIFS('Disbursements Summary'!$E:$E,'Disbursements Summary'!$C:$C,$C138,'Disbursements Summary'!$A:$A,"UNDC")</f>
        <v>0</v>
      </c>
      <c r="GP138" s="55">
        <f>SUMIFS('Awards Summary'!$H:$H,'Awards Summary'!$B:$B,$C138,'Awards Summary'!$J:$J,"MVWA")</f>
        <v>0</v>
      </c>
      <c r="GQ138" s="55">
        <f>SUMIFS('Disbursements Summary'!$E:$E,'Disbursements Summary'!$C:$C,$C138,'Disbursements Summary'!$A:$A,"MVWA")</f>
        <v>0</v>
      </c>
      <c r="GR138" s="55">
        <f>SUMIFS('Awards Summary'!$H:$H,'Awards Summary'!$B:$B,$C138,'Awards Summary'!$J:$J,"WMC")</f>
        <v>0</v>
      </c>
      <c r="GS138" s="55">
        <f>SUMIFS('Disbursements Summary'!$E:$E,'Disbursements Summary'!$C:$C,$C138,'Disbursements Summary'!$A:$A,"WMC")</f>
        <v>0</v>
      </c>
      <c r="GT138" s="55">
        <f>SUMIFS('Awards Summary'!$H:$H,'Awards Summary'!$B:$B,$C138,'Awards Summary'!$J:$J,"WCB")</f>
        <v>0</v>
      </c>
      <c r="GU138" s="55">
        <f>SUMIFS('Disbursements Summary'!$E:$E,'Disbursements Summary'!$C:$C,$C138,'Disbursements Summary'!$A:$A,"WCB")</f>
        <v>0</v>
      </c>
      <c r="GV138" s="32">
        <f t="shared" si="10"/>
        <v>0</v>
      </c>
      <c r="GW138" s="32">
        <f t="shared" si="11"/>
        <v>0</v>
      </c>
      <c r="GX138" s="30" t="b">
        <f t="shared" si="12"/>
        <v>1</v>
      </c>
      <c r="GY138" s="30" t="b">
        <f t="shared" si="13"/>
        <v>1</v>
      </c>
    </row>
    <row r="139" spans="1:16384" s="61" customFormat="1">
      <c r="A139" s="22" t="str">
        <f t="shared" si="14"/>
        <v/>
      </c>
      <c r="B139" s="196" t="s">
        <v>480</v>
      </c>
      <c r="C139" s="65">
        <v>171379</v>
      </c>
      <c r="D139" s="66">
        <f>COUNTIF('Awards Summary'!B:B,"171379")</f>
        <v>0</v>
      </c>
      <c r="E139" s="67">
        <f>SUMIFS('Awards Summary'!H:H,'Awards Summary'!B:B,"171379")</f>
        <v>0</v>
      </c>
      <c r="F139" s="68">
        <f>SUMIFS('Disbursements Summary'!E:E,'Disbursements Summary'!C:C, "171379")</f>
        <v>0</v>
      </c>
      <c r="G139" s="30"/>
      <c r="H139" s="55">
        <f>SUMIFS('Awards Summary'!$H:$H,'Awards Summary'!$B:$B,$C139,'Awards Summary'!$J:$J,"APA")</f>
        <v>0</v>
      </c>
      <c r="I139" s="55">
        <f>SUMIFS('Disbursements Summary'!$E:$E,'Disbursements Summary'!$C:$C,$C139,'Disbursements Summary'!$A:$A,"APA")</f>
        <v>0</v>
      </c>
      <c r="J139" s="55">
        <f>SUMIFS('Awards Summary'!$H:$H,'Awards Summary'!$B:$B,$C139,'Awards Summary'!$J:$J,"Ag&amp;Horse")</f>
        <v>0</v>
      </c>
      <c r="K139" s="55">
        <f>SUMIFS('Disbursements Summary'!$E:$E,'Disbursements Summary'!$C:$C,$C139,'Disbursements Summary'!$A:$A,"Ag&amp;Horse")</f>
        <v>0</v>
      </c>
      <c r="L139" s="55">
        <f>SUMIFS('Awards Summary'!$H:$H,'Awards Summary'!$B:$B,$C139,'Awards Summary'!$J:$J,"ACAA")</f>
        <v>0</v>
      </c>
      <c r="M139" s="55">
        <f>SUMIFS('Disbursements Summary'!$E:$E,'Disbursements Summary'!$C:$C,$C139,'Disbursements Summary'!$A:$A,"ACAA")</f>
        <v>0</v>
      </c>
      <c r="N139" s="55">
        <f>SUMIFS('Awards Summary'!$H:$H,'Awards Summary'!$B:$B,$C139,'Awards Summary'!$J:$J,"PortAlbany")</f>
        <v>0</v>
      </c>
      <c r="O139" s="55">
        <f>SUMIFS('Disbursements Summary'!$E:$E,'Disbursements Summary'!$C:$C,$C139,'Disbursements Summary'!$A:$A,"PortAlbany")</f>
        <v>0</v>
      </c>
      <c r="P139" s="55">
        <f>SUMIFS('Awards Summary'!$H:$H,'Awards Summary'!$B:$B,$C139,'Awards Summary'!$J:$J,"SLA")</f>
        <v>0</v>
      </c>
      <c r="Q139" s="55">
        <f>SUMIFS('Disbursements Summary'!$E:$E,'Disbursements Summary'!$C:$C,$C139,'Disbursements Summary'!$A:$A,"SLA")</f>
        <v>0</v>
      </c>
      <c r="R139" s="55">
        <f>SUMIFS('Awards Summary'!$H:$H,'Awards Summary'!$B:$B,$C139,'Awards Summary'!$J:$J,"BPCA")</f>
        <v>0</v>
      </c>
      <c r="S139" s="55">
        <f>SUMIFS('Disbursements Summary'!$E:$E,'Disbursements Summary'!$C:$C,$C139,'Disbursements Summary'!$A:$A,"BPCA")</f>
        <v>0</v>
      </c>
      <c r="T139" s="55">
        <f>SUMIFS('Awards Summary'!$H:$H,'Awards Summary'!$B:$B,$C139,'Awards Summary'!$J:$J,"ELECTIONS")</f>
        <v>0</v>
      </c>
      <c r="U139" s="55">
        <f>SUMIFS('Disbursements Summary'!$E:$E,'Disbursements Summary'!$C:$C,$C139,'Disbursements Summary'!$A:$A,"ELECTIONS")</f>
        <v>0</v>
      </c>
      <c r="V139" s="55">
        <f>SUMIFS('Awards Summary'!$H:$H,'Awards Summary'!$B:$B,$C139,'Awards Summary'!$J:$J,"BFSA")</f>
        <v>0</v>
      </c>
      <c r="W139" s="55">
        <f>SUMIFS('Disbursements Summary'!$E:$E,'Disbursements Summary'!$C:$C,$C139,'Disbursements Summary'!$A:$A,"BFSA")</f>
        <v>0</v>
      </c>
      <c r="X139" s="55">
        <f>SUMIFS('Awards Summary'!$H:$H,'Awards Summary'!$B:$B,$C139,'Awards Summary'!$J:$J,"CDTA")</f>
        <v>0</v>
      </c>
      <c r="Y139" s="55">
        <f>SUMIFS('Disbursements Summary'!$E:$E,'Disbursements Summary'!$C:$C,$C139,'Disbursements Summary'!$A:$A,"CDTA")</f>
        <v>0</v>
      </c>
      <c r="Z139" s="55">
        <f>SUMIFS('Awards Summary'!$H:$H,'Awards Summary'!$B:$B,$C139,'Awards Summary'!$J:$J,"CCWSA")</f>
        <v>0</v>
      </c>
      <c r="AA139" s="55">
        <f>SUMIFS('Disbursements Summary'!$E:$E,'Disbursements Summary'!$C:$C,$C139,'Disbursements Summary'!$A:$A,"CCWSA")</f>
        <v>0</v>
      </c>
      <c r="AB139" s="55">
        <f>SUMIFS('Awards Summary'!$H:$H,'Awards Summary'!$B:$B,$C139,'Awards Summary'!$J:$J,"CNYRTA")</f>
        <v>0</v>
      </c>
      <c r="AC139" s="55">
        <f>SUMIFS('Disbursements Summary'!$E:$E,'Disbursements Summary'!$C:$C,$C139,'Disbursements Summary'!$A:$A,"CNYRTA")</f>
        <v>0</v>
      </c>
      <c r="AD139" s="55">
        <f>SUMIFS('Awards Summary'!$H:$H,'Awards Summary'!$B:$B,$C139,'Awards Summary'!$J:$J,"CUCF")</f>
        <v>0</v>
      </c>
      <c r="AE139" s="55">
        <f>SUMIFS('Disbursements Summary'!$E:$E,'Disbursements Summary'!$C:$C,$C139,'Disbursements Summary'!$A:$A,"CUCF")</f>
        <v>0</v>
      </c>
      <c r="AF139" s="55">
        <f>SUMIFS('Awards Summary'!$H:$H,'Awards Summary'!$B:$B,$C139,'Awards Summary'!$J:$J,"CUNY")</f>
        <v>0</v>
      </c>
      <c r="AG139" s="55">
        <f>SUMIFS('Disbursements Summary'!$E:$E,'Disbursements Summary'!$C:$C,$C139,'Disbursements Summary'!$A:$A,"CUNY")</f>
        <v>0</v>
      </c>
      <c r="AH139" s="55">
        <f>SUMIFS('Awards Summary'!$H:$H,'Awards Summary'!$B:$B,$C139,'Awards Summary'!$J:$J,"ARTS")</f>
        <v>0</v>
      </c>
      <c r="AI139" s="55">
        <f>SUMIFS('Disbursements Summary'!$E:$E,'Disbursements Summary'!$C:$C,$C139,'Disbursements Summary'!$A:$A,"ARTS")</f>
        <v>0</v>
      </c>
      <c r="AJ139" s="55">
        <f>SUMIFS('Awards Summary'!$H:$H,'Awards Summary'!$B:$B,$C139,'Awards Summary'!$J:$J,"AG&amp;MKTS")</f>
        <v>0</v>
      </c>
      <c r="AK139" s="55">
        <f>SUMIFS('Disbursements Summary'!$E:$E,'Disbursements Summary'!$C:$C,$C139,'Disbursements Summary'!$A:$A,"AG&amp;MKTS")</f>
        <v>0</v>
      </c>
      <c r="AL139" s="55">
        <f>SUMIFS('Awards Summary'!$H:$H,'Awards Summary'!$B:$B,$C139,'Awards Summary'!$J:$J,"CS")</f>
        <v>0</v>
      </c>
      <c r="AM139" s="55">
        <f>SUMIFS('Disbursements Summary'!$E:$E,'Disbursements Summary'!$C:$C,$C139,'Disbursements Summary'!$A:$A,"CS")</f>
        <v>0</v>
      </c>
      <c r="AN139" s="55">
        <f>SUMIFS('Awards Summary'!$H:$H,'Awards Summary'!$B:$B,$C139,'Awards Summary'!$J:$J,"DOCCS")</f>
        <v>0</v>
      </c>
      <c r="AO139" s="55">
        <f>SUMIFS('Disbursements Summary'!$E:$E,'Disbursements Summary'!$C:$C,$C139,'Disbursements Summary'!$A:$A,"DOCCS")</f>
        <v>0</v>
      </c>
      <c r="AP139" s="55">
        <f>SUMIFS('Awards Summary'!$H:$H,'Awards Summary'!$B:$B,$C139,'Awards Summary'!$J:$J,"DED")</f>
        <v>0</v>
      </c>
      <c r="AQ139" s="55">
        <f>SUMIFS('Disbursements Summary'!$E:$E,'Disbursements Summary'!$C:$C,$C139,'Disbursements Summary'!$A:$A,"DED")</f>
        <v>0</v>
      </c>
      <c r="AR139" s="55">
        <f>SUMIFS('Awards Summary'!$H:$H,'Awards Summary'!$B:$B,$C139,'Awards Summary'!$J:$J,"DEC")</f>
        <v>0</v>
      </c>
      <c r="AS139" s="55">
        <f>SUMIFS('Disbursements Summary'!$E:$E,'Disbursements Summary'!$C:$C,$C139,'Disbursements Summary'!$A:$A,"DEC")</f>
        <v>0</v>
      </c>
      <c r="AT139" s="55">
        <f>SUMIFS('Awards Summary'!$H:$H,'Awards Summary'!$B:$B,$C139,'Awards Summary'!$J:$J,"DFS")</f>
        <v>0</v>
      </c>
      <c r="AU139" s="55">
        <f>SUMIFS('Disbursements Summary'!$E:$E,'Disbursements Summary'!$C:$C,$C139,'Disbursements Summary'!$A:$A,"DFS")</f>
        <v>0</v>
      </c>
      <c r="AV139" s="55">
        <f>SUMIFS('Awards Summary'!$H:$H,'Awards Summary'!$B:$B,$C139,'Awards Summary'!$J:$J,"DOH")</f>
        <v>0</v>
      </c>
      <c r="AW139" s="55">
        <f>SUMIFS('Disbursements Summary'!$E:$E,'Disbursements Summary'!$C:$C,$C139,'Disbursements Summary'!$A:$A,"DOH")</f>
        <v>0</v>
      </c>
      <c r="AX139" s="55">
        <f>SUMIFS('Awards Summary'!$H:$H,'Awards Summary'!$B:$B,$C139,'Awards Summary'!$J:$J,"DOL")</f>
        <v>0</v>
      </c>
      <c r="AY139" s="55">
        <f>SUMIFS('Disbursements Summary'!$E:$E,'Disbursements Summary'!$C:$C,$C139,'Disbursements Summary'!$A:$A,"DOL")</f>
        <v>0</v>
      </c>
      <c r="AZ139" s="55">
        <f>SUMIFS('Awards Summary'!$H:$H,'Awards Summary'!$B:$B,$C139,'Awards Summary'!$J:$J,"DMV")</f>
        <v>0</v>
      </c>
      <c r="BA139" s="55">
        <f>SUMIFS('Disbursements Summary'!$E:$E,'Disbursements Summary'!$C:$C,$C139,'Disbursements Summary'!$A:$A,"DMV")</f>
        <v>0</v>
      </c>
      <c r="BB139" s="55">
        <f>SUMIFS('Awards Summary'!$H:$H,'Awards Summary'!$B:$B,$C139,'Awards Summary'!$J:$J,"DPS")</f>
        <v>0</v>
      </c>
      <c r="BC139" s="55">
        <f>SUMIFS('Disbursements Summary'!$E:$E,'Disbursements Summary'!$C:$C,$C139,'Disbursements Summary'!$A:$A,"DPS")</f>
        <v>0</v>
      </c>
      <c r="BD139" s="55">
        <f>SUMIFS('Awards Summary'!$H:$H,'Awards Summary'!$B:$B,$C139,'Awards Summary'!$J:$J,"DOS")</f>
        <v>0</v>
      </c>
      <c r="BE139" s="55">
        <f>SUMIFS('Disbursements Summary'!$E:$E,'Disbursements Summary'!$C:$C,$C139,'Disbursements Summary'!$A:$A,"DOS")</f>
        <v>0</v>
      </c>
      <c r="BF139" s="55">
        <f>SUMIFS('Awards Summary'!$H:$H,'Awards Summary'!$B:$B,$C139,'Awards Summary'!$J:$J,"TAX")</f>
        <v>0</v>
      </c>
      <c r="BG139" s="55">
        <f>SUMIFS('Disbursements Summary'!$E:$E,'Disbursements Summary'!$C:$C,$C139,'Disbursements Summary'!$A:$A,"TAX")</f>
        <v>0</v>
      </c>
      <c r="BH139" s="55">
        <f>SUMIFS('Awards Summary'!$H:$H,'Awards Summary'!$B:$B,$C139,'Awards Summary'!$J:$J,"DOT")</f>
        <v>0</v>
      </c>
      <c r="BI139" s="55">
        <f>SUMIFS('Disbursements Summary'!$E:$E,'Disbursements Summary'!$C:$C,$C139,'Disbursements Summary'!$A:$A,"DOT")</f>
        <v>0</v>
      </c>
      <c r="BJ139" s="55">
        <f>SUMIFS('Awards Summary'!$H:$H,'Awards Summary'!$B:$B,$C139,'Awards Summary'!$J:$J,"DANC")</f>
        <v>0</v>
      </c>
      <c r="BK139" s="55">
        <f>SUMIFS('Disbursements Summary'!$E:$E,'Disbursements Summary'!$C:$C,$C139,'Disbursements Summary'!$A:$A,"DANC")</f>
        <v>0</v>
      </c>
      <c r="BL139" s="55">
        <f>SUMIFS('Awards Summary'!$H:$H,'Awards Summary'!$B:$B,$C139,'Awards Summary'!$J:$J,"DOB")</f>
        <v>0</v>
      </c>
      <c r="BM139" s="55">
        <f>SUMIFS('Disbursements Summary'!$E:$E,'Disbursements Summary'!$C:$C,$C139,'Disbursements Summary'!$A:$A,"DOB")</f>
        <v>0</v>
      </c>
      <c r="BN139" s="55">
        <f>SUMIFS('Awards Summary'!$H:$H,'Awards Summary'!$B:$B,$C139,'Awards Summary'!$J:$J,"DCJS")</f>
        <v>0</v>
      </c>
      <c r="BO139" s="55">
        <f>SUMIFS('Disbursements Summary'!$E:$E,'Disbursements Summary'!$C:$C,$C139,'Disbursements Summary'!$A:$A,"DCJS")</f>
        <v>0</v>
      </c>
      <c r="BP139" s="55">
        <f>SUMIFS('Awards Summary'!$H:$H,'Awards Summary'!$B:$B,$C139,'Awards Summary'!$J:$J,"DHSES")</f>
        <v>0</v>
      </c>
      <c r="BQ139" s="55">
        <f>SUMIFS('Disbursements Summary'!$E:$E,'Disbursements Summary'!$C:$C,$C139,'Disbursements Summary'!$A:$A,"DHSES")</f>
        <v>0</v>
      </c>
      <c r="BR139" s="55">
        <f>SUMIFS('Awards Summary'!$H:$H,'Awards Summary'!$B:$B,$C139,'Awards Summary'!$J:$J,"DHR")</f>
        <v>0</v>
      </c>
      <c r="BS139" s="55">
        <f>SUMIFS('Disbursements Summary'!$E:$E,'Disbursements Summary'!$C:$C,$C139,'Disbursements Summary'!$A:$A,"DHR")</f>
        <v>0</v>
      </c>
      <c r="BT139" s="55">
        <f>SUMIFS('Awards Summary'!$H:$H,'Awards Summary'!$B:$B,$C139,'Awards Summary'!$J:$J,"DMNA")</f>
        <v>0</v>
      </c>
      <c r="BU139" s="55">
        <f>SUMIFS('Disbursements Summary'!$E:$E,'Disbursements Summary'!$C:$C,$C139,'Disbursements Summary'!$A:$A,"DMNA")</f>
        <v>0</v>
      </c>
      <c r="BV139" s="55">
        <f>SUMIFS('Awards Summary'!$H:$H,'Awards Summary'!$B:$B,$C139,'Awards Summary'!$J:$J,"TROOPERS")</f>
        <v>0</v>
      </c>
      <c r="BW139" s="55">
        <f>SUMIFS('Disbursements Summary'!$E:$E,'Disbursements Summary'!$C:$C,$C139,'Disbursements Summary'!$A:$A,"TROOPERS")</f>
        <v>0</v>
      </c>
      <c r="BX139" s="55">
        <f>SUMIFS('Awards Summary'!$H:$H,'Awards Summary'!$B:$B,$C139,'Awards Summary'!$J:$J,"DVA")</f>
        <v>0</v>
      </c>
      <c r="BY139" s="55">
        <f>SUMIFS('Disbursements Summary'!$E:$E,'Disbursements Summary'!$C:$C,$C139,'Disbursements Summary'!$A:$A,"DVA")</f>
        <v>0</v>
      </c>
      <c r="BZ139" s="55">
        <f>SUMIFS('Awards Summary'!$H:$H,'Awards Summary'!$B:$B,$C139,'Awards Summary'!$J:$J,"DASNY")</f>
        <v>0</v>
      </c>
      <c r="CA139" s="55">
        <f>SUMIFS('Disbursements Summary'!$E:$E,'Disbursements Summary'!$C:$C,$C139,'Disbursements Summary'!$A:$A,"DASNY")</f>
        <v>0</v>
      </c>
      <c r="CB139" s="55">
        <f>SUMIFS('Awards Summary'!$H:$H,'Awards Summary'!$B:$B,$C139,'Awards Summary'!$J:$J,"EGG")</f>
        <v>0</v>
      </c>
      <c r="CC139" s="55">
        <f>SUMIFS('Disbursements Summary'!$E:$E,'Disbursements Summary'!$C:$C,$C139,'Disbursements Summary'!$A:$A,"EGG")</f>
        <v>0</v>
      </c>
      <c r="CD139" s="55">
        <f>SUMIFS('Awards Summary'!$H:$H,'Awards Summary'!$B:$B,$C139,'Awards Summary'!$J:$J,"ESD")</f>
        <v>0</v>
      </c>
      <c r="CE139" s="55">
        <f>SUMIFS('Disbursements Summary'!$E:$E,'Disbursements Summary'!$C:$C,$C139,'Disbursements Summary'!$A:$A,"ESD")</f>
        <v>0</v>
      </c>
      <c r="CF139" s="55">
        <f>SUMIFS('Awards Summary'!$H:$H,'Awards Summary'!$B:$B,$C139,'Awards Summary'!$J:$J,"EFC")</f>
        <v>0</v>
      </c>
      <c r="CG139" s="55">
        <f>SUMIFS('Disbursements Summary'!$E:$E,'Disbursements Summary'!$C:$C,$C139,'Disbursements Summary'!$A:$A,"EFC")</f>
        <v>0</v>
      </c>
      <c r="CH139" s="55">
        <f>SUMIFS('Awards Summary'!$H:$H,'Awards Summary'!$B:$B,$C139,'Awards Summary'!$J:$J,"ECFSA")</f>
        <v>0</v>
      </c>
      <c r="CI139" s="55">
        <f>SUMIFS('Disbursements Summary'!$E:$E,'Disbursements Summary'!$C:$C,$C139,'Disbursements Summary'!$A:$A,"ECFSA")</f>
        <v>0</v>
      </c>
      <c r="CJ139" s="55">
        <f>SUMIFS('Awards Summary'!$H:$H,'Awards Summary'!$B:$B,$C139,'Awards Summary'!$J:$J,"ECMC")</f>
        <v>0</v>
      </c>
      <c r="CK139" s="55">
        <f>SUMIFS('Disbursements Summary'!$E:$E,'Disbursements Summary'!$C:$C,$C139,'Disbursements Summary'!$A:$A,"ECMC")</f>
        <v>0</v>
      </c>
      <c r="CL139" s="55">
        <f>SUMIFS('Awards Summary'!$H:$H,'Awards Summary'!$B:$B,$C139,'Awards Summary'!$J:$J,"CHAMBER")</f>
        <v>0</v>
      </c>
      <c r="CM139" s="55">
        <f>SUMIFS('Disbursements Summary'!$E:$E,'Disbursements Summary'!$C:$C,$C139,'Disbursements Summary'!$A:$A,"CHAMBER")</f>
        <v>0</v>
      </c>
      <c r="CN139" s="55">
        <f>SUMIFS('Awards Summary'!$H:$H,'Awards Summary'!$B:$B,$C139,'Awards Summary'!$J:$J,"GAMING")</f>
        <v>0</v>
      </c>
      <c r="CO139" s="55">
        <f>SUMIFS('Disbursements Summary'!$E:$E,'Disbursements Summary'!$C:$C,$C139,'Disbursements Summary'!$A:$A,"GAMING")</f>
        <v>0</v>
      </c>
      <c r="CP139" s="55">
        <f>SUMIFS('Awards Summary'!$H:$H,'Awards Summary'!$B:$B,$C139,'Awards Summary'!$J:$J,"GOER")</f>
        <v>0</v>
      </c>
      <c r="CQ139" s="55">
        <f>SUMIFS('Disbursements Summary'!$E:$E,'Disbursements Summary'!$C:$C,$C139,'Disbursements Summary'!$A:$A,"GOER")</f>
        <v>0</v>
      </c>
      <c r="CR139" s="55">
        <f>SUMIFS('Awards Summary'!$H:$H,'Awards Summary'!$B:$B,$C139,'Awards Summary'!$J:$J,"HESC")</f>
        <v>0</v>
      </c>
      <c r="CS139" s="55">
        <f>SUMIFS('Disbursements Summary'!$E:$E,'Disbursements Summary'!$C:$C,$C139,'Disbursements Summary'!$A:$A,"HESC")</f>
        <v>0</v>
      </c>
      <c r="CT139" s="55">
        <f>SUMIFS('Awards Summary'!$H:$H,'Awards Summary'!$B:$B,$C139,'Awards Summary'!$J:$J,"GOSR")</f>
        <v>0</v>
      </c>
      <c r="CU139" s="55">
        <f>SUMIFS('Disbursements Summary'!$E:$E,'Disbursements Summary'!$C:$C,$C139,'Disbursements Summary'!$A:$A,"GOSR")</f>
        <v>0</v>
      </c>
      <c r="CV139" s="55">
        <f>SUMIFS('Awards Summary'!$H:$H,'Awards Summary'!$B:$B,$C139,'Awards Summary'!$J:$J,"HRPT")</f>
        <v>0</v>
      </c>
      <c r="CW139" s="55">
        <f>SUMIFS('Disbursements Summary'!$E:$E,'Disbursements Summary'!$C:$C,$C139,'Disbursements Summary'!$A:$A,"HRPT")</f>
        <v>0</v>
      </c>
      <c r="CX139" s="55">
        <f>SUMIFS('Awards Summary'!$H:$H,'Awards Summary'!$B:$B,$C139,'Awards Summary'!$J:$J,"HRBRRD")</f>
        <v>0</v>
      </c>
      <c r="CY139" s="55">
        <f>SUMIFS('Disbursements Summary'!$E:$E,'Disbursements Summary'!$C:$C,$C139,'Disbursements Summary'!$A:$A,"HRBRRD")</f>
        <v>0</v>
      </c>
      <c r="CZ139" s="55">
        <f>SUMIFS('Awards Summary'!$H:$H,'Awards Summary'!$B:$B,$C139,'Awards Summary'!$J:$J,"ITS")</f>
        <v>0</v>
      </c>
      <c r="DA139" s="55">
        <f>SUMIFS('Disbursements Summary'!$E:$E,'Disbursements Summary'!$C:$C,$C139,'Disbursements Summary'!$A:$A,"ITS")</f>
        <v>0</v>
      </c>
      <c r="DB139" s="55">
        <f>SUMIFS('Awards Summary'!$H:$H,'Awards Summary'!$B:$B,$C139,'Awards Summary'!$J:$J,"JAVITS")</f>
        <v>0</v>
      </c>
      <c r="DC139" s="55">
        <f>SUMIFS('Disbursements Summary'!$E:$E,'Disbursements Summary'!$C:$C,$C139,'Disbursements Summary'!$A:$A,"JAVITS")</f>
        <v>0</v>
      </c>
      <c r="DD139" s="55">
        <f>SUMIFS('Awards Summary'!$H:$H,'Awards Summary'!$B:$B,$C139,'Awards Summary'!$J:$J,"JCOPE")</f>
        <v>0</v>
      </c>
      <c r="DE139" s="55">
        <f>SUMIFS('Disbursements Summary'!$E:$E,'Disbursements Summary'!$C:$C,$C139,'Disbursements Summary'!$A:$A,"JCOPE")</f>
        <v>0</v>
      </c>
      <c r="DF139" s="55">
        <f>SUMIFS('Awards Summary'!$H:$H,'Awards Summary'!$B:$B,$C139,'Awards Summary'!$J:$J,"JUSTICE")</f>
        <v>0</v>
      </c>
      <c r="DG139" s="55">
        <f>SUMIFS('Disbursements Summary'!$E:$E,'Disbursements Summary'!$C:$C,$C139,'Disbursements Summary'!$A:$A,"JUSTICE")</f>
        <v>0</v>
      </c>
      <c r="DH139" s="55">
        <f>SUMIFS('Awards Summary'!$H:$H,'Awards Summary'!$B:$B,$C139,'Awards Summary'!$J:$J,"LCWSA")</f>
        <v>0</v>
      </c>
      <c r="DI139" s="55">
        <f>SUMIFS('Disbursements Summary'!$E:$E,'Disbursements Summary'!$C:$C,$C139,'Disbursements Summary'!$A:$A,"LCWSA")</f>
        <v>0</v>
      </c>
      <c r="DJ139" s="55">
        <f>SUMIFS('Awards Summary'!$H:$H,'Awards Summary'!$B:$B,$C139,'Awards Summary'!$J:$J,"LIPA")</f>
        <v>0</v>
      </c>
      <c r="DK139" s="55">
        <f>SUMIFS('Disbursements Summary'!$E:$E,'Disbursements Summary'!$C:$C,$C139,'Disbursements Summary'!$A:$A,"LIPA")</f>
        <v>0</v>
      </c>
      <c r="DL139" s="55">
        <f>SUMIFS('Awards Summary'!$H:$H,'Awards Summary'!$B:$B,$C139,'Awards Summary'!$J:$J,"MTA")</f>
        <v>0</v>
      </c>
      <c r="DM139" s="55">
        <f>SUMIFS('Disbursements Summary'!$E:$E,'Disbursements Summary'!$C:$C,$C139,'Disbursements Summary'!$A:$A,"MTA")</f>
        <v>0</v>
      </c>
      <c r="DN139" s="55">
        <f>SUMIFS('Awards Summary'!$H:$H,'Awards Summary'!$B:$B,$C139,'Awards Summary'!$J:$J,"NIFA")</f>
        <v>0</v>
      </c>
      <c r="DO139" s="55">
        <f>SUMIFS('Disbursements Summary'!$E:$E,'Disbursements Summary'!$C:$C,$C139,'Disbursements Summary'!$A:$A,"NIFA")</f>
        <v>0</v>
      </c>
      <c r="DP139" s="55">
        <f>SUMIFS('Awards Summary'!$H:$H,'Awards Summary'!$B:$B,$C139,'Awards Summary'!$J:$J,"NHCC")</f>
        <v>0</v>
      </c>
      <c r="DQ139" s="55">
        <f>SUMIFS('Disbursements Summary'!$E:$E,'Disbursements Summary'!$C:$C,$C139,'Disbursements Summary'!$A:$A,"NHCC")</f>
        <v>0</v>
      </c>
      <c r="DR139" s="55">
        <f>SUMIFS('Awards Summary'!$H:$H,'Awards Summary'!$B:$B,$C139,'Awards Summary'!$J:$J,"NHT")</f>
        <v>0</v>
      </c>
      <c r="DS139" s="55">
        <f>SUMIFS('Disbursements Summary'!$E:$E,'Disbursements Summary'!$C:$C,$C139,'Disbursements Summary'!$A:$A,"NHT")</f>
        <v>0</v>
      </c>
      <c r="DT139" s="55">
        <f>SUMIFS('Awards Summary'!$H:$H,'Awards Summary'!$B:$B,$C139,'Awards Summary'!$J:$J,"NYPA")</f>
        <v>0</v>
      </c>
      <c r="DU139" s="55">
        <f>SUMIFS('Disbursements Summary'!$E:$E,'Disbursements Summary'!$C:$C,$C139,'Disbursements Summary'!$A:$A,"NYPA")</f>
        <v>0</v>
      </c>
      <c r="DV139" s="55">
        <f>SUMIFS('Awards Summary'!$H:$H,'Awards Summary'!$B:$B,$C139,'Awards Summary'!$J:$J,"NYSBA")</f>
        <v>0</v>
      </c>
      <c r="DW139" s="55">
        <f>SUMIFS('Disbursements Summary'!$E:$E,'Disbursements Summary'!$C:$C,$C139,'Disbursements Summary'!$A:$A,"NYSBA")</f>
        <v>0</v>
      </c>
      <c r="DX139" s="55">
        <f>SUMIFS('Awards Summary'!$H:$H,'Awards Summary'!$B:$B,$C139,'Awards Summary'!$J:$J,"NYSERDA")</f>
        <v>0</v>
      </c>
      <c r="DY139" s="55">
        <f>SUMIFS('Disbursements Summary'!$E:$E,'Disbursements Summary'!$C:$C,$C139,'Disbursements Summary'!$A:$A,"NYSERDA")</f>
        <v>0</v>
      </c>
      <c r="DZ139" s="55">
        <f>SUMIFS('Awards Summary'!$H:$H,'Awards Summary'!$B:$B,$C139,'Awards Summary'!$J:$J,"DHCR")</f>
        <v>0</v>
      </c>
      <c r="EA139" s="55">
        <f>SUMIFS('Disbursements Summary'!$E:$E,'Disbursements Summary'!$C:$C,$C139,'Disbursements Summary'!$A:$A,"DHCR")</f>
        <v>0</v>
      </c>
      <c r="EB139" s="55">
        <f>SUMIFS('Awards Summary'!$H:$H,'Awards Summary'!$B:$B,$C139,'Awards Summary'!$J:$J,"HFA")</f>
        <v>0</v>
      </c>
      <c r="EC139" s="55">
        <f>SUMIFS('Disbursements Summary'!$E:$E,'Disbursements Summary'!$C:$C,$C139,'Disbursements Summary'!$A:$A,"HFA")</f>
        <v>0</v>
      </c>
      <c r="ED139" s="55">
        <f>SUMIFS('Awards Summary'!$H:$H,'Awards Summary'!$B:$B,$C139,'Awards Summary'!$J:$J,"NYSIF")</f>
        <v>0</v>
      </c>
      <c r="EE139" s="55">
        <f>SUMIFS('Disbursements Summary'!$E:$E,'Disbursements Summary'!$C:$C,$C139,'Disbursements Summary'!$A:$A,"NYSIF")</f>
        <v>0</v>
      </c>
      <c r="EF139" s="55">
        <f>SUMIFS('Awards Summary'!$H:$H,'Awards Summary'!$B:$B,$C139,'Awards Summary'!$J:$J,"NYBREDS")</f>
        <v>0</v>
      </c>
      <c r="EG139" s="55">
        <f>SUMIFS('Disbursements Summary'!$E:$E,'Disbursements Summary'!$C:$C,$C139,'Disbursements Summary'!$A:$A,"NYBREDS")</f>
        <v>0</v>
      </c>
      <c r="EH139" s="55">
        <f>SUMIFS('Awards Summary'!$H:$H,'Awards Summary'!$B:$B,$C139,'Awards Summary'!$J:$J,"NYSTA")</f>
        <v>0</v>
      </c>
      <c r="EI139" s="55">
        <f>SUMIFS('Disbursements Summary'!$E:$E,'Disbursements Summary'!$C:$C,$C139,'Disbursements Summary'!$A:$A,"NYSTA")</f>
        <v>0</v>
      </c>
      <c r="EJ139" s="55">
        <f>SUMIFS('Awards Summary'!$H:$H,'Awards Summary'!$B:$B,$C139,'Awards Summary'!$J:$J,"NFWB")</f>
        <v>0</v>
      </c>
      <c r="EK139" s="55">
        <f>SUMIFS('Disbursements Summary'!$E:$E,'Disbursements Summary'!$C:$C,$C139,'Disbursements Summary'!$A:$A,"NFWB")</f>
        <v>0</v>
      </c>
      <c r="EL139" s="55">
        <f>SUMIFS('Awards Summary'!$H:$H,'Awards Summary'!$B:$B,$C139,'Awards Summary'!$J:$J,"NFTA")</f>
        <v>0</v>
      </c>
      <c r="EM139" s="55">
        <f>SUMIFS('Disbursements Summary'!$E:$E,'Disbursements Summary'!$C:$C,$C139,'Disbursements Summary'!$A:$A,"NFTA")</f>
        <v>0</v>
      </c>
      <c r="EN139" s="55">
        <f>SUMIFS('Awards Summary'!$H:$H,'Awards Summary'!$B:$B,$C139,'Awards Summary'!$J:$J,"OPWDD")</f>
        <v>0</v>
      </c>
      <c r="EO139" s="55">
        <f>SUMIFS('Disbursements Summary'!$E:$E,'Disbursements Summary'!$C:$C,$C139,'Disbursements Summary'!$A:$A,"OPWDD")</f>
        <v>0</v>
      </c>
      <c r="EP139" s="55">
        <f>SUMIFS('Awards Summary'!$H:$H,'Awards Summary'!$B:$B,$C139,'Awards Summary'!$J:$J,"AGING")</f>
        <v>0</v>
      </c>
      <c r="EQ139" s="55">
        <f>SUMIFS('Disbursements Summary'!$E:$E,'Disbursements Summary'!$C:$C,$C139,'Disbursements Summary'!$A:$A,"AGING")</f>
        <v>0</v>
      </c>
      <c r="ER139" s="55">
        <f>SUMIFS('Awards Summary'!$H:$H,'Awards Summary'!$B:$B,$C139,'Awards Summary'!$J:$J,"OPDV")</f>
        <v>0</v>
      </c>
      <c r="ES139" s="55">
        <f>SUMIFS('Disbursements Summary'!$E:$E,'Disbursements Summary'!$C:$C,$C139,'Disbursements Summary'!$A:$A,"OPDV")</f>
        <v>0</v>
      </c>
      <c r="ET139" s="55">
        <f>SUMIFS('Awards Summary'!$H:$H,'Awards Summary'!$B:$B,$C139,'Awards Summary'!$J:$J,"OVS")</f>
        <v>0</v>
      </c>
      <c r="EU139" s="55">
        <f>SUMIFS('Disbursements Summary'!$E:$E,'Disbursements Summary'!$C:$C,$C139,'Disbursements Summary'!$A:$A,"OVS")</f>
        <v>0</v>
      </c>
      <c r="EV139" s="55">
        <f>SUMIFS('Awards Summary'!$H:$H,'Awards Summary'!$B:$B,$C139,'Awards Summary'!$J:$J,"OASAS")</f>
        <v>0</v>
      </c>
      <c r="EW139" s="55">
        <f>SUMIFS('Disbursements Summary'!$E:$E,'Disbursements Summary'!$C:$C,$C139,'Disbursements Summary'!$A:$A,"OASAS")</f>
        <v>0</v>
      </c>
      <c r="EX139" s="55">
        <f>SUMIFS('Awards Summary'!$H:$H,'Awards Summary'!$B:$B,$C139,'Awards Summary'!$J:$J,"OCFS")</f>
        <v>0</v>
      </c>
      <c r="EY139" s="55">
        <f>SUMIFS('Disbursements Summary'!$E:$E,'Disbursements Summary'!$C:$C,$C139,'Disbursements Summary'!$A:$A,"OCFS")</f>
        <v>0</v>
      </c>
      <c r="EZ139" s="55">
        <f>SUMIFS('Awards Summary'!$H:$H,'Awards Summary'!$B:$B,$C139,'Awards Summary'!$J:$J,"OGS")</f>
        <v>0</v>
      </c>
      <c r="FA139" s="55">
        <f>SUMIFS('Disbursements Summary'!$E:$E,'Disbursements Summary'!$C:$C,$C139,'Disbursements Summary'!$A:$A,"OGS")</f>
        <v>0</v>
      </c>
      <c r="FB139" s="55">
        <f>SUMIFS('Awards Summary'!$H:$H,'Awards Summary'!$B:$B,$C139,'Awards Summary'!$J:$J,"OMH")</f>
        <v>0</v>
      </c>
      <c r="FC139" s="55">
        <f>SUMIFS('Disbursements Summary'!$E:$E,'Disbursements Summary'!$C:$C,$C139,'Disbursements Summary'!$A:$A,"OMH")</f>
        <v>0</v>
      </c>
      <c r="FD139" s="55">
        <f>SUMIFS('Awards Summary'!$H:$H,'Awards Summary'!$B:$B,$C139,'Awards Summary'!$J:$J,"PARKS")</f>
        <v>0</v>
      </c>
      <c r="FE139" s="55">
        <f>SUMIFS('Disbursements Summary'!$E:$E,'Disbursements Summary'!$C:$C,$C139,'Disbursements Summary'!$A:$A,"PARKS")</f>
        <v>0</v>
      </c>
      <c r="FF139" s="55">
        <f>SUMIFS('Awards Summary'!$H:$H,'Awards Summary'!$B:$B,$C139,'Awards Summary'!$J:$J,"OTDA")</f>
        <v>0</v>
      </c>
      <c r="FG139" s="55">
        <f>SUMIFS('Disbursements Summary'!$E:$E,'Disbursements Summary'!$C:$C,$C139,'Disbursements Summary'!$A:$A,"OTDA")</f>
        <v>0</v>
      </c>
      <c r="FH139" s="55">
        <f>SUMIFS('Awards Summary'!$H:$H,'Awards Summary'!$B:$B,$C139,'Awards Summary'!$J:$J,"OIG")</f>
        <v>0</v>
      </c>
      <c r="FI139" s="55">
        <f>SUMIFS('Disbursements Summary'!$E:$E,'Disbursements Summary'!$C:$C,$C139,'Disbursements Summary'!$A:$A,"OIG")</f>
        <v>0</v>
      </c>
      <c r="FJ139" s="55">
        <f>SUMIFS('Awards Summary'!$H:$H,'Awards Summary'!$B:$B,$C139,'Awards Summary'!$J:$J,"OMIG")</f>
        <v>0</v>
      </c>
      <c r="FK139" s="55">
        <f>SUMIFS('Disbursements Summary'!$E:$E,'Disbursements Summary'!$C:$C,$C139,'Disbursements Summary'!$A:$A,"OMIG")</f>
        <v>0</v>
      </c>
      <c r="FL139" s="55">
        <f>SUMIFS('Awards Summary'!$H:$H,'Awards Summary'!$B:$B,$C139,'Awards Summary'!$J:$J,"OSC")</f>
        <v>0</v>
      </c>
      <c r="FM139" s="55">
        <f>SUMIFS('Disbursements Summary'!$E:$E,'Disbursements Summary'!$C:$C,$C139,'Disbursements Summary'!$A:$A,"OSC")</f>
        <v>0</v>
      </c>
      <c r="FN139" s="55">
        <f>SUMIFS('Awards Summary'!$H:$H,'Awards Summary'!$B:$B,$C139,'Awards Summary'!$J:$J,"OWIG")</f>
        <v>0</v>
      </c>
      <c r="FO139" s="55">
        <f>SUMIFS('Disbursements Summary'!$E:$E,'Disbursements Summary'!$C:$C,$C139,'Disbursements Summary'!$A:$A,"OWIG")</f>
        <v>0</v>
      </c>
      <c r="FP139" s="55">
        <f>SUMIFS('Awards Summary'!$H:$H,'Awards Summary'!$B:$B,$C139,'Awards Summary'!$J:$J,"OGDEN")</f>
        <v>0</v>
      </c>
      <c r="FQ139" s="55">
        <f>SUMIFS('Disbursements Summary'!$E:$E,'Disbursements Summary'!$C:$C,$C139,'Disbursements Summary'!$A:$A,"OGDEN")</f>
        <v>0</v>
      </c>
      <c r="FR139" s="55">
        <f>SUMIFS('Awards Summary'!$H:$H,'Awards Summary'!$B:$B,$C139,'Awards Summary'!$J:$J,"ORDA")</f>
        <v>0</v>
      </c>
      <c r="FS139" s="55">
        <f>SUMIFS('Disbursements Summary'!$E:$E,'Disbursements Summary'!$C:$C,$C139,'Disbursements Summary'!$A:$A,"ORDA")</f>
        <v>0</v>
      </c>
      <c r="FT139" s="55">
        <f>SUMIFS('Awards Summary'!$H:$H,'Awards Summary'!$B:$B,$C139,'Awards Summary'!$J:$J,"OSWEGO")</f>
        <v>0</v>
      </c>
      <c r="FU139" s="55">
        <f>SUMIFS('Disbursements Summary'!$E:$E,'Disbursements Summary'!$C:$C,$C139,'Disbursements Summary'!$A:$A,"OSWEGO")</f>
        <v>0</v>
      </c>
      <c r="FV139" s="55">
        <f>SUMIFS('Awards Summary'!$H:$H,'Awards Summary'!$B:$B,$C139,'Awards Summary'!$J:$J,"PERB")</f>
        <v>0</v>
      </c>
      <c r="FW139" s="55">
        <f>SUMIFS('Disbursements Summary'!$E:$E,'Disbursements Summary'!$C:$C,$C139,'Disbursements Summary'!$A:$A,"PERB")</f>
        <v>0</v>
      </c>
      <c r="FX139" s="55">
        <f>SUMIFS('Awards Summary'!$H:$H,'Awards Summary'!$B:$B,$C139,'Awards Summary'!$J:$J,"RGRTA")</f>
        <v>0</v>
      </c>
      <c r="FY139" s="55">
        <f>SUMIFS('Disbursements Summary'!$E:$E,'Disbursements Summary'!$C:$C,$C139,'Disbursements Summary'!$A:$A,"RGRTA")</f>
        <v>0</v>
      </c>
      <c r="FZ139" s="55">
        <f>SUMIFS('Awards Summary'!$H:$H,'Awards Summary'!$B:$B,$C139,'Awards Summary'!$J:$J,"RIOC")</f>
        <v>0</v>
      </c>
      <c r="GA139" s="55">
        <f>SUMIFS('Disbursements Summary'!$E:$E,'Disbursements Summary'!$C:$C,$C139,'Disbursements Summary'!$A:$A,"RIOC")</f>
        <v>0</v>
      </c>
      <c r="GB139" s="55">
        <f>SUMIFS('Awards Summary'!$H:$H,'Awards Summary'!$B:$B,$C139,'Awards Summary'!$J:$J,"RPCI")</f>
        <v>0</v>
      </c>
      <c r="GC139" s="55">
        <f>SUMIFS('Disbursements Summary'!$E:$E,'Disbursements Summary'!$C:$C,$C139,'Disbursements Summary'!$A:$A,"RPCI")</f>
        <v>0</v>
      </c>
      <c r="GD139" s="55">
        <f>SUMIFS('Awards Summary'!$H:$H,'Awards Summary'!$B:$B,$C139,'Awards Summary'!$J:$J,"SMDA")</f>
        <v>0</v>
      </c>
      <c r="GE139" s="55">
        <f>SUMIFS('Disbursements Summary'!$E:$E,'Disbursements Summary'!$C:$C,$C139,'Disbursements Summary'!$A:$A,"SMDA")</f>
        <v>0</v>
      </c>
      <c r="GF139" s="55">
        <f>SUMIFS('Awards Summary'!$H:$H,'Awards Summary'!$B:$B,$C139,'Awards Summary'!$J:$J,"SCOC")</f>
        <v>0</v>
      </c>
      <c r="GG139" s="55">
        <f>SUMIFS('Disbursements Summary'!$E:$E,'Disbursements Summary'!$C:$C,$C139,'Disbursements Summary'!$A:$A,"SCOC")</f>
        <v>0</v>
      </c>
      <c r="GH139" s="55">
        <f>SUMIFS('Awards Summary'!$H:$H,'Awards Summary'!$B:$B,$C139,'Awards Summary'!$J:$J,"SUCF")</f>
        <v>0</v>
      </c>
      <c r="GI139" s="55">
        <f>SUMIFS('Disbursements Summary'!$E:$E,'Disbursements Summary'!$C:$C,$C139,'Disbursements Summary'!$A:$A,"SUCF")</f>
        <v>0</v>
      </c>
      <c r="GJ139" s="55">
        <f>SUMIFS('Awards Summary'!$H:$H,'Awards Summary'!$B:$B,$C139,'Awards Summary'!$J:$J,"SUNY")</f>
        <v>0</v>
      </c>
      <c r="GK139" s="55">
        <f>SUMIFS('Disbursements Summary'!$E:$E,'Disbursements Summary'!$C:$C,$C139,'Disbursements Summary'!$A:$A,"SUNY")</f>
        <v>0</v>
      </c>
      <c r="GL139" s="55">
        <f>SUMIFS('Awards Summary'!$H:$H,'Awards Summary'!$B:$B,$C139,'Awards Summary'!$J:$J,"SRAA")</f>
        <v>0</v>
      </c>
      <c r="GM139" s="55">
        <f>SUMIFS('Disbursements Summary'!$E:$E,'Disbursements Summary'!$C:$C,$C139,'Disbursements Summary'!$A:$A,"SRAA")</f>
        <v>0</v>
      </c>
      <c r="GN139" s="55">
        <f>SUMIFS('Awards Summary'!$H:$H,'Awards Summary'!$B:$B,$C139,'Awards Summary'!$J:$J,"UNDC")</f>
        <v>0</v>
      </c>
      <c r="GO139" s="55">
        <f>SUMIFS('Disbursements Summary'!$E:$E,'Disbursements Summary'!$C:$C,$C139,'Disbursements Summary'!$A:$A,"UNDC")</f>
        <v>0</v>
      </c>
      <c r="GP139" s="55">
        <f>SUMIFS('Awards Summary'!$H:$H,'Awards Summary'!$B:$B,$C139,'Awards Summary'!$J:$J,"MVWA")</f>
        <v>0</v>
      </c>
      <c r="GQ139" s="55">
        <f>SUMIFS('Disbursements Summary'!$E:$E,'Disbursements Summary'!$C:$C,$C139,'Disbursements Summary'!$A:$A,"MVWA")</f>
        <v>0</v>
      </c>
      <c r="GR139" s="55">
        <f>SUMIFS('Awards Summary'!$H:$H,'Awards Summary'!$B:$B,$C139,'Awards Summary'!$J:$J,"WMC")</f>
        <v>0</v>
      </c>
      <c r="GS139" s="55">
        <f>SUMIFS('Disbursements Summary'!$E:$E,'Disbursements Summary'!$C:$C,$C139,'Disbursements Summary'!$A:$A,"WMC")</f>
        <v>0</v>
      </c>
      <c r="GT139" s="55">
        <f>SUMIFS('Awards Summary'!$H:$H,'Awards Summary'!$B:$B,$C139,'Awards Summary'!$J:$J,"WCB")</f>
        <v>0</v>
      </c>
      <c r="GU139" s="55">
        <f>SUMIFS('Disbursements Summary'!$E:$E,'Disbursements Summary'!$C:$C,$C139,'Disbursements Summary'!$A:$A,"WCB")</f>
        <v>0</v>
      </c>
      <c r="GV139" s="32">
        <f t="shared" si="10"/>
        <v>0</v>
      </c>
      <c r="GW139" s="32">
        <f t="shared" si="11"/>
        <v>0</v>
      </c>
      <c r="GX139" s="30" t="b">
        <f t="shared" si="12"/>
        <v>1</v>
      </c>
      <c r="GY139" s="30" t="b">
        <f t="shared" si="13"/>
        <v>1</v>
      </c>
    </row>
    <row r="140" spans="1:16384">
      <c r="A140" s="206" t="str">
        <f t="shared" si="14"/>
        <v/>
      </c>
      <c r="B140" s="207" t="s">
        <v>251</v>
      </c>
      <c r="C140" s="208">
        <v>171380</v>
      </c>
      <c r="D140" s="209">
        <f>COUNTIF('Awards Summary'!B:B,"171380")</f>
        <v>0</v>
      </c>
      <c r="E140" s="210">
        <f>SUMIFS('Awards Summary'!H:H,'Awards Summary'!B:B,"171380")</f>
        <v>0</v>
      </c>
      <c r="F140" s="211">
        <f>SUMIFS('Disbursements Summary'!E:E,'Disbursements Summary'!C:C, "171380")</f>
        <v>0</v>
      </c>
      <c r="G140" s="30"/>
      <c r="H140" s="55">
        <f>SUMIFS('Awards Summary'!$H:$H,'Awards Summary'!$B:$B,$C140,'Awards Summary'!$J:$J,"APA")</f>
        <v>0</v>
      </c>
      <c r="I140" s="55">
        <f>SUMIFS('Disbursements Summary'!$E:$E,'Disbursements Summary'!$C:$C,$C140,'Disbursements Summary'!$A:$A,"APA")</f>
        <v>0</v>
      </c>
      <c r="J140" s="55">
        <f>SUMIFS('Awards Summary'!$H:$H,'Awards Summary'!$B:$B,$C140,'Awards Summary'!$J:$J,"Ag&amp;Horse")</f>
        <v>0</v>
      </c>
      <c r="K140" s="55">
        <f>SUMIFS('Disbursements Summary'!$E:$E,'Disbursements Summary'!$C:$C,$C140,'Disbursements Summary'!$A:$A,"Ag&amp;Horse")</f>
        <v>0</v>
      </c>
      <c r="L140" s="55">
        <f>SUMIFS('Awards Summary'!$H:$H,'Awards Summary'!$B:$B,$C140,'Awards Summary'!$J:$J,"ACAA")</f>
        <v>0</v>
      </c>
      <c r="M140" s="55">
        <f>SUMIFS('Disbursements Summary'!$E:$E,'Disbursements Summary'!$C:$C,$C140,'Disbursements Summary'!$A:$A,"ACAA")</f>
        <v>0</v>
      </c>
      <c r="N140" s="55">
        <f>SUMIFS('Awards Summary'!$H:$H,'Awards Summary'!$B:$B,$C140,'Awards Summary'!$J:$J,"PortAlbany")</f>
        <v>0</v>
      </c>
      <c r="O140" s="55">
        <f>SUMIFS('Disbursements Summary'!$E:$E,'Disbursements Summary'!$C:$C,$C140,'Disbursements Summary'!$A:$A,"PortAlbany")</f>
        <v>0</v>
      </c>
      <c r="P140" s="55">
        <f>SUMIFS('Awards Summary'!$H:$H,'Awards Summary'!$B:$B,$C140,'Awards Summary'!$J:$J,"SLA")</f>
        <v>0</v>
      </c>
      <c r="Q140" s="55">
        <f>SUMIFS('Disbursements Summary'!$E:$E,'Disbursements Summary'!$C:$C,$C140,'Disbursements Summary'!$A:$A,"SLA")</f>
        <v>0</v>
      </c>
      <c r="R140" s="55">
        <f>SUMIFS('Awards Summary'!$H:$H,'Awards Summary'!$B:$B,$C140,'Awards Summary'!$J:$J,"BPCA")</f>
        <v>0</v>
      </c>
      <c r="S140" s="55">
        <f>SUMIFS('Disbursements Summary'!$E:$E,'Disbursements Summary'!$C:$C,$C140,'Disbursements Summary'!$A:$A,"BPCA")</f>
        <v>0</v>
      </c>
      <c r="T140" s="55">
        <f>SUMIFS('Awards Summary'!$H:$H,'Awards Summary'!$B:$B,$C140,'Awards Summary'!$J:$J,"ELECTIONS")</f>
        <v>0</v>
      </c>
      <c r="U140" s="55">
        <f>SUMIFS('Disbursements Summary'!$E:$E,'Disbursements Summary'!$C:$C,$C140,'Disbursements Summary'!$A:$A,"ELECTIONS")</f>
        <v>0</v>
      </c>
      <c r="V140" s="55">
        <f>SUMIFS('Awards Summary'!$H:$H,'Awards Summary'!$B:$B,$C140,'Awards Summary'!$J:$J,"BFSA")</f>
        <v>0</v>
      </c>
      <c r="W140" s="55">
        <f>SUMIFS('Disbursements Summary'!$E:$E,'Disbursements Summary'!$C:$C,$C140,'Disbursements Summary'!$A:$A,"BFSA")</f>
        <v>0</v>
      </c>
      <c r="X140" s="55">
        <f>SUMIFS('Awards Summary'!$H:$H,'Awards Summary'!$B:$B,$C140,'Awards Summary'!$J:$J,"CDTA")</f>
        <v>0</v>
      </c>
      <c r="Y140" s="55">
        <f>SUMIFS('Disbursements Summary'!$E:$E,'Disbursements Summary'!$C:$C,$C140,'Disbursements Summary'!$A:$A,"CDTA")</f>
        <v>0</v>
      </c>
      <c r="Z140" s="55">
        <f>SUMIFS('Awards Summary'!$H:$H,'Awards Summary'!$B:$B,$C140,'Awards Summary'!$J:$J,"CCWSA")</f>
        <v>0</v>
      </c>
      <c r="AA140" s="55">
        <f>SUMIFS('Disbursements Summary'!$E:$E,'Disbursements Summary'!$C:$C,$C140,'Disbursements Summary'!$A:$A,"CCWSA")</f>
        <v>0</v>
      </c>
      <c r="AB140" s="55">
        <f>SUMIFS('Awards Summary'!$H:$H,'Awards Summary'!$B:$B,$C140,'Awards Summary'!$J:$J,"CNYRTA")</f>
        <v>0</v>
      </c>
      <c r="AC140" s="55">
        <f>SUMIFS('Disbursements Summary'!$E:$E,'Disbursements Summary'!$C:$C,$C140,'Disbursements Summary'!$A:$A,"CNYRTA")</f>
        <v>0</v>
      </c>
      <c r="AD140" s="55">
        <f>SUMIFS('Awards Summary'!$H:$H,'Awards Summary'!$B:$B,$C140,'Awards Summary'!$J:$J,"CUCF")</f>
        <v>0</v>
      </c>
      <c r="AE140" s="55">
        <f>SUMIFS('Disbursements Summary'!$E:$E,'Disbursements Summary'!$C:$C,$C140,'Disbursements Summary'!$A:$A,"CUCF")</f>
        <v>0</v>
      </c>
      <c r="AF140" s="55">
        <f>SUMIFS('Awards Summary'!$H:$H,'Awards Summary'!$B:$B,$C140,'Awards Summary'!$J:$J,"CUNY")</f>
        <v>0</v>
      </c>
      <c r="AG140" s="55">
        <f>SUMIFS('Disbursements Summary'!$E:$E,'Disbursements Summary'!$C:$C,$C140,'Disbursements Summary'!$A:$A,"CUNY")</f>
        <v>0</v>
      </c>
      <c r="AH140" s="55">
        <f>SUMIFS('Awards Summary'!$H:$H,'Awards Summary'!$B:$B,$C140,'Awards Summary'!$J:$J,"ARTS")</f>
        <v>0</v>
      </c>
      <c r="AI140" s="55">
        <f>SUMIFS('Disbursements Summary'!$E:$E,'Disbursements Summary'!$C:$C,$C140,'Disbursements Summary'!$A:$A,"ARTS")</f>
        <v>0</v>
      </c>
      <c r="AJ140" s="55">
        <f>SUMIFS('Awards Summary'!$H:$H,'Awards Summary'!$B:$B,$C140,'Awards Summary'!$J:$J,"AG&amp;MKTS")</f>
        <v>0</v>
      </c>
      <c r="AK140" s="55">
        <f>SUMIFS('Disbursements Summary'!$E:$E,'Disbursements Summary'!$C:$C,$C140,'Disbursements Summary'!$A:$A,"AG&amp;MKTS")</f>
        <v>0</v>
      </c>
      <c r="AL140" s="55">
        <f>SUMIFS('Awards Summary'!$H:$H,'Awards Summary'!$B:$B,$C140,'Awards Summary'!$J:$J,"CS")</f>
        <v>0</v>
      </c>
      <c r="AM140" s="55">
        <f>SUMIFS('Disbursements Summary'!$E:$E,'Disbursements Summary'!$C:$C,$C140,'Disbursements Summary'!$A:$A,"CS")</f>
        <v>0</v>
      </c>
      <c r="AN140" s="55">
        <f>SUMIFS('Awards Summary'!$H:$H,'Awards Summary'!$B:$B,$C140,'Awards Summary'!$J:$J,"DOCCS")</f>
        <v>0</v>
      </c>
      <c r="AO140" s="55">
        <f>SUMIFS('Disbursements Summary'!$E:$E,'Disbursements Summary'!$C:$C,$C140,'Disbursements Summary'!$A:$A,"DOCCS")</f>
        <v>0</v>
      </c>
      <c r="AP140" s="55">
        <f>SUMIFS('Awards Summary'!$H:$H,'Awards Summary'!$B:$B,$C140,'Awards Summary'!$J:$J,"DED")</f>
        <v>0</v>
      </c>
      <c r="AQ140" s="55">
        <f>SUMIFS('Disbursements Summary'!$E:$E,'Disbursements Summary'!$C:$C,$C140,'Disbursements Summary'!$A:$A,"DED")</f>
        <v>0</v>
      </c>
      <c r="AR140" s="55">
        <f>SUMIFS('Awards Summary'!$H:$H,'Awards Summary'!$B:$B,$C140,'Awards Summary'!$J:$J,"DEC")</f>
        <v>0</v>
      </c>
      <c r="AS140" s="55">
        <f>SUMIFS('Disbursements Summary'!$E:$E,'Disbursements Summary'!$C:$C,$C140,'Disbursements Summary'!$A:$A,"DEC")</f>
        <v>0</v>
      </c>
      <c r="AT140" s="55">
        <f>SUMIFS('Awards Summary'!$H:$H,'Awards Summary'!$B:$B,$C140,'Awards Summary'!$J:$J,"DFS")</f>
        <v>0</v>
      </c>
      <c r="AU140" s="55">
        <f>SUMIFS('Disbursements Summary'!$E:$E,'Disbursements Summary'!$C:$C,$C140,'Disbursements Summary'!$A:$A,"DFS")</f>
        <v>0</v>
      </c>
      <c r="AV140" s="55">
        <f>SUMIFS('Awards Summary'!$H:$H,'Awards Summary'!$B:$B,$C140,'Awards Summary'!$J:$J,"DOH")</f>
        <v>0</v>
      </c>
      <c r="AW140" s="55">
        <f>SUMIFS('Disbursements Summary'!$E:$E,'Disbursements Summary'!$C:$C,$C140,'Disbursements Summary'!$A:$A,"DOH")</f>
        <v>0</v>
      </c>
      <c r="AX140" s="55">
        <f>SUMIFS('Awards Summary'!$H:$H,'Awards Summary'!$B:$B,$C140,'Awards Summary'!$J:$J,"DOL")</f>
        <v>0</v>
      </c>
      <c r="AY140" s="55">
        <f>SUMIFS('Disbursements Summary'!$E:$E,'Disbursements Summary'!$C:$C,$C140,'Disbursements Summary'!$A:$A,"DOL")</f>
        <v>0</v>
      </c>
      <c r="AZ140" s="55">
        <f>SUMIFS('Awards Summary'!$H:$H,'Awards Summary'!$B:$B,$C140,'Awards Summary'!$J:$J,"DMV")</f>
        <v>0</v>
      </c>
      <c r="BA140" s="55">
        <f>SUMIFS('Disbursements Summary'!$E:$E,'Disbursements Summary'!$C:$C,$C140,'Disbursements Summary'!$A:$A,"DMV")</f>
        <v>0</v>
      </c>
      <c r="BB140" s="55">
        <f>SUMIFS('Awards Summary'!$H:$H,'Awards Summary'!$B:$B,$C140,'Awards Summary'!$J:$J,"DPS")</f>
        <v>0</v>
      </c>
      <c r="BC140" s="55">
        <f>SUMIFS('Disbursements Summary'!$E:$E,'Disbursements Summary'!$C:$C,$C140,'Disbursements Summary'!$A:$A,"DPS")</f>
        <v>0</v>
      </c>
      <c r="BD140" s="55">
        <f>SUMIFS('Awards Summary'!$H:$H,'Awards Summary'!$B:$B,$C140,'Awards Summary'!$J:$J,"DOS")</f>
        <v>0</v>
      </c>
      <c r="BE140" s="55">
        <f>SUMIFS('Disbursements Summary'!$E:$E,'Disbursements Summary'!$C:$C,$C140,'Disbursements Summary'!$A:$A,"DOS")</f>
        <v>0</v>
      </c>
      <c r="BF140" s="55">
        <f>SUMIFS('Awards Summary'!$H:$H,'Awards Summary'!$B:$B,$C140,'Awards Summary'!$J:$J,"TAX")</f>
        <v>0</v>
      </c>
      <c r="BG140" s="55">
        <f>SUMIFS('Disbursements Summary'!$E:$E,'Disbursements Summary'!$C:$C,$C140,'Disbursements Summary'!$A:$A,"TAX")</f>
        <v>0</v>
      </c>
      <c r="BH140" s="55">
        <f>SUMIFS('Awards Summary'!$H:$H,'Awards Summary'!$B:$B,$C140,'Awards Summary'!$J:$J,"DOT")</f>
        <v>0</v>
      </c>
      <c r="BI140" s="55">
        <f>SUMIFS('Disbursements Summary'!$E:$E,'Disbursements Summary'!$C:$C,$C140,'Disbursements Summary'!$A:$A,"DOT")</f>
        <v>0</v>
      </c>
      <c r="BJ140" s="55">
        <f>SUMIFS('Awards Summary'!$H:$H,'Awards Summary'!$B:$B,$C140,'Awards Summary'!$J:$J,"DANC")</f>
        <v>0</v>
      </c>
      <c r="BK140" s="55">
        <f>SUMIFS('Disbursements Summary'!$E:$E,'Disbursements Summary'!$C:$C,$C140,'Disbursements Summary'!$A:$A,"DANC")</f>
        <v>0</v>
      </c>
      <c r="BL140" s="55">
        <f>SUMIFS('Awards Summary'!$H:$H,'Awards Summary'!$B:$B,$C140,'Awards Summary'!$J:$J,"DOB")</f>
        <v>0</v>
      </c>
      <c r="BM140" s="55">
        <f>SUMIFS('Disbursements Summary'!$E:$E,'Disbursements Summary'!$C:$C,$C140,'Disbursements Summary'!$A:$A,"DOB")</f>
        <v>0</v>
      </c>
      <c r="BN140" s="55">
        <f>SUMIFS('Awards Summary'!$H:$H,'Awards Summary'!$B:$B,$C140,'Awards Summary'!$J:$J,"DCJS")</f>
        <v>0</v>
      </c>
      <c r="BO140" s="55">
        <f>SUMIFS('Disbursements Summary'!$E:$E,'Disbursements Summary'!$C:$C,$C140,'Disbursements Summary'!$A:$A,"DCJS")</f>
        <v>0</v>
      </c>
      <c r="BP140" s="55">
        <f>SUMIFS('Awards Summary'!$H:$H,'Awards Summary'!$B:$B,$C140,'Awards Summary'!$J:$J,"DHSES")</f>
        <v>0</v>
      </c>
      <c r="BQ140" s="55">
        <f>SUMIFS('Disbursements Summary'!$E:$E,'Disbursements Summary'!$C:$C,$C140,'Disbursements Summary'!$A:$A,"DHSES")</f>
        <v>0</v>
      </c>
      <c r="BR140" s="55">
        <f>SUMIFS('Awards Summary'!$H:$H,'Awards Summary'!$B:$B,$C140,'Awards Summary'!$J:$J,"DHR")</f>
        <v>0</v>
      </c>
      <c r="BS140" s="55">
        <f>SUMIFS('Disbursements Summary'!$E:$E,'Disbursements Summary'!$C:$C,$C140,'Disbursements Summary'!$A:$A,"DHR")</f>
        <v>0</v>
      </c>
      <c r="BT140" s="55">
        <f>SUMIFS('Awards Summary'!$H:$H,'Awards Summary'!$B:$B,$C140,'Awards Summary'!$J:$J,"DMNA")</f>
        <v>0</v>
      </c>
      <c r="BU140" s="55">
        <f>SUMIFS('Disbursements Summary'!$E:$E,'Disbursements Summary'!$C:$C,$C140,'Disbursements Summary'!$A:$A,"DMNA")</f>
        <v>0</v>
      </c>
      <c r="BV140" s="55">
        <f>SUMIFS('Awards Summary'!$H:$H,'Awards Summary'!$B:$B,$C140,'Awards Summary'!$J:$J,"TROOPERS")</f>
        <v>0</v>
      </c>
      <c r="BW140" s="55">
        <f>SUMIFS('Disbursements Summary'!$E:$E,'Disbursements Summary'!$C:$C,$C140,'Disbursements Summary'!$A:$A,"TROOPERS")</f>
        <v>0</v>
      </c>
      <c r="BX140" s="55">
        <f>SUMIFS('Awards Summary'!$H:$H,'Awards Summary'!$B:$B,$C140,'Awards Summary'!$J:$J,"DVA")</f>
        <v>0</v>
      </c>
      <c r="BY140" s="55">
        <f>SUMIFS('Disbursements Summary'!$E:$E,'Disbursements Summary'!$C:$C,$C140,'Disbursements Summary'!$A:$A,"DVA")</f>
        <v>0</v>
      </c>
      <c r="BZ140" s="55">
        <f>SUMIFS('Awards Summary'!$H:$H,'Awards Summary'!$B:$B,$C140,'Awards Summary'!$J:$J,"DASNY")</f>
        <v>0</v>
      </c>
      <c r="CA140" s="55">
        <f>SUMIFS('Disbursements Summary'!$E:$E,'Disbursements Summary'!$C:$C,$C140,'Disbursements Summary'!$A:$A,"DASNY")</f>
        <v>0</v>
      </c>
      <c r="CB140" s="55">
        <f>SUMIFS('Awards Summary'!$H:$H,'Awards Summary'!$B:$B,$C140,'Awards Summary'!$J:$J,"EGG")</f>
        <v>0</v>
      </c>
      <c r="CC140" s="55">
        <f>SUMIFS('Disbursements Summary'!$E:$E,'Disbursements Summary'!$C:$C,$C140,'Disbursements Summary'!$A:$A,"EGG")</f>
        <v>0</v>
      </c>
      <c r="CD140" s="55">
        <f>SUMIFS('Awards Summary'!$H:$H,'Awards Summary'!$B:$B,$C140,'Awards Summary'!$J:$J,"ESD")</f>
        <v>0</v>
      </c>
      <c r="CE140" s="55">
        <f>SUMIFS('Disbursements Summary'!$E:$E,'Disbursements Summary'!$C:$C,$C140,'Disbursements Summary'!$A:$A,"ESD")</f>
        <v>0</v>
      </c>
      <c r="CF140" s="55">
        <f>SUMIFS('Awards Summary'!$H:$H,'Awards Summary'!$B:$B,$C140,'Awards Summary'!$J:$J,"EFC")</f>
        <v>0</v>
      </c>
      <c r="CG140" s="55">
        <f>SUMIFS('Disbursements Summary'!$E:$E,'Disbursements Summary'!$C:$C,$C140,'Disbursements Summary'!$A:$A,"EFC")</f>
        <v>0</v>
      </c>
      <c r="CH140" s="55">
        <f>SUMIFS('Awards Summary'!$H:$H,'Awards Summary'!$B:$B,$C140,'Awards Summary'!$J:$J,"ECFSA")</f>
        <v>0</v>
      </c>
      <c r="CI140" s="55">
        <f>SUMIFS('Disbursements Summary'!$E:$E,'Disbursements Summary'!$C:$C,$C140,'Disbursements Summary'!$A:$A,"ECFSA")</f>
        <v>0</v>
      </c>
      <c r="CJ140" s="55">
        <f>SUMIFS('Awards Summary'!$H:$H,'Awards Summary'!$B:$B,$C140,'Awards Summary'!$J:$J,"ECMC")</f>
        <v>0</v>
      </c>
      <c r="CK140" s="55">
        <f>SUMIFS('Disbursements Summary'!$E:$E,'Disbursements Summary'!$C:$C,$C140,'Disbursements Summary'!$A:$A,"ECMC")</f>
        <v>0</v>
      </c>
      <c r="CL140" s="55">
        <f>SUMIFS('Awards Summary'!$H:$H,'Awards Summary'!$B:$B,$C140,'Awards Summary'!$J:$J,"CHAMBER")</f>
        <v>0</v>
      </c>
      <c r="CM140" s="55">
        <f>SUMIFS('Disbursements Summary'!$E:$E,'Disbursements Summary'!$C:$C,$C140,'Disbursements Summary'!$A:$A,"CHAMBER")</f>
        <v>0</v>
      </c>
      <c r="CN140" s="55">
        <f>SUMIFS('Awards Summary'!$H:$H,'Awards Summary'!$B:$B,$C140,'Awards Summary'!$J:$J,"GAMING")</f>
        <v>0</v>
      </c>
      <c r="CO140" s="55">
        <f>SUMIFS('Disbursements Summary'!$E:$E,'Disbursements Summary'!$C:$C,$C140,'Disbursements Summary'!$A:$A,"GAMING")</f>
        <v>0</v>
      </c>
      <c r="CP140" s="55">
        <f>SUMIFS('Awards Summary'!$H:$H,'Awards Summary'!$B:$B,$C140,'Awards Summary'!$J:$J,"GOER")</f>
        <v>0</v>
      </c>
      <c r="CQ140" s="55">
        <f>SUMIFS('Disbursements Summary'!$E:$E,'Disbursements Summary'!$C:$C,$C140,'Disbursements Summary'!$A:$A,"GOER")</f>
        <v>0</v>
      </c>
      <c r="CR140" s="55">
        <f>SUMIFS('Awards Summary'!$H:$H,'Awards Summary'!$B:$B,$C140,'Awards Summary'!$J:$J,"HESC")</f>
        <v>0</v>
      </c>
      <c r="CS140" s="55">
        <f>SUMIFS('Disbursements Summary'!$E:$E,'Disbursements Summary'!$C:$C,$C140,'Disbursements Summary'!$A:$A,"HESC")</f>
        <v>0</v>
      </c>
      <c r="CT140" s="55">
        <f>SUMIFS('Awards Summary'!$H:$H,'Awards Summary'!$B:$B,$C140,'Awards Summary'!$J:$J,"GOSR")</f>
        <v>0</v>
      </c>
      <c r="CU140" s="55">
        <f>SUMIFS('Disbursements Summary'!$E:$E,'Disbursements Summary'!$C:$C,$C140,'Disbursements Summary'!$A:$A,"GOSR")</f>
        <v>0</v>
      </c>
      <c r="CV140" s="55">
        <f>SUMIFS('Awards Summary'!$H:$H,'Awards Summary'!$B:$B,$C140,'Awards Summary'!$J:$J,"HRPT")</f>
        <v>0</v>
      </c>
      <c r="CW140" s="55">
        <f>SUMIFS('Disbursements Summary'!$E:$E,'Disbursements Summary'!$C:$C,$C140,'Disbursements Summary'!$A:$A,"HRPT")</f>
        <v>0</v>
      </c>
      <c r="CX140" s="55">
        <f>SUMIFS('Awards Summary'!$H:$H,'Awards Summary'!$B:$B,$C140,'Awards Summary'!$J:$J,"HRBRRD")</f>
        <v>0</v>
      </c>
      <c r="CY140" s="55">
        <f>SUMIFS('Disbursements Summary'!$E:$E,'Disbursements Summary'!$C:$C,$C140,'Disbursements Summary'!$A:$A,"HRBRRD")</f>
        <v>0</v>
      </c>
      <c r="CZ140" s="55">
        <f>SUMIFS('Awards Summary'!$H:$H,'Awards Summary'!$B:$B,$C140,'Awards Summary'!$J:$J,"ITS")</f>
        <v>0</v>
      </c>
      <c r="DA140" s="55">
        <f>SUMIFS('Disbursements Summary'!$E:$E,'Disbursements Summary'!$C:$C,$C140,'Disbursements Summary'!$A:$A,"ITS")</f>
        <v>0</v>
      </c>
      <c r="DB140" s="55">
        <f>SUMIFS('Awards Summary'!$H:$H,'Awards Summary'!$B:$B,$C140,'Awards Summary'!$J:$J,"JAVITS")</f>
        <v>0</v>
      </c>
      <c r="DC140" s="55">
        <f>SUMIFS('Disbursements Summary'!$E:$E,'Disbursements Summary'!$C:$C,$C140,'Disbursements Summary'!$A:$A,"JAVITS")</f>
        <v>0</v>
      </c>
      <c r="DD140" s="55">
        <f>SUMIFS('Awards Summary'!$H:$H,'Awards Summary'!$B:$B,$C140,'Awards Summary'!$J:$J,"JCOPE")</f>
        <v>0</v>
      </c>
      <c r="DE140" s="55">
        <f>SUMIFS('Disbursements Summary'!$E:$E,'Disbursements Summary'!$C:$C,$C140,'Disbursements Summary'!$A:$A,"JCOPE")</f>
        <v>0</v>
      </c>
      <c r="DF140" s="55">
        <f>SUMIFS('Awards Summary'!$H:$H,'Awards Summary'!$B:$B,$C140,'Awards Summary'!$J:$J,"JUSTICE")</f>
        <v>0</v>
      </c>
      <c r="DG140" s="55">
        <f>SUMIFS('Disbursements Summary'!$E:$E,'Disbursements Summary'!$C:$C,$C140,'Disbursements Summary'!$A:$A,"JUSTICE")</f>
        <v>0</v>
      </c>
      <c r="DH140" s="55">
        <f>SUMIFS('Awards Summary'!$H:$H,'Awards Summary'!$B:$B,$C140,'Awards Summary'!$J:$J,"LCWSA")</f>
        <v>0</v>
      </c>
      <c r="DI140" s="55">
        <f>SUMIFS('Disbursements Summary'!$E:$E,'Disbursements Summary'!$C:$C,$C140,'Disbursements Summary'!$A:$A,"LCWSA")</f>
        <v>0</v>
      </c>
      <c r="DJ140" s="55">
        <f>SUMIFS('Awards Summary'!$H:$H,'Awards Summary'!$B:$B,$C140,'Awards Summary'!$J:$J,"LIPA")</f>
        <v>0</v>
      </c>
      <c r="DK140" s="55">
        <f>SUMIFS('Disbursements Summary'!$E:$E,'Disbursements Summary'!$C:$C,$C140,'Disbursements Summary'!$A:$A,"LIPA")</f>
        <v>0</v>
      </c>
      <c r="DL140" s="55">
        <f>SUMIFS('Awards Summary'!$H:$H,'Awards Summary'!$B:$B,$C140,'Awards Summary'!$J:$J,"MTA")</f>
        <v>0</v>
      </c>
      <c r="DM140" s="55">
        <f>SUMIFS('Disbursements Summary'!$E:$E,'Disbursements Summary'!$C:$C,$C140,'Disbursements Summary'!$A:$A,"MTA")</f>
        <v>0</v>
      </c>
      <c r="DN140" s="55">
        <f>SUMIFS('Awards Summary'!$H:$H,'Awards Summary'!$B:$B,$C140,'Awards Summary'!$J:$J,"NIFA")</f>
        <v>0</v>
      </c>
      <c r="DO140" s="55">
        <f>SUMIFS('Disbursements Summary'!$E:$E,'Disbursements Summary'!$C:$C,$C140,'Disbursements Summary'!$A:$A,"NIFA")</f>
        <v>0</v>
      </c>
      <c r="DP140" s="55">
        <f>SUMIFS('Awards Summary'!$H:$H,'Awards Summary'!$B:$B,$C140,'Awards Summary'!$J:$J,"NHCC")</f>
        <v>0</v>
      </c>
      <c r="DQ140" s="55">
        <f>SUMIFS('Disbursements Summary'!$E:$E,'Disbursements Summary'!$C:$C,$C140,'Disbursements Summary'!$A:$A,"NHCC")</f>
        <v>0</v>
      </c>
      <c r="DR140" s="55">
        <f>SUMIFS('Awards Summary'!$H:$H,'Awards Summary'!$B:$B,$C140,'Awards Summary'!$J:$J,"NHT")</f>
        <v>0</v>
      </c>
      <c r="DS140" s="55">
        <f>SUMIFS('Disbursements Summary'!$E:$E,'Disbursements Summary'!$C:$C,$C140,'Disbursements Summary'!$A:$A,"NHT")</f>
        <v>0</v>
      </c>
      <c r="DT140" s="55">
        <f>SUMIFS('Awards Summary'!$H:$H,'Awards Summary'!$B:$B,$C140,'Awards Summary'!$J:$J,"NYPA")</f>
        <v>0</v>
      </c>
      <c r="DU140" s="55">
        <f>SUMIFS('Disbursements Summary'!$E:$E,'Disbursements Summary'!$C:$C,$C140,'Disbursements Summary'!$A:$A,"NYPA")</f>
        <v>0</v>
      </c>
      <c r="DV140" s="55">
        <f>SUMIFS('Awards Summary'!$H:$H,'Awards Summary'!$B:$B,$C140,'Awards Summary'!$J:$J,"NYSBA")</f>
        <v>0</v>
      </c>
      <c r="DW140" s="55">
        <f>SUMIFS('Disbursements Summary'!$E:$E,'Disbursements Summary'!$C:$C,$C140,'Disbursements Summary'!$A:$A,"NYSBA")</f>
        <v>0</v>
      </c>
      <c r="DX140" s="55">
        <f>SUMIFS('Awards Summary'!$H:$H,'Awards Summary'!$B:$B,$C140,'Awards Summary'!$J:$J,"NYSERDA")</f>
        <v>0</v>
      </c>
      <c r="DY140" s="55">
        <f>SUMIFS('Disbursements Summary'!$E:$E,'Disbursements Summary'!$C:$C,$C140,'Disbursements Summary'!$A:$A,"NYSERDA")</f>
        <v>0</v>
      </c>
      <c r="DZ140" s="55">
        <f>SUMIFS('Awards Summary'!$H:$H,'Awards Summary'!$B:$B,$C140,'Awards Summary'!$J:$J,"DHCR")</f>
        <v>0</v>
      </c>
      <c r="EA140" s="55">
        <f>SUMIFS('Disbursements Summary'!$E:$E,'Disbursements Summary'!$C:$C,$C140,'Disbursements Summary'!$A:$A,"DHCR")</f>
        <v>0</v>
      </c>
      <c r="EB140" s="55">
        <f>SUMIFS('Awards Summary'!$H:$H,'Awards Summary'!$B:$B,$C140,'Awards Summary'!$J:$J,"HFA")</f>
        <v>0</v>
      </c>
      <c r="EC140" s="55">
        <f>SUMIFS('Disbursements Summary'!$E:$E,'Disbursements Summary'!$C:$C,$C140,'Disbursements Summary'!$A:$A,"HFA")</f>
        <v>0</v>
      </c>
      <c r="ED140" s="55">
        <f>SUMIFS('Awards Summary'!$H:$H,'Awards Summary'!$B:$B,$C140,'Awards Summary'!$J:$J,"NYSIF")</f>
        <v>0</v>
      </c>
      <c r="EE140" s="55">
        <f>SUMIFS('Disbursements Summary'!$E:$E,'Disbursements Summary'!$C:$C,$C140,'Disbursements Summary'!$A:$A,"NYSIF")</f>
        <v>0</v>
      </c>
      <c r="EF140" s="55">
        <f>SUMIFS('Awards Summary'!$H:$H,'Awards Summary'!$B:$B,$C140,'Awards Summary'!$J:$J,"NYBREDS")</f>
        <v>0</v>
      </c>
      <c r="EG140" s="55">
        <f>SUMIFS('Disbursements Summary'!$E:$E,'Disbursements Summary'!$C:$C,$C140,'Disbursements Summary'!$A:$A,"NYBREDS")</f>
        <v>0</v>
      </c>
      <c r="EH140" s="55">
        <f>SUMIFS('Awards Summary'!$H:$H,'Awards Summary'!$B:$B,$C140,'Awards Summary'!$J:$J,"NYSTA")</f>
        <v>0</v>
      </c>
      <c r="EI140" s="55">
        <f>SUMIFS('Disbursements Summary'!$E:$E,'Disbursements Summary'!$C:$C,$C140,'Disbursements Summary'!$A:$A,"NYSTA")</f>
        <v>0</v>
      </c>
      <c r="EJ140" s="55">
        <f>SUMIFS('Awards Summary'!$H:$H,'Awards Summary'!$B:$B,$C140,'Awards Summary'!$J:$J,"NFWB")</f>
        <v>0</v>
      </c>
      <c r="EK140" s="55">
        <f>SUMIFS('Disbursements Summary'!$E:$E,'Disbursements Summary'!$C:$C,$C140,'Disbursements Summary'!$A:$A,"NFWB")</f>
        <v>0</v>
      </c>
      <c r="EL140" s="55">
        <f>SUMIFS('Awards Summary'!$H:$H,'Awards Summary'!$B:$B,$C140,'Awards Summary'!$J:$J,"NFTA")</f>
        <v>0</v>
      </c>
      <c r="EM140" s="55">
        <f>SUMIFS('Disbursements Summary'!$E:$E,'Disbursements Summary'!$C:$C,$C140,'Disbursements Summary'!$A:$A,"NFTA")</f>
        <v>0</v>
      </c>
      <c r="EN140" s="55">
        <f>SUMIFS('Awards Summary'!$H:$H,'Awards Summary'!$B:$B,$C140,'Awards Summary'!$J:$J,"OPWDD")</f>
        <v>0</v>
      </c>
      <c r="EO140" s="55">
        <f>SUMIFS('Disbursements Summary'!$E:$E,'Disbursements Summary'!$C:$C,$C140,'Disbursements Summary'!$A:$A,"OPWDD")</f>
        <v>0</v>
      </c>
      <c r="EP140" s="55">
        <f>SUMIFS('Awards Summary'!$H:$H,'Awards Summary'!$B:$B,$C140,'Awards Summary'!$J:$J,"AGING")</f>
        <v>0</v>
      </c>
      <c r="EQ140" s="55">
        <f>SUMIFS('Disbursements Summary'!$E:$E,'Disbursements Summary'!$C:$C,$C140,'Disbursements Summary'!$A:$A,"AGING")</f>
        <v>0</v>
      </c>
      <c r="ER140" s="55">
        <f>SUMIFS('Awards Summary'!$H:$H,'Awards Summary'!$B:$B,$C140,'Awards Summary'!$J:$J,"OPDV")</f>
        <v>0</v>
      </c>
      <c r="ES140" s="55">
        <f>SUMIFS('Disbursements Summary'!$E:$E,'Disbursements Summary'!$C:$C,$C140,'Disbursements Summary'!$A:$A,"OPDV")</f>
        <v>0</v>
      </c>
      <c r="ET140" s="55">
        <f>SUMIFS('Awards Summary'!$H:$H,'Awards Summary'!$B:$B,$C140,'Awards Summary'!$J:$J,"OVS")</f>
        <v>0</v>
      </c>
      <c r="EU140" s="55">
        <f>SUMIFS('Disbursements Summary'!$E:$E,'Disbursements Summary'!$C:$C,$C140,'Disbursements Summary'!$A:$A,"OVS")</f>
        <v>0</v>
      </c>
      <c r="EV140" s="55">
        <f>SUMIFS('Awards Summary'!$H:$H,'Awards Summary'!$B:$B,$C140,'Awards Summary'!$J:$J,"OASAS")</f>
        <v>0</v>
      </c>
      <c r="EW140" s="55">
        <f>SUMIFS('Disbursements Summary'!$E:$E,'Disbursements Summary'!$C:$C,$C140,'Disbursements Summary'!$A:$A,"OASAS")</f>
        <v>0</v>
      </c>
      <c r="EX140" s="55">
        <f>SUMIFS('Awards Summary'!$H:$H,'Awards Summary'!$B:$B,$C140,'Awards Summary'!$J:$J,"OCFS")</f>
        <v>0</v>
      </c>
      <c r="EY140" s="55">
        <f>SUMIFS('Disbursements Summary'!$E:$E,'Disbursements Summary'!$C:$C,$C140,'Disbursements Summary'!$A:$A,"OCFS")</f>
        <v>0</v>
      </c>
      <c r="EZ140" s="55">
        <f>SUMIFS('Awards Summary'!$H:$H,'Awards Summary'!$B:$B,$C140,'Awards Summary'!$J:$J,"OGS")</f>
        <v>0</v>
      </c>
      <c r="FA140" s="55">
        <f>SUMIFS('Disbursements Summary'!$E:$E,'Disbursements Summary'!$C:$C,$C140,'Disbursements Summary'!$A:$A,"OGS")</f>
        <v>0</v>
      </c>
      <c r="FB140" s="55">
        <f>SUMIFS('Awards Summary'!$H:$H,'Awards Summary'!$B:$B,$C140,'Awards Summary'!$J:$J,"OMH")</f>
        <v>0</v>
      </c>
      <c r="FC140" s="55">
        <f>SUMIFS('Disbursements Summary'!$E:$E,'Disbursements Summary'!$C:$C,$C140,'Disbursements Summary'!$A:$A,"OMH")</f>
        <v>0</v>
      </c>
      <c r="FD140" s="55">
        <f>SUMIFS('Awards Summary'!$H:$H,'Awards Summary'!$B:$B,$C140,'Awards Summary'!$J:$J,"PARKS")</f>
        <v>0</v>
      </c>
      <c r="FE140" s="55">
        <f>SUMIFS('Disbursements Summary'!$E:$E,'Disbursements Summary'!$C:$C,$C140,'Disbursements Summary'!$A:$A,"PARKS")</f>
        <v>0</v>
      </c>
      <c r="FF140" s="55">
        <f>SUMIFS('Awards Summary'!$H:$H,'Awards Summary'!$B:$B,$C140,'Awards Summary'!$J:$J,"OTDA")</f>
        <v>0</v>
      </c>
      <c r="FG140" s="55">
        <f>SUMIFS('Disbursements Summary'!$E:$E,'Disbursements Summary'!$C:$C,$C140,'Disbursements Summary'!$A:$A,"OTDA")</f>
        <v>0</v>
      </c>
      <c r="FH140" s="55">
        <f>SUMIFS('Awards Summary'!$H:$H,'Awards Summary'!$B:$B,$C140,'Awards Summary'!$J:$J,"OIG")</f>
        <v>0</v>
      </c>
      <c r="FI140" s="55">
        <f>SUMIFS('Disbursements Summary'!$E:$E,'Disbursements Summary'!$C:$C,$C140,'Disbursements Summary'!$A:$A,"OIG")</f>
        <v>0</v>
      </c>
      <c r="FJ140" s="55">
        <f>SUMIFS('Awards Summary'!$H:$H,'Awards Summary'!$B:$B,$C140,'Awards Summary'!$J:$J,"OMIG")</f>
        <v>0</v>
      </c>
      <c r="FK140" s="55">
        <f>SUMIFS('Disbursements Summary'!$E:$E,'Disbursements Summary'!$C:$C,$C140,'Disbursements Summary'!$A:$A,"OMIG")</f>
        <v>0</v>
      </c>
      <c r="FL140" s="55">
        <f>SUMIFS('Awards Summary'!$H:$H,'Awards Summary'!$B:$B,$C140,'Awards Summary'!$J:$J,"OSC")</f>
        <v>0</v>
      </c>
      <c r="FM140" s="55">
        <f>SUMIFS('Disbursements Summary'!$E:$E,'Disbursements Summary'!$C:$C,$C140,'Disbursements Summary'!$A:$A,"OSC")</f>
        <v>0</v>
      </c>
      <c r="FN140" s="55">
        <f>SUMIFS('Awards Summary'!$H:$H,'Awards Summary'!$B:$B,$C140,'Awards Summary'!$J:$J,"OWIG")</f>
        <v>0</v>
      </c>
      <c r="FO140" s="55">
        <f>SUMIFS('Disbursements Summary'!$E:$E,'Disbursements Summary'!$C:$C,$C140,'Disbursements Summary'!$A:$A,"OWIG")</f>
        <v>0</v>
      </c>
      <c r="FP140" s="55">
        <f>SUMIFS('Awards Summary'!$H:$H,'Awards Summary'!$B:$B,$C140,'Awards Summary'!$J:$J,"OGDEN")</f>
        <v>0</v>
      </c>
      <c r="FQ140" s="55">
        <f>SUMIFS('Disbursements Summary'!$E:$E,'Disbursements Summary'!$C:$C,$C140,'Disbursements Summary'!$A:$A,"OGDEN")</f>
        <v>0</v>
      </c>
      <c r="FR140" s="55">
        <f>SUMIFS('Awards Summary'!$H:$H,'Awards Summary'!$B:$B,$C140,'Awards Summary'!$J:$J,"ORDA")</f>
        <v>0</v>
      </c>
      <c r="FS140" s="55">
        <f>SUMIFS('Disbursements Summary'!$E:$E,'Disbursements Summary'!$C:$C,$C140,'Disbursements Summary'!$A:$A,"ORDA")</f>
        <v>0</v>
      </c>
      <c r="FT140" s="55">
        <f>SUMIFS('Awards Summary'!$H:$H,'Awards Summary'!$B:$B,$C140,'Awards Summary'!$J:$J,"OSWEGO")</f>
        <v>0</v>
      </c>
      <c r="FU140" s="55">
        <f>SUMIFS('Disbursements Summary'!$E:$E,'Disbursements Summary'!$C:$C,$C140,'Disbursements Summary'!$A:$A,"OSWEGO")</f>
        <v>0</v>
      </c>
      <c r="FV140" s="55">
        <f>SUMIFS('Awards Summary'!$H:$H,'Awards Summary'!$B:$B,$C140,'Awards Summary'!$J:$J,"PERB")</f>
        <v>0</v>
      </c>
      <c r="FW140" s="55">
        <f>SUMIFS('Disbursements Summary'!$E:$E,'Disbursements Summary'!$C:$C,$C140,'Disbursements Summary'!$A:$A,"PERB")</f>
        <v>0</v>
      </c>
      <c r="FX140" s="55">
        <f>SUMIFS('Awards Summary'!$H:$H,'Awards Summary'!$B:$B,$C140,'Awards Summary'!$J:$J,"RGRTA")</f>
        <v>0</v>
      </c>
      <c r="FY140" s="55">
        <f>SUMIFS('Disbursements Summary'!$E:$E,'Disbursements Summary'!$C:$C,$C140,'Disbursements Summary'!$A:$A,"RGRTA")</f>
        <v>0</v>
      </c>
      <c r="FZ140" s="55">
        <f>SUMIFS('Awards Summary'!$H:$H,'Awards Summary'!$B:$B,$C140,'Awards Summary'!$J:$J,"RIOC")</f>
        <v>0</v>
      </c>
      <c r="GA140" s="55">
        <f>SUMIFS('Disbursements Summary'!$E:$E,'Disbursements Summary'!$C:$C,$C140,'Disbursements Summary'!$A:$A,"RIOC")</f>
        <v>0</v>
      </c>
      <c r="GB140" s="55">
        <f>SUMIFS('Awards Summary'!$H:$H,'Awards Summary'!$B:$B,$C140,'Awards Summary'!$J:$J,"RPCI")</f>
        <v>0</v>
      </c>
      <c r="GC140" s="55">
        <f>SUMIFS('Disbursements Summary'!$E:$E,'Disbursements Summary'!$C:$C,$C140,'Disbursements Summary'!$A:$A,"RPCI")</f>
        <v>0</v>
      </c>
      <c r="GD140" s="55">
        <f>SUMIFS('Awards Summary'!$H:$H,'Awards Summary'!$B:$B,$C140,'Awards Summary'!$J:$J,"SMDA")</f>
        <v>0</v>
      </c>
      <c r="GE140" s="55">
        <f>SUMIFS('Disbursements Summary'!$E:$E,'Disbursements Summary'!$C:$C,$C140,'Disbursements Summary'!$A:$A,"SMDA")</f>
        <v>0</v>
      </c>
      <c r="GF140" s="55">
        <f>SUMIFS('Awards Summary'!$H:$H,'Awards Summary'!$B:$B,$C140,'Awards Summary'!$J:$J,"SCOC")</f>
        <v>0</v>
      </c>
      <c r="GG140" s="55">
        <f>SUMIFS('Disbursements Summary'!$E:$E,'Disbursements Summary'!$C:$C,$C140,'Disbursements Summary'!$A:$A,"SCOC")</f>
        <v>0</v>
      </c>
      <c r="GH140" s="55">
        <f>SUMIFS('Awards Summary'!$H:$H,'Awards Summary'!$B:$B,$C140,'Awards Summary'!$J:$J,"SUCF")</f>
        <v>0</v>
      </c>
      <c r="GI140" s="55">
        <f>SUMIFS('Disbursements Summary'!$E:$E,'Disbursements Summary'!$C:$C,$C140,'Disbursements Summary'!$A:$A,"SUCF")</f>
        <v>0</v>
      </c>
      <c r="GJ140" s="55">
        <f>SUMIFS('Awards Summary'!$H:$H,'Awards Summary'!$B:$B,$C140,'Awards Summary'!$J:$J,"SUNY")</f>
        <v>0</v>
      </c>
      <c r="GK140" s="55">
        <f>SUMIFS('Disbursements Summary'!$E:$E,'Disbursements Summary'!$C:$C,$C140,'Disbursements Summary'!$A:$A,"SUNY")</f>
        <v>0</v>
      </c>
      <c r="GL140" s="55">
        <f>SUMIFS('Awards Summary'!$H:$H,'Awards Summary'!$B:$B,$C140,'Awards Summary'!$J:$J,"SRAA")</f>
        <v>0</v>
      </c>
      <c r="GM140" s="55">
        <f>SUMIFS('Disbursements Summary'!$E:$E,'Disbursements Summary'!$C:$C,$C140,'Disbursements Summary'!$A:$A,"SRAA")</f>
        <v>0</v>
      </c>
      <c r="GN140" s="55">
        <f>SUMIFS('Awards Summary'!$H:$H,'Awards Summary'!$B:$B,$C140,'Awards Summary'!$J:$J,"UNDC")</f>
        <v>0</v>
      </c>
      <c r="GO140" s="55">
        <f>SUMIFS('Disbursements Summary'!$E:$E,'Disbursements Summary'!$C:$C,$C140,'Disbursements Summary'!$A:$A,"UNDC")</f>
        <v>0</v>
      </c>
      <c r="GP140" s="55">
        <f>SUMIFS('Awards Summary'!$H:$H,'Awards Summary'!$B:$B,$C140,'Awards Summary'!$J:$J,"MVWA")</f>
        <v>0</v>
      </c>
      <c r="GQ140" s="55">
        <f>SUMIFS('Disbursements Summary'!$E:$E,'Disbursements Summary'!$C:$C,$C140,'Disbursements Summary'!$A:$A,"MVWA")</f>
        <v>0</v>
      </c>
      <c r="GR140" s="55">
        <f>SUMIFS('Awards Summary'!$H:$H,'Awards Summary'!$B:$B,$C140,'Awards Summary'!$J:$J,"WMC")</f>
        <v>0</v>
      </c>
      <c r="GS140" s="55">
        <f>SUMIFS('Disbursements Summary'!$E:$E,'Disbursements Summary'!$C:$C,$C140,'Disbursements Summary'!$A:$A,"WMC")</f>
        <v>0</v>
      </c>
      <c r="GT140" s="55">
        <f>SUMIFS('Awards Summary'!$H:$H,'Awards Summary'!$B:$B,$C140,'Awards Summary'!$J:$J,"WCB")</f>
        <v>0</v>
      </c>
      <c r="GU140" s="55">
        <f>SUMIFS('Disbursements Summary'!$E:$E,'Disbursements Summary'!$C:$C,$C140,'Disbursements Summary'!$A:$A,"WCB")</f>
        <v>0</v>
      </c>
      <c r="GV140" s="32">
        <f t="shared" si="10"/>
        <v>0</v>
      </c>
      <c r="GW140" s="32">
        <f t="shared" si="11"/>
        <v>0</v>
      </c>
      <c r="GX140" s="30" t="b">
        <f t="shared" si="12"/>
        <v>1</v>
      </c>
      <c r="GY140" s="30" t="b">
        <f t="shared" si="13"/>
        <v>1</v>
      </c>
    </row>
    <row r="141" spans="1:16384" s="201" customFormat="1">
      <c r="A141" s="203"/>
      <c r="B141" s="203" t="s">
        <v>488</v>
      </c>
      <c r="C141" s="74">
        <v>171383</v>
      </c>
      <c r="D141" s="66">
        <f>COUNTIF('Awards Summary'!B:B,"17138")</f>
        <v>0</v>
      </c>
      <c r="E141" s="67">
        <f>SUMIFS('Awards Summary'!H:H,'Awards Summary'!B:B,"171383")</f>
        <v>0</v>
      </c>
      <c r="F141" s="68">
        <f>SUMIFS('Disbursements Summary'!E:E,'Disbursements Summary'!C:C, "171383")</f>
        <v>0</v>
      </c>
      <c r="G141" s="218"/>
      <c r="H141" s="55">
        <f>SUMIFS('Awards Summary'!$H:$H,'Awards Summary'!$B:$B,$C141,'Awards Summary'!$J:$J,"APA")</f>
        <v>0</v>
      </c>
      <c r="I141" s="55">
        <f>SUMIFS('Disbursements Summary'!$E:$E,'Disbursements Summary'!$C:$C,$C141,'Disbursements Summary'!$A:$A,"APA")</f>
        <v>0</v>
      </c>
      <c r="J141" s="55">
        <f>SUMIFS('Awards Summary'!$H:$H,'Awards Summary'!$B:$B,$C141,'Awards Summary'!$J:$J,"Ag&amp;Horse")</f>
        <v>0</v>
      </c>
      <c r="K141" s="55">
        <f>SUMIFS('Disbursements Summary'!$E:$E,'Disbursements Summary'!$C:$C,$C141,'Disbursements Summary'!$A:$A,"Ag&amp;Horse")</f>
        <v>0</v>
      </c>
      <c r="L141" s="55">
        <f>SUMIFS('Awards Summary'!$H:$H,'Awards Summary'!$B:$B,$C141,'Awards Summary'!$J:$J,"ACAA")</f>
        <v>0</v>
      </c>
      <c r="M141" s="55">
        <f>SUMIFS('Disbursements Summary'!$E:$E,'Disbursements Summary'!$C:$C,$C141,'Disbursements Summary'!$A:$A,"ACAA")</f>
        <v>0</v>
      </c>
      <c r="N141" s="55">
        <f>SUMIFS('Awards Summary'!$H:$H,'Awards Summary'!$B:$B,$C141,'Awards Summary'!$J:$J,"PortAlbany")</f>
        <v>0</v>
      </c>
      <c r="O141" s="55">
        <f>SUMIFS('Disbursements Summary'!$E:$E,'Disbursements Summary'!$C:$C,$C141,'Disbursements Summary'!$A:$A,"PortAlbany")</f>
        <v>0</v>
      </c>
      <c r="P141" s="55">
        <f>SUMIFS('Awards Summary'!$H:$H,'Awards Summary'!$B:$B,$C141,'Awards Summary'!$J:$J,"SLA")</f>
        <v>0</v>
      </c>
      <c r="Q141" s="55">
        <f>SUMIFS('Disbursements Summary'!$E:$E,'Disbursements Summary'!$C:$C,$C141,'Disbursements Summary'!$A:$A,"SLA")</f>
        <v>0</v>
      </c>
      <c r="R141" s="55">
        <f>SUMIFS('Awards Summary'!$H:$H,'Awards Summary'!$B:$B,$C141,'Awards Summary'!$J:$J,"BPCA")</f>
        <v>0</v>
      </c>
      <c r="S141" s="55">
        <f>SUMIFS('Disbursements Summary'!$E:$E,'Disbursements Summary'!$C:$C,$C141,'Disbursements Summary'!$A:$A,"BPCA")</f>
        <v>0</v>
      </c>
      <c r="T141" s="55">
        <f>SUMIFS('Awards Summary'!$H:$H,'Awards Summary'!$B:$B,$C141,'Awards Summary'!$J:$J,"ELECTIONS")</f>
        <v>0</v>
      </c>
      <c r="U141" s="55">
        <f>SUMIFS('Disbursements Summary'!$E:$E,'Disbursements Summary'!$C:$C,$C141,'Disbursements Summary'!$A:$A,"ELECTIONS")</f>
        <v>0</v>
      </c>
      <c r="V141" s="55">
        <f>SUMIFS('Awards Summary'!$H:$H,'Awards Summary'!$B:$B,$C141,'Awards Summary'!$J:$J,"BFSA")</f>
        <v>0</v>
      </c>
      <c r="W141" s="55">
        <f>SUMIFS('Disbursements Summary'!$E:$E,'Disbursements Summary'!$C:$C,$C141,'Disbursements Summary'!$A:$A,"BFSA")</f>
        <v>0</v>
      </c>
      <c r="X141" s="55">
        <f>SUMIFS('Awards Summary'!$H:$H,'Awards Summary'!$B:$B,$C141,'Awards Summary'!$J:$J,"CDTA")</f>
        <v>0</v>
      </c>
      <c r="Y141" s="55">
        <f>SUMIFS('Disbursements Summary'!$E:$E,'Disbursements Summary'!$C:$C,$C141,'Disbursements Summary'!$A:$A,"CDTA")</f>
        <v>0</v>
      </c>
      <c r="Z141" s="55">
        <f>SUMIFS('Awards Summary'!$H:$H,'Awards Summary'!$B:$B,$C141,'Awards Summary'!$J:$J,"CCWSA")</f>
        <v>0</v>
      </c>
      <c r="AA141" s="55">
        <f>SUMIFS('Disbursements Summary'!$E:$E,'Disbursements Summary'!$C:$C,$C141,'Disbursements Summary'!$A:$A,"CCWSA")</f>
        <v>0</v>
      </c>
      <c r="AB141" s="55">
        <f>SUMIFS('Awards Summary'!$H:$H,'Awards Summary'!$B:$B,$C141,'Awards Summary'!$J:$J,"CNYRTA")</f>
        <v>0</v>
      </c>
      <c r="AC141" s="55">
        <f>SUMIFS('Disbursements Summary'!$E:$E,'Disbursements Summary'!$C:$C,$C141,'Disbursements Summary'!$A:$A,"CNYRTA")</f>
        <v>0</v>
      </c>
      <c r="AD141" s="55">
        <f>SUMIFS('Awards Summary'!$H:$H,'Awards Summary'!$B:$B,$C141,'Awards Summary'!$J:$J,"CUCF")</f>
        <v>0</v>
      </c>
      <c r="AE141" s="55">
        <f>SUMIFS('Disbursements Summary'!$E:$E,'Disbursements Summary'!$C:$C,$C141,'Disbursements Summary'!$A:$A,"CUCF")</f>
        <v>0</v>
      </c>
      <c r="AF141" s="55">
        <f>SUMIFS('Awards Summary'!$H:$H,'Awards Summary'!$B:$B,$C141,'Awards Summary'!$J:$J,"CUNY")</f>
        <v>0</v>
      </c>
      <c r="AG141" s="55">
        <f>SUMIFS('Disbursements Summary'!$E:$E,'Disbursements Summary'!$C:$C,$C141,'Disbursements Summary'!$A:$A,"CUNY")</f>
        <v>0</v>
      </c>
      <c r="AH141" s="55">
        <f>SUMIFS('Awards Summary'!$H:$H,'Awards Summary'!$B:$B,$C141,'Awards Summary'!$J:$J,"ARTS")</f>
        <v>0</v>
      </c>
      <c r="AI141" s="55">
        <f>SUMIFS('Disbursements Summary'!$E:$E,'Disbursements Summary'!$C:$C,$C141,'Disbursements Summary'!$A:$A,"ARTS")</f>
        <v>0</v>
      </c>
      <c r="AJ141" s="55">
        <f>SUMIFS('Awards Summary'!$H:$H,'Awards Summary'!$B:$B,$C141,'Awards Summary'!$J:$J,"AG&amp;MKTS")</f>
        <v>0</v>
      </c>
      <c r="AK141" s="55">
        <f>SUMIFS('Disbursements Summary'!$E:$E,'Disbursements Summary'!$C:$C,$C141,'Disbursements Summary'!$A:$A,"AG&amp;MKTS")</f>
        <v>0</v>
      </c>
      <c r="AL141" s="55">
        <f>SUMIFS('Awards Summary'!$H:$H,'Awards Summary'!$B:$B,$C141,'Awards Summary'!$J:$J,"CS")</f>
        <v>0</v>
      </c>
      <c r="AM141" s="55">
        <f>SUMIFS('Disbursements Summary'!$E:$E,'Disbursements Summary'!$C:$C,$C141,'Disbursements Summary'!$A:$A,"CS")</f>
        <v>0</v>
      </c>
      <c r="AN141" s="55">
        <f>SUMIFS('Awards Summary'!$H:$H,'Awards Summary'!$B:$B,$C141,'Awards Summary'!$J:$J,"DOCCS")</f>
        <v>0</v>
      </c>
      <c r="AO141" s="55">
        <f>SUMIFS('Disbursements Summary'!$E:$E,'Disbursements Summary'!$C:$C,$C141,'Disbursements Summary'!$A:$A,"DOCCS")</f>
        <v>0</v>
      </c>
      <c r="AP141" s="55">
        <f>SUMIFS('Awards Summary'!$H:$H,'Awards Summary'!$B:$B,$C141,'Awards Summary'!$J:$J,"DED")</f>
        <v>0</v>
      </c>
      <c r="AQ141" s="55">
        <f>SUMIFS('Disbursements Summary'!$E:$E,'Disbursements Summary'!$C:$C,$C141,'Disbursements Summary'!$A:$A,"DED")</f>
        <v>0</v>
      </c>
      <c r="AR141" s="55">
        <f>SUMIFS('Awards Summary'!$H:$H,'Awards Summary'!$B:$B,$C141,'Awards Summary'!$J:$J,"DEC")</f>
        <v>0</v>
      </c>
      <c r="AS141" s="55">
        <f>SUMIFS('Disbursements Summary'!$E:$E,'Disbursements Summary'!$C:$C,$C141,'Disbursements Summary'!$A:$A,"DEC")</f>
        <v>0</v>
      </c>
      <c r="AT141" s="55">
        <f>SUMIFS('Awards Summary'!$H:$H,'Awards Summary'!$B:$B,$C141,'Awards Summary'!$J:$J,"DFS")</f>
        <v>0</v>
      </c>
      <c r="AU141" s="55">
        <f>SUMIFS('Disbursements Summary'!$E:$E,'Disbursements Summary'!$C:$C,$C141,'Disbursements Summary'!$A:$A,"DFS")</f>
        <v>0</v>
      </c>
      <c r="AV141" s="55">
        <f>SUMIFS('Awards Summary'!$H:$H,'Awards Summary'!$B:$B,$C141,'Awards Summary'!$J:$J,"DOH")</f>
        <v>0</v>
      </c>
      <c r="AW141" s="55">
        <f>SUMIFS('Disbursements Summary'!$E:$E,'Disbursements Summary'!$C:$C,$C141,'Disbursements Summary'!$A:$A,"DOH")</f>
        <v>0</v>
      </c>
      <c r="AX141" s="55">
        <f>SUMIFS('Awards Summary'!$H:$H,'Awards Summary'!$B:$B,$C141,'Awards Summary'!$J:$J,"DOL")</f>
        <v>0</v>
      </c>
      <c r="AY141" s="55">
        <f>SUMIFS('Disbursements Summary'!$E:$E,'Disbursements Summary'!$C:$C,$C141,'Disbursements Summary'!$A:$A,"DOL")</f>
        <v>0</v>
      </c>
      <c r="AZ141" s="55">
        <f>SUMIFS('Awards Summary'!$H:$H,'Awards Summary'!$B:$B,$C141,'Awards Summary'!$J:$J,"DMV")</f>
        <v>0</v>
      </c>
      <c r="BA141" s="55">
        <f>SUMIFS('Disbursements Summary'!$E:$E,'Disbursements Summary'!$C:$C,$C141,'Disbursements Summary'!$A:$A,"DMV")</f>
        <v>0</v>
      </c>
      <c r="BB141" s="55">
        <f>SUMIFS('Awards Summary'!$H:$H,'Awards Summary'!$B:$B,$C141,'Awards Summary'!$J:$J,"DPS")</f>
        <v>0</v>
      </c>
      <c r="BC141" s="55">
        <f>SUMIFS('Disbursements Summary'!$E:$E,'Disbursements Summary'!$C:$C,$C141,'Disbursements Summary'!$A:$A,"DPS")</f>
        <v>0</v>
      </c>
      <c r="BD141" s="55">
        <f>SUMIFS('Awards Summary'!$H:$H,'Awards Summary'!$B:$B,$C141,'Awards Summary'!$J:$J,"DOS")</f>
        <v>0</v>
      </c>
      <c r="BE141" s="55">
        <f>SUMIFS('Disbursements Summary'!$E:$E,'Disbursements Summary'!$C:$C,$C141,'Disbursements Summary'!$A:$A,"DOS")</f>
        <v>0</v>
      </c>
      <c r="BF141" s="55">
        <f>SUMIFS('Awards Summary'!$H:$H,'Awards Summary'!$B:$B,$C141,'Awards Summary'!$J:$J,"TAX")</f>
        <v>0</v>
      </c>
      <c r="BG141" s="55">
        <f>SUMIFS('Disbursements Summary'!$E:$E,'Disbursements Summary'!$C:$C,$C141,'Disbursements Summary'!$A:$A,"TAX")</f>
        <v>0</v>
      </c>
      <c r="BH141" s="55">
        <f>SUMIFS('Awards Summary'!$H:$H,'Awards Summary'!$B:$B,$C141,'Awards Summary'!$J:$J,"DOT")</f>
        <v>0</v>
      </c>
      <c r="BI141" s="55">
        <f>SUMIFS('Disbursements Summary'!$E:$E,'Disbursements Summary'!$C:$C,$C141,'Disbursements Summary'!$A:$A,"DOT")</f>
        <v>0</v>
      </c>
      <c r="BJ141" s="55">
        <f>SUMIFS('Awards Summary'!$H:$H,'Awards Summary'!$B:$B,$C141,'Awards Summary'!$J:$J,"DANC")</f>
        <v>0</v>
      </c>
      <c r="BK141" s="55">
        <f>SUMIFS('Disbursements Summary'!$E:$E,'Disbursements Summary'!$C:$C,$C141,'Disbursements Summary'!$A:$A,"DANC")</f>
        <v>0</v>
      </c>
      <c r="BL141" s="55">
        <f>SUMIFS('Awards Summary'!$H:$H,'Awards Summary'!$B:$B,$C141,'Awards Summary'!$J:$J,"DOB")</f>
        <v>0</v>
      </c>
      <c r="BM141" s="55">
        <f>SUMIFS('Disbursements Summary'!$E:$E,'Disbursements Summary'!$C:$C,$C141,'Disbursements Summary'!$A:$A,"DOB")</f>
        <v>0</v>
      </c>
      <c r="BN141" s="55">
        <f>SUMIFS('Awards Summary'!$H:$H,'Awards Summary'!$B:$B,$C141,'Awards Summary'!$J:$J,"DCJS")</f>
        <v>0</v>
      </c>
      <c r="BO141" s="55">
        <f>SUMIFS('Disbursements Summary'!$E:$E,'Disbursements Summary'!$C:$C,$C141,'Disbursements Summary'!$A:$A,"DCJS")</f>
        <v>0</v>
      </c>
      <c r="BP141" s="55">
        <f>SUMIFS('Awards Summary'!$H:$H,'Awards Summary'!$B:$B,$C141,'Awards Summary'!$J:$J,"DHSES")</f>
        <v>0</v>
      </c>
      <c r="BQ141" s="55">
        <f>SUMIFS('Disbursements Summary'!$E:$E,'Disbursements Summary'!$C:$C,$C141,'Disbursements Summary'!$A:$A,"DHSES")</f>
        <v>0</v>
      </c>
      <c r="BR141" s="55">
        <f>SUMIFS('Awards Summary'!$H:$H,'Awards Summary'!$B:$B,$C141,'Awards Summary'!$J:$J,"DHR")</f>
        <v>0</v>
      </c>
      <c r="BS141" s="55">
        <f>SUMIFS('Disbursements Summary'!$E:$E,'Disbursements Summary'!$C:$C,$C141,'Disbursements Summary'!$A:$A,"DHR")</f>
        <v>0</v>
      </c>
      <c r="BT141" s="55">
        <f>SUMIFS('Awards Summary'!$H:$H,'Awards Summary'!$B:$B,$C141,'Awards Summary'!$J:$J,"DMNA")</f>
        <v>0</v>
      </c>
      <c r="BU141" s="55">
        <f>SUMIFS('Disbursements Summary'!$E:$E,'Disbursements Summary'!$C:$C,$C141,'Disbursements Summary'!$A:$A,"DMNA")</f>
        <v>0</v>
      </c>
      <c r="BV141" s="55">
        <f>SUMIFS('Awards Summary'!$H:$H,'Awards Summary'!$B:$B,$C141,'Awards Summary'!$J:$J,"TROOPERS")</f>
        <v>0</v>
      </c>
      <c r="BW141" s="55">
        <f>SUMIFS('Disbursements Summary'!$E:$E,'Disbursements Summary'!$C:$C,$C141,'Disbursements Summary'!$A:$A,"TROOPERS")</f>
        <v>0</v>
      </c>
      <c r="BX141" s="55">
        <f>SUMIFS('Awards Summary'!$H:$H,'Awards Summary'!$B:$B,$C141,'Awards Summary'!$J:$J,"DVA")</f>
        <v>0</v>
      </c>
      <c r="BY141" s="55">
        <f>SUMIFS('Disbursements Summary'!$E:$E,'Disbursements Summary'!$C:$C,$C141,'Disbursements Summary'!$A:$A,"DVA")</f>
        <v>0</v>
      </c>
      <c r="BZ141" s="55">
        <f>SUMIFS('Awards Summary'!$H:$H,'Awards Summary'!$B:$B,$C141,'Awards Summary'!$J:$J,"DASNY")</f>
        <v>0</v>
      </c>
      <c r="CA141" s="55">
        <f>SUMIFS('Disbursements Summary'!$E:$E,'Disbursements Summary'!$C:$C,$C141,'Disbursements Summary'!$A:$A,"DASNY")</f>
        <v>0</v>
      </c>
      <c r="CB141" s="55">
        <f>SUMIFS('Awards Summary'!$H:$H,'Awards Summary'!$B:$B,$C141,'Awards Summary'!$J:$J,"EGG")</f>
        <v>0</v>
      </c>
      <c r="CC141" s="55">
        <f>SUMIFS('Disbursements Summary'!$E:$E,'Disbursements Summary'!$C:$C,$C141,'Disbursements Summary'!$A:$A,"EGG")</f>
        <v>0</v>
      </c>
      <c r="CD141" s="55">
        <f>SUMIFS('Awards Summary'!$H:$H,'Awards Summary'!$B:$B,$C141,'Awards Summary'!$J:$J,"ESD")</f>
        <v>0</v>
      </c>
      <c r="CE141" s="55">
        <f>SUMIFS('Disbursements Summary'!$E:$E,'Disbursements Summary'!$C:$C,$C141,'Disbursements Summary'!$A:$A,"ESD")</f>
        <v>0</v>
      </c>
      <c r="CF141" s="55">
        <f>SUMIFS('Awards Summary'!$H:$H,'Awards Summary'!$B:$B,$C141,'Awards Summary'!$J:$J,"EFC")</f>
        <v>0</v>
      </c>
      <c r="CG141" s="55">
        <f>SUMIFS('Disbursements Summary'!$E:$E,'Disbursements Summary'!$C:$C,$C141,'Disbursements Summary'!$A:$A,"EFC")</f>
        <v>0</v>
      </c>
      <c r="CH141" s="55">
        <f>SUMIFS('Awards Summary'!$H:$H,'Awards Summary'!$B:$B,$C141,'Awards Summary'!$J:$J,"ECFSA")</f>
        <v>0</v>
      </c>
      <c r="CI141" s="55">
        <f>SUMIFS('Disbursements Summary'!$E:$E,'Disbursements Summary'!$C:$C,$C141,'Disbursements Summary'!$A:$A,"ECFSA")</f>
        <v>0</v>
      </c>
      <c r="CJ141" s="55">
        <f>SUMIFS('Awards Summary'!$H:$H,'Awards Summary'!$B:$B,$C141,'Awards Summary'!$J:$J,"ECMC")</f>
        <v>0</v>
      </c>
      <c r="CK141" s="55">
        <f>SUMIFS('Disbursements Summary'!$E:$E,'Disbursements Summary'!$C:$C,$C141,'Disbursements Summary'!$A:$A,"ECMC")</f>
        <v>0</v>
      </c>
      <c r="CL141" s="55">
        <f>SUMIFS('Awards Summary'!$H:$H,'Awards Summary'!$B:$B,$C141,'Awards Summary'!$J:$J,"CHAMBER")</f>
        <v>0</v>
      </c>
      <c r="CM141" s="55">
        <f>SUMIFS('Disbursements Summary'!$E:$E,'Disbursements Summary'!$C:$C,$C141,'Disbursements Summary'!$A:$A,"CHAMBER")</f>
        <v>0</v>
      </c>
      <c r="CN141" s="55">
        <f>SUMIFS('Awards Summary'!$H:$H,'Awards Summary'!$B:$B,$C141,'Awards Summary'!$J:$J,"GAMING")</f>
        <v>0</v>
      </c>
      <c r="CO141" s="55">
        <f>SUMIFS('Disbursements Summary'!$E:$E,'Disbursements Summary'!$C:$C,$C141,'Disbursements Summary'!$A:$A,"GAMING")</f>
        <v>0</v>
      </c>
      <c r="CP141" s="55">
        <f>SUMIFS('Awards Summary'!$H:$H,'Awards Summary'!$B:$B,$C141,'Awards Summary'!$J:$J,"GOER")</f>
        <v>0</v>
      </c>
      <c r="CQ141" s="55">
        <f>SUMIFS('Disbursements Summary'!$E:$E,'Disbursements Summary'!$C:$C,$C141,'Disbursements Summary'!$A:$A,"GOER")</f>
        <v>0</v>
      </c>
      <c r="CR141" s="55">
        <f>SUMIFS('Awards Summary'!$H:$H,'Awards Summary'!$B:$B,$C141,'Awards Summary'!$J:$J,"HESC")</f>
        <v>0</v>
      </c>
      <c r="CS141" s="55">
        <f>SUMIFS('Disbursements Summary'!$E:$E,'Disbursements Summary'!$C:$C,$C141,'Disbursements Summary'!$A:$A,"HESC")</f>
        <v>0</v>
      </c>
      <c r="CT141" s="55">
        <f>SUMIFS('Awards Summary'!$H:$H,'Awards Summary'!$B:$B,$C141,'Awards Summary'!$J:$J,"GOSR")</f>
        <v>0</v>
      </c>
      <c r="CU141" s="55">
        <f>SUMIFS('Disbursements Summary'!$E:$E,'Disbursements Summary'!$C:$C,$C141,'Disbursements Summary'!$A:$A,"GOSR")</f>
        <v>0</v>
      </c>
      <c r="CV141" s="55">
        <f>SUMIFS('Awards Summary'!$H:$H,'Awards Summary'!$B:$B,$C141,'Awards Summary'!$J:$J,"HRPT")</f>
        <v>0</v>
      </c>
      <c r="CW141" s="55">
        <f>SUMIFS('Disbursements Summary'!$E:$E,'Disbursements Summary'!$C:$C,$C141,'Disbursements Summary'!$A:$A,"HRPT")</f>
        <v>0</v>
      </c>
      <c r="CX141" s="55">
        <f>SUMIFS('Awards Summary'!$H:$H,'Awards Summary'!$B:$B,$C141,'Awards Summary'!$J:$J,"HRBRRD")</f>
        <v>0</v>
      </c>
      <c r="CY141" s="55">
        <f>SUMIFS('Disbursements Summary'!$E:$E,'Disbursements Summary'!$C:$C,$C141,'Disbursements Summary'!$A:$A,"HRBRRD")</f>
        <v>0</v>
      </c>
      <c r="CZ141" s="55">
        <f>SUMIFS('Awards Summary'!$H:$H,'Awards Summary'!$B:$B,$C141,'Awards Summary'!$J:$J,"ITS")</f>
        <v>0</v>
      </c>
      <c r="DA141" s="55">
        <f>SUMIFS('Disbursements Summary'!$E:$E,'Disbursements Summary'!$C:$C,$C141,'Disbursements Summary'!$A:$A,"ITS")</f>
        <v>0</v>
      </c>
      <c r="DB141" s="55">
        <f>SUMIFS('Awards Summary'!$H:$H,'Awards Summary'!$B:$B,$C141,'Awards Summary'!$J:$J,"JAVITS")</f>
        <v>0</v>
      </c>
      <c r="DC141" s="55">
        <f>SUMIFS('Disbursements Summary'!$E:$E,'Disbursements Summary'!$C:$C,$C141,'Disbursements Summary'!$A:$A,"JAVITS")</f>
        <v>0</v>
      </c>
      <c r="DD141" s="55">
        <f>SUMIFS('Awards Summary'!$H:$H,'Awards Summary'!$B:$B,$C141,'Awards Summary'!$J:$J,"JCOPE")</f>
        <v>0</v>
      </c>
      <c r="DE141" s="55">
        <f>SUMIFS('Disbursements Summary'!$E:$E,'Disbursements Summary'!$C:$C,$C141,'Disbursements Summary'!$A:$A,"JCOPE")</f>
        <v>0</v>
      </c>
      <c r="DF141" s="55">
        <f>SUMIFS('Awards Summary'!$H:$H,'Awards Summary'!$B:$B,$C141,'Awards Summary'!$J:$J,"JUSTICE")</f>
        <v>0</v>
      </c>
      <c r="DG141" s="55">
        <f>SUMIFS('Disbursements Summary'!$E:$E,'Disbursements Summary'!$C:$C,$C141,'Disbursements Summary'!$A:$A,"JUSTICE")</f>
        <v>0</v>
      </c>
      <c r="DH141" s="55">
        <f>SUMIFS('Awards Summary'!$H:$H,'Awards Summary'!$B:$B,$C141,'Awards Summary'!$J:$J,"LCWSA")</f>
        <v>0</v>
      </c>
      <c r="DI141" s="55">
        <f>SUMIFS('Disbursements Summary'!$E:$E,'Disbursements Summary'!$C:$C,$C141,'Disbursements Summary'!$A:$A,"LCWSA")</f>
        <v>0</v>
      </c>
      <c r="DJ141" s="55">
        <f>SUMIFS('Awards Summary'!$H:$H,'Awards Summary'!$B:$B,$C141,'Awards Summary'!$J:$J,"LIPA")</f>
        <v>0</v>
      </c>
      <c r="DK141" s="55">
        <f>SUMIFS('Disbursements Summary'!$E:$E,'Disbursements Summary'!$C:$C,$C141,'Disbursements Summary'!$A:$A,"LIPA")</f>
        <v>0</v>
      </c>
      <c r="DL141" s="55">
        <f>SUMIFS('Awards Summary'!$H:$H,'Awards Summary'!$B:$B,$C141,'Awards Summary'!$J:$J,"MTA")</f>
        <v>0</v>
      </c>
      <c r="DM141" s="55">
        <f>SUMIFS('Disbursements Summary'!$E:$E,'Disbursements Summary'!$C:$C,$C141,'Disbursements Summary'!$A:$A,"MTA")</f>
        <v>0</v>
      </c>
      <c r="DN141" s="55">
        <f>SUMIFS('Awards Summary'!$H:$H,'Awards Summary'!$B:$B,$C141,'Awards Summary'!$J:$J,"NIFA")</f>
        <v>0</v>
      </c>
      <c r="DO141" s="55">
        <f>SUMIFS('Disbursements Summary'!$E:$E,'Disbursements Summary'!$C:$C,$C141,'Disbursements Summary'!$A:$A,"NIFA")</f>
        <v>0</v>
      </c>
      <c r="DP141" s="55">
        <f>SUMIFS('Awards Summary'!$H:$H,'Awards Summary'!$B:$B,$C141,'Awards Summary'!$J:$J,"NHCC")</f>
        <v>0</v>
      </c>
      <c r="DQ141" s="55">
        <f>SUMIFS('Disbursements Summary'!$E:$E,'Disbursements Summary'!$C:$C,$C141,'Disbursements Summary'!$A:$A,"NHCC")</f>
        <v>0</v>
      </c>
      <c r="DR141" s="55">
        <f>SUMIFS('Awards Summary'!$H:$H,'Awards Summary'!$B:$B,$C141,'Awards Summary'!$J:$J,"NHT")</f>
        <v>0</v>
      </c>
      <c r="DS141" s="55">
        <f>SUMIFS('Disbursements Summary'!$E:$E,'Disbursements Summary'!$C:$C,$C141,'Disbursements Summary'!$A:$A,"NHT")</f>
        <v>0</v>
      </c>
      <c r="DT141" s="55">
        <f>SUMIFS('Awards Summary'!$H:$H,'Awards Summary'!$B:$B,$C141,'Awards Summary'!$J:$J,"NYPA")</f>
        <v>0</v>
      </c>
      <c r="DU141" s="55">
        <f>SUMIFS('Disbursements Summary'!$E:$E,'Disbursements Summary'!$C:$C,$C141,'Disbursements Summary'!$A:$A,"NYPA")</f>
        <v>0</v>
      </c>
      <c r="DV141" s="55">
        <f>SUMIFS('Awards Summary'!$H:$H,'Awards Summary'!$B:$B,$C141,'Awards Summary'!$J:$J,"NYSBA")</f>
        <v>0</v>
      </c>
      <c r="DW141" s="55">
        <f>SUMIFS('Disbursements Summary'!$E:$E,'Disbursements Summary'!$C:$C,$C141,'Disbursements Summary'!$A:$A,"NYSBA")</f>
        <v>0</v>
      </c>
      <c r="DX141" s="55">
        <f>SUMIFS('Awards Summary'!$H:$H,'Awards Summary'!$B:$B,$C141,'Awards Summary'!$J:$J,"NYSERDA")</f>
        <v>0</v>
      </c>
      <c r="DY141" s="55">
        <f>SUMIFS('Disbursements Summary'!$E:$E,'Disbursements Summary'!$C:$C,$C141,'Disbursements Summary'!$A:$A,"NYSERDA")</f>
        <v>0</v>
      </c>
      <c r="DZ141" s="55">
        <f>SUMIFS('Awards Summary'!$H:$H,'Awards Summary'!$B:$B,$C141,'Awards Summary'!$J:$J,"DHCR")</f>
        <v>0</v>
      </c>
      <c r="EA141" s="55">
        <f>SUMIFS('Disbursements Summary'!$E:$E,'Disbursements Summary'!$C:$C,$C141,'Disbursements Summary'!$A:$A,"DHCR")</f>
        <v>0</v>
      </c>
      <c r="EB141" s="55">
        <f>SUMIFS('Awards Summary'!$H:$H,'Awards Summary'!$B:$B,$C141,'Awards Summary'!$J:$J,"HFA")</f>
        <v>0</v>
      </c>
      <c r="EC141" s="55">
        <f>SUMIFS('Disbursements Summary'!$E:$E,'Disbursements Summary'!$C:$C,$C141,'Disbursements Summary'!$A:$A,"HFA")</f>
        <v>0</v>
      </c>
      <c r="ED141" s="55">
        <f>SUMIFS('Awards Summary'!$H:$H,'Awards Summary'!$B:$B,$C141,'Awards Summary'!$J:$J,"NYSIF")</f>
        <v>0</v>
      </c>
      <c r="EE141" s="55">
        <f>SUMIFS('Disbursements Summary'!$E:$E,'Disbursements Summary'!$C:$C,$C141,'Disbursements Summary'!$A:$A,"NYSIF")</f>
        <v>0</v>
      </c>
      <c r="EF141" s="55">
        <f>SUMIFS('Awards Summary'!$H:$H,'Awards Summary'!$B:$B,$C141,'Awards Summary'!$J:$J,"NYBREDS")</f>
        <v>0</v>
      </c>
      <c r="EG141" s="55">
        <f>SUMIFS('Disbursements Summary'!$E:$E,'Disbursements Summary'!$C:$C,$C141,'Disbursements Summary'!$A:$A,"NYBREDS")</f>
        <v>0</v>
      </c>
      <c r="EH141" s="55">
        <f>SUMIFS('Awards Summary'!$H:$H,'Awards Summary'!$B:$B,$C141,'Awards Summary'!$J:$J,"NYSTA")</f>
        <v>0</v>
      </c>
      <c r="EI141" s="55">
        <f>SUMIFS('Disbursements Summary'!$E:$E,'Disbursements Summary'!$C:$C,$C141,'Disbursements Summary'!$A:$A,"NYSTA")</f>
        <v>0</v>
      </c>
      <c r="EJ141" s="55">
        <f>SUMIFS('Awards Summary'!$H:$H,'Awards Summary'!$B:$B,$C141,'Awards Summary'!$J:$J,"NFWB")</f>
        <v>0</v>
      </c>
      <c r="EK141" s="55">
        <f>SUMIFS('Disbursements Summary'!$E:$E,'Disbursements Summary'!$C:$C,$C141,'Disbursements Summary'!$A:$A,"NFWB")</f>
        <v>0</v>
      </c>
      <c r="EL141" s="55">
        <f>SUMIFS('Awards Summary'!$H:$H,'Awards Summary'!$B:$B,$C141,'Awards Summary'!$J:$J,"NFTA")</f>
        <v>0</v>
      </c>
      <c r="EM141" s="55">
        <f>SUMIFS('Disbursements Summary'!$E:$E,'Disbursements Summary'!$C:$C,$C141,'Disbursements Summary'!$A:$A,"NFTA")</f>
        <v>0</v>
      </c>
      <c r="EN141" s="55">
        <f>SUMIFS('Awards Summary'!$H:$H,'Awards Summary'!$B:$B,$C141,'Awards Summary'!$J:$J,"OPWDD")</f>
        <v>0</v>
      </c>
      <c r="EO141" s="55">
        <f>SUMIFS('Disbursements Summary'!$E:$E,'Disbursements Summary'!$C:$C,$C141,'Disbursements Summary'!$A:$A,"OPWDD")</f>
        <v>0</v>
      </c>
      <c r="EP141" s="55">
        <f>SUMIFS('Awards Summary'!$H:$H,'Awards Summary'!$B:$B,$C141,'Awards Summary'!$J:$J,"AGING")</f>
        <v>0</v>
      </c>
      <c r="EQ141" s="55">
        <f>SUMIFS('Disbursements Summary'!$E:$E,'Disbursements Summary'!$C:$C,$C141,'Disbursements Summary'!$A:$A,"AGING")</f>
        <v>0</v>
      </c>
      <c r="ER141" s="55">
        <f>SUMIFS('Awards Summary'!$H:$H,'Awards Summary'!$B:$B,$C141,'Awards Summary'!$J:$J,"OPDV")</f>
        <v>0</v>
      </c>
      <c r="ES141" s="55">
        <f>SUMIFS('Disbursements Summary'!$E:$E,'Disbursements Summary'!$C:$C,$C141,'Disbursements Summary'!$A:$A,"OPDV")</f>
        <v>0</v>
      </c>
      <c r="ET141" s="55">
        <f>SUMIFS('Awards Summary'!$H:$H,'Awards Summary'!$B:$B,$C141,'Awards Summary'!$J:$J,"OVS")</f>
        <v>0</v>
      </c>
      <c r="EU141" s="55">
        <f>SUMIFS('Disbursements Summary'!$E:$E,'Disbursements Summary'!$C:$C,$C141,'Disbursements Summary'!$A:$A,"OVS")</f>
        <v>0</v>
      </c>
      <c r="EV141" s="55">
        <f>SUMIFS('Awards Summary'!$H:$H,'Awards Summary'!$B:$B,$C141,'Awards Summary'!$J:$J,"OASAS")</f>
        <v>0</v>
      </c>
      <c r="EW141" s="55">
        <f>SUMIFS('Disbursements Summary'!$E:$E,'Disbursements Summary'!$C:$C,$C141,'Disbursements Summary'!$A:$A,"OASAS")</f>
        <v>0</v>
      </c>
      <c r="EX141" s="55">
        <f>SUMIFS('Awards Summary'!$H:$H,'Awards Summary'!$B:$B,$C141,'Awards Summary'!$J:$J,"OCFS")</f>
        <v>0</v>
      </c>
      <c r="EY141" s="55">
        <f>SUMIFS('Disbursements Summary'!$E:$E,'Disbursements Summary'!$C:$C,$C141,'Disbursements Summary'!$A:$A,"OCFS")</f>
        <v>0</v>
      </c>
      <c r="EZ141" s="55">
        <f>SUMIFS('Awards Summary'!$H:$H,'Awards Summary'!$B:$B,$C141,'Awards Summary'!$J:$J,"OGS")</f>
        <v>0</v>
      </c>
      <c r="FA141" s="55">
        <f>SUMIFS('Disbursements Summary'!$E:$E,'Disbursements Summary'!$C:$C,$C141,'Disbursements Summary'!$A:$A,"OGS")</f>
        <v>0</v>
      </c>
      <c r="FB141" s="55">
        <f>SUMIFS('Awards Summary'!$H:$H,'Awards Summary'!$B:$B,$C141,'Awards Summary'!$J:$J,"OMH")</f>
        <v>0</v>
      </c>
      <c r="FC141" s="55">
        <f>SUMIFS('Disbursements Summary'!$E:$E,'Disbursements Summary'!$C:$C,$C141,'Disbursements Summary'!$A:$A,"OMH")</f>
        <v>0</v>
      </c>
      <c r="FD141" s="55">
        <f>SUMIFS('Awards Summary'!$H:$H,'Awards Summary'!$B:$B,$C141,'Awards Summary'!$J:$J,"PARKS")</f>
        <v>0</v>
      </c>
      <c r="FE141" s="55">
        <f>SUMIFS('Disbursements Summary'!$E:$E,'Disbursements Summary'!$C:$C,$C141,'Disbursements Summary'!$A:$A,"PARKS")</f>
        <v>0</v>
      </c>
      <c r="FF141" s="55">
        <f>SUMIFS('Awards Summary'!$H:$H,'Awards Summary'!$B:$B,$C141,'Awards Summary'!$J:$J,"OTDA")</f>
        <v>0</v>
      </c>
      <c r="FG141" s="55">
        <f>SUMIFS('Disbursements Summary'!$E:$E,'Disbursements Summary'!$C:$C,$C141,'Disbursements Summary'!$A:$A,"OTDA")</f>
        <v>0</v>
      </c>
      <c r="FH141" s="55">
        <f>SUMIFS('Awards Summary'!$H:$H,'Awards Summary'!$B:$B,$C141,'Awards Summary'!$J:$J,"OIG")</f>
        <v>0</v>
      </c>
      <c r="FI141" s="55">
        <f>SUMIFS('Disbursements Summary'!$E:$E,'Disbursements Summary'!$C:$C,$C141,'Disbursements Summary'!$A:$A,"OIG")</f>
        <v>0</v>
      </c>
      <c r="FJ141" s="55">
        <f>SUMIFS('Awards Summary'!$H:$H,'Awards Summary'!$B:$B,$C141,'Awards Summary'!$J:$J,"OMIG")</f>
        <v>0</v>
      </c>
      <c r="FK141" s="55">
        <f>SUMIFS('Disbursements Summary'!$E:$E,'Disbursements Summary'!$C:$C,$C141,'Disbursements Summary'!$A:$A,"OMIG")</f>
        <v>0</v>
      </c>
      <c r="FL141" s="55">
        <f>SUMIFS('Awards Summary'!$H:$H,'Awards Summary'!$B:$B,$C141,'Awards Summary'!$J:$J,"OSC")</f>
        <v>0</v>
      </c>
      <c r="FM141" s="55">
        <f>SUMIFS('Disbursements Summary'!$E:$E,'Disbursements Summary'!$C:$C,$C141,'Disbursements Summary'!$A:$A,"OSC")</f>
        <v>0</v>
      </c>
      <c r="FN141" s="55">
        <f>SUMIFS('Awards Summary'!$H:$H,'Awards Summary'!$B:$B,$C141,'Awards Summary'!$J:$J,"OWIG")</f>
        <v>0</v>
      </c>
      <c r="FO141" s="55">
        <f>SUMIFS('Disbursements Summary'!$E:$E,'Disbursements Summary'!$C:$C,$C141,'Disbursements Summary'!$A:$A,"OWIG")</f>
        <v>0</v>
      </c>
      <c r="FP141" s="55">
        <f>SUMIFS('Awards Summary'!$H:$H,'Awards Summary'!$B:$B,$C141,'Awards Summary'!$J:$J,"OGDEN")</f>
        <v>0</v>
      </c>
      <c r="FQ141" s="55">
        <f>SUMIFS('Disbursements Summary'!$E:$E,'Disbursements Summary'!$C:$C,$C141,'Disbursements Summary'!$A:$A,"OGDEN")</f>
        <v>0</v>
      </c>
      <c r="FR141" s="55">
        <f>SUMIFS('Awards Summary'!$H:$H,'Awards Summary'!$B:$B,$C141,'Awards Summary'!$J:$J,"ORDA")</f>
        <v>0</v>
      </c>
      <c r="FS141" s="55">
        <f>SUMIFS('Disbursements Summary'!$E:$E,'Disbursements Summary'!$C:$C,$C141,'Disbursements Summary'!$A:$A,"ORDA")</f>
        <v>0</v>
      </c>
      <c r="FT141" s="55">
        <f>SUMIFS('Awards Summary'!$H:$H,'Awards Summary'!$B:$B,$C141,'Awards Summary'!$J:$J,"OSWEGO")</f>
        <v>0</v>
      </c>
      <c r="FU141" s="55">
        <f>SUMIFS('Disbursements Summary'!$E:$E,'Disbursements Summary'!$C:$C,$C141,'Disbursements Summary'!$A:$A,"OSWEGO")</f>
        <v>0</v>
      </c>
      <c r="FV141" s="55">
        <f>SUMIFS('Awards Summary'!$H:$H,'Awards Summary'!$B:$B,$C141,'Awards Summary'!$J:$J,"PERB")</f>
        <v>0</v>
      </c>
      <c r="FW141" s="55">
        <f>SUMIFS('Disbursements Summary'!$E:$E,'Disbursements Summary'!$C:$C,$C141,'Disbursements Summary'!$A:$A,"PERB")</f>
        <v>0</v>
      </c>
      <c r="FX141" s="55">
        <f>SUMIFS('Awards Summary'!$H:$H,'Awards Summary'!$B:$B,$C141,'Awards Summary'!$J:$J,"RGRTA")</f>
        <v>0</v>
      </c>
      <c r="FY141" s="55">
        <f>SUMIFS('Disbursements Summary'!$E:$E,'Disbursements Summary'!$C:$C,$C141,'Disbursements Summary'!$A:$A,"RGRTA")</f>
        <v>0</v>
      </c>
      <c r="FZ141" s="55">
        <f>SUMIFS('Awards Summary'!$H:$H,'Awards Summary'!$B:$B,$C141,'Awards Summary'!$J:$J,"RIOC")</f>
        <v>0</v>
      </c>
      <c r="GA141" s="55">
        <f>SUMIFS('Disbursements Summary'!$E:$E,'Disbursements Summary'!$C:$C,$C141,'Disbursements Summary'!$A:$A,"RIOC")</f>
        <v>0</v>
      </c>
      <c r="GB141" s="55">
        <f>SUMIFS('Awards Summary'!$H:$H,'Awards Summary'!$B:$B,$C141,'Awards Summary'!$J:$J,"RPCI")</f>
        <v>0</v>
      </c>
      <c r="GC141" s="55">
        <f>SUMIFS('Disbursements Summary'!$E:$E,'Disbursements Summary'!$C:$C,$C141,'Disbursements Summary'!$A:$A,"RPCI")</f>
        <v>0</v>
      </c>
      <c r="GD141" s="55">
        <f>SUMIFS('Awards Summary'!$H:$H,'Awards Summary'!$B:$B,$C141,'Awards Summary'!$J:$J,"SMDA")</f>
        <v>0</v>
      </c>
      <c r="GE141" s="55">
        <f>SUMIFS('Disbursements Summary'!$E:$E,'Disbursements Summary'!$C:$C,$C141,'Disbursements Summary'!$A:$A,"SMDA")</f>
        <v>0</v>
      </c>
      <c r="GF141" s="55">
        <f>SUMIFS('Awards Summary'!$H:$H,'Awards Summary'!$B:$B,$C141,'Awards Summary'!$J:$J,"SCOC")</f>
        <v>0</v>
      </c>
      <c r="GG141" s="55">
        <f>SUMIFS('Disbursements Summary'!$E:$E,'Disbursements Summary'!$C:$C,$C141,'Disbursements Summary'!$A:$A,"SCOC")</f>
        <v>0</v>
      </c>
      <c r="GH141" s="55">
        <f>SUMIFS('Awards Summary'!$H:$H,'Awards Summary'!$B:$B,$C141,'Awards Summary'!$J:$J,"SUCF")</f>
        <v>0</v>
      </c>
      <c r="GI141" s="55">
        <f>SUMIFS('Disbursements Summary'!$E:$E,'Disbursements Summary'!$C:$C,$C141,'Disbursements Summary'!$A:$A,"SUCF")</f>
        <v>0</v>
      </c>
      <c r="GJ141" s="55">
        <f>SUMIFS('Awards Summary'!$H:$H,'Awards Summary'!$B:$B,$C141,'Awards Summary'!$J:$J,"SUNY")</f>
        <v>0</v>
      </c>
      <c r="GK141" s="55">
        <f>SUMIFS('Disbursements Summary'!$E:$E,'Disbursements Summary'!$C:$C,$C141,'Disbursements Summary'!$A:$A,"SUNY")</f>
        <v>0</v>
      </c>
      <c r="GL141" s="55">
        <f>SUMIFS('Awards Summary'!$H:$H,'Awards Summary'!$B:$B,$C141,'Awards Summary'!$J:$J,"SRAA")</f>
        <v>0</v>
      </c>
      <c r="GM141" s="55">
        <f>SUMIFS('Disbursements Summary'!$E:$E,'Disbursements Summary'!$C:$C,$C141,'Disbursements Summary'!$A:$A,"SRAA")</f>
        <v>0</v>
      </c>
      <c r="GN141" s="55">
        <f>SUMIFS('Awards Summary'!$H:$H,'Awards Summary'!$B:$B,$C141,'Awards Summary'!$J:$J,"UNDC")</f>
        <v>0</v>
      </c>
      <c r="GO141" s="55">
        <f>SUMIFS('Disbursements Summary'!$E:$E,'Disbursements Summary'!$C:$C,$C141,'Disbursements Summary'!$A:$A,"UNDC")</f>
        <v>0</v>
      </c>
      <c r="GP141" s="55">
        <f>SUMIFS('Awards Summary'!$H:$H,'Awards Summary'!$B:$B,$C141,'Awards Summary'!$J:$J,"MVWA")</f>
        <v>0</v>
      </c>
      <c r="GQ141" s="55">
        <f>SUMIFS('Disbursements Summary'!$E:$E,'Disbursements Summary'!$C:$C,$C141,'Disbursements Summary'!$A:$A,"MVWA")</f>
        <v>0</v>
      </c>
      <c r="GR141" s="55">
        <f>SUMIFS('Awards Summary'!$H:$H,'Awards Summary'!$B:$B,$C141,'Awards Summary'!$J:$J,"WMC")</f>
        <v>0</v>
      </c>
      <c r="GS141" s="55">
        <f>SUMIFS('Disbursements Summary'!$E:$E,'Disbursements Summary'!$C:$C,$C141,'Disbursements Summary'!$A:$A,"WMC")</f>
        <v>0</v>
      </c>
      <c r="GT141" s="55">
        <f>SUMIFS('Awards Summary'!$H:$H,'Awards Summary'!$B:$B,$C141,'Awards Summary'!$J:$J,"WCB")</f>
        <v>0</v>
      </c>
      <c r="GU141" s="55">
        <f>SUMIFS('Disbursements Summary'!$E:$E,'Disbursements Summary'!$C:$C,$C141,'Disbursements Summary'!$A:$A,"WCB")</f>
        <v>0</v>
      </c>
      <c r="GV141" s="32">
        <f t="shared" si="10"/>
        <v>0</v>
      </c>
      <c r="GW141" s="32">
        <f t="shared" si="11"/>
        <v>0</v>
      </c>
      <c r="GX141" s="30" t="b">
        <f t="shared" si="12"/>
        <v>1</v>
      </c>
      <c r="GY141" s="30" t="b">
        <f t="shared" si="13"/>
        <v>1</v>
      </c>
      <c r="GZ141" s="205"/>
      <c r="HA141" s="204"/>
      <c r="HB141" s="205"/>
      <c r="HC141" s="204"/>
      <c r="HD141" s="205"/>
      <c r="HE141" s="204"/>
      <c r="HF141" s="205"/>
      <c r="HG141" s="204"/>
      <c r="HH141" s="205"/>
      <c r="HI141" s="204"/>
      <c r="HJ141" s="205"/>
      <c r="HK141" s="204"/>
      <c r="HL141" s="205"/>
      <c r="HM141" s="204"/>
      <c r="HN141" s="205"/>
      <c r="HO141" s="204"/>
      <c r="HP141" s="205"/>
      <c r="HQ141" s="204"/>
      <c r="HR141" s="205"/>
      <c r="HS141" s="204"/>
      <c r="HT141" s="205"/>
      <c r="HU141" s="204"/>
      <c r="HV141" s="205"/>
      <c r="HW141" s="204"/>
      <c r="HX141" s="205"/>
      <c r="HY141" s="204"/>
      <c r="HZ141" s="205"/>
      <c r="IA141" s="204"/>
      <c r="IB141" s="205"/>
      <c r="IC141" s="204"/>
      <c r="ID141" s="205"/>
      <c r="IE141" s="204"/>
      <c r="IF141" s="205"/>
      <c r="IG141" s="204"/>
      <c r="IH141" s="205"/>
      <c r="II141" s="204"/>
      <c r="IJ141" s="205"/>
      <c r="IK141" s="204"/>
      <c r="IL141" s="205"/>
      <c r="IM141" s="204"/>
      <c r="IN141" s="205"/>
      <c r="IO141" s="204"/>
      <c r="IP141" s="205"/>
      <c r="IQ141" s="204"/>
      <c r="IR141" s="205"/>
      <c r="IS141" s="204"/>
      <c r="IT141" s="205"/>
      <c r="IU141" s="204"/>
      <c r="IV141" s="205"/>
      <c r="IW141" s="204"/>
      <c r="IX141" s="205"/>
      <c r="IY141" s="204"/>
      <c r="IZ141" s="205"/>
      <c r="JA141" s="204"/>
      <c r="JB141" s="205"/>
      <c r="JC141" s="204"/>
      <c r="JD141" s="205"/>
      <c r="JE141" s="204"/>
      <c r="JF141" s="205"/>
      <c r="JG141" s="204"/>
      <c r="JH141" s="205"/>
      <c r="JI141" s="204"/>
      <c r="JJ141" s="205"/>
      <c r="JK141" s="204"/>
      <c r="JL141" s="205"/>
      <c r="JM141" s="204"/>
      <c r="JN141" s="205"/>
      <c r="JO141" s="204"/>
      <c r="JP141" s="205"/>
      <c r="JQ141" s="204"/>
      <c r="JR141" s="205"/>
      <c r="JS141" s="204"/>
      <c r="JT141" s="205"/>
      <c r="JU141" s="204"/>
      <c r="JV141" s="205"/>
      <c r="JW141" s="204"/>
      <c r="JX141" s="205"/>
      <c r="JY141" s="204"/>
      <c r="JZ141" s="205"/>
      <c r="KA141" s="204"/>
      <c r="KB141" s="205"/>
      <c r="KC141" s="204"/>
      <c r="KD141" s="205"/>
      <c r="KE141" s="204"/>
      <c r="KF141" s="205"/>
      <c r="KG141" s="204"/>
      <c r="KH141" s="205"/>
      <c r="KI141" s="204"/>
      <c r="KJ141" s="205"/>
      <c r="KK141" s="204"/>
      <c r="KL141" s="205"/>
      <c r="KM141" s="204"/>
      <c r="KN141" s="205"/>
      <c r="KO141" s="204"/>
      <c r="KP141" s="205"/>
      <c r="KQ141" s="204"/>
      <c r="KR141" s="205"/>
      <c r="KS141" s="204"/>
      <c r="KT141" s="205"/>
      <c r="KU141" s="204"/>
      <c r="KV141" s="205"/>
      <c r="KW141" s="204"/>
      <c r="KX141" s="205"/>
      <c r="KY141" s="204"/>
      <c r="KZ141" s="205"/>
      <c r="LA141" s="204"/>
      <c r="LB141" s="205"/>
      <c r="LC141" s="204"/>
      <c r="LD141" s="205"/>
      <c r="LE141" s="204"/>
      <c r="LF141" s="205"/>
      <c r="LG141" s="204"/>
      <c r="LH141" s="205"/>
      <c r="LI141" s="204"/>
      <c r="LJ141" s="205"/>
      <c r="LK141" s="204"/>
      <c r="LL141" s="205"/>
      <c r="LM141" s="204"/>
      <c r="LN141" s="205"/>
      <c r="LO141" s="204"/>
      <c r="LP141" s="205"/>
      <c r="LQ141" s="204"/>
      <c r="LR141" s="205"/>
      <c r="LS141" s="204"/>
      <c r="LT141" s="205"/>
      <c r="LU141" s="204"/>
      <c r="LV141" s="205"/>
      <c r="LW141" s="204"/>
      <c r="LX141" s="205"/>
      <c r="LY141" s="204"/>
      <c r="LZ141" s="205"/>
      <c r="MA141" s="204"/>
      <c r="MB141" s="205"/>
      <c r="MC141" s="204"/>
      <c r="MD141" s="205"/>
      <c r="ME141" s="204"/>
      <c r="MF141" s="205"/>
      <c r="MG141" s="204"/>
      <c r="MH141" s="205"/>
      <c r="MI141" s="204"/>
      <c r="MJ141" s="205"/>
      <c r="MK141" s="204"/>
      <c r="ML141" s="205"/>
      <c r="MM141" s="204"/>
      <c r="MN141" s="205"/>
      <c r="MO141" s="204"/>
      <c r="MP141" s="205"/>
      <c r="MQ141" s="204"/>
      <c r="MR141" s="205"/>
      <c r="MS141" s="204"/>
      <c r="MT141" s="205"/>
      <c r="MU141" s="204"/>
      <c r="MV141" s="205"/>
      <c r="MW141" s="204"/>
      <c r="MX141" s="205"/>
      <c r="MY141" s="204"/>
      <c r="MZ141" s="205"/>
      <c r="NA141" s="204"/>
      <c r="NB141" s="205"/>
      <c r="NC141" s="204"/>
      <c r="ND141" s="205"/>
      <c r="NE141" s="204"/>
      <c r="NF141" s="205"/>
      <c r="NG141" s="204"/>
      <c r="NH141" s="205"/>
      <c r="NI141" s="204"/>
      <c r="NJ141" s="205"/>
      <c r="NK141" s="204"/>
      <c r="NL141" s="205"/>
      <c r="NM141" s="204"/>
      <c r="NN141" s="205"/>
      <c r="NO141" s="204"/>
      <c r="NP141" s="205"/>
      <c r="NQ141" s="204"/>
      <c r="NR141" s="205"/>
      <c r="NS141" s="204"/>
      <c r="NT141" s="205"/>
      <c r="NU141" s="204"/>
      <c r="NV141" s="205"/>
      <c r="NW141" s="204"/>
      <c r="NX141" s="205"/>
      <c r="NY141" s="204"/>
      <c r="NZ141" s="205"/>
      <c r="OA141" s="204"/>
      <c r="OB141" s="205"/>
      <c r="OC141" s="204"/>
      <c r="OD141" s="205"/>
      <c r="OE141" s="204"/>
      <c r="OF141" s="205"/>
      <c r="OG141" s="204"/>
      <c r="OH141" s="205"/>
      <c r="OI141" s="204"/>
      <c r="OJ141" s="205"/>
      <c r="OK141" s="204"/>
      <c r="OL141" s="205"/>
      <c r="OM141" s="204"/>
      <c r="ON141" s="205"/>
      <c r="OO141" s="204"/>
      <c r="OP141" s="205"/>
      <c r="OQ141" s="204"/>
      <c r="OR141" s="205"/>
      <c r="OS141" s="204"/>
      <c r="OT141" s="205"/>
      <c r="OU141" s="204"/>
      <c r="OV141" s="205"/>
      <c r="OW141" s="204"/>
      <c r="OX141" s="205"/>
      <c r="OY141" s="204"/>
      <c r="OZ141" s="205"/>
      <c r="PA141" s="204"/>
      <c r="PB141" s="205"/>
      <c r="PC141" s="204"/>
      <c r="PD141" s="205"/>
      <c r="PE141" s="204"/>
      <c r="PF141" s="205"/>
      <c r="PG141" s="204"/>
      <c r="PH141" s="205"/>
      <c r="PI141" s="204"/>
      <c r="PJ141" s="205"/>
      <c r="PK141" s="204"/>
      <c r="PL141" s="205"/>
      <c r="PM141" s="204"/>
      <c r="PN141" s="205"/>
      <c r="PO141" s="204"/>
      <c r="PP141" s="205"/>
      <c r="PQ141" s="204"/>
      <c r="PR141" s="205"/>
      <c r="PS141" s="204"/>
      <c r="PT141" s="205"/>
      <c r="PU141" s="204"/>
      <c r="PV141" s="205"/>
      <c r="PW141" s="204"/>
      <c r="PX141" s="205"/>
      <c r="PY141" s="204"/>
      <c r="PZ141" s="205"/>
      <c r="QA141" s="204"/>
      <c r="QB141" s="205"/>
      <c r="QC141" s="204"/>
      <c r="QD141" s="205"/>
      <c r="QE141" s="204"/>
      <c r="QF141" s="205"/>
      <c r="QG141" s="204"/>
      <c r="QH141" s="205"/>
      <c r="QI141" s="204"/>
      <c r="QJ141" s="205"/>
      <c r="QK141" s="204"/>
      <c r="QL141" s="205"/>
      <c r="QM141" s="204"/>
      <c r="QN141" s="205"/>
      <c r="QO141" s="204"/>
      <c r="QP141" s="205"/>
      <c r="QQ141" s="204"/>
      <c r="QR141" s="205"/>
      <c r="QS141" s="204"/>
      <c r="QT141" s="205"/>
      <c r="QU141" s="204"/>
      <c r="QV141" s="205"/>
      <c r="QW141" s="204"/>
      <c r="QX141" s="205"/>
      <c r="QY141" s="204"/>
      <c r="QZ141" s="205"/>
      <c r="RA141" s="204"/>
      <c r="RB141" s="205"/>
      <c r="RC141" s="204"/>
      <c r="RD141" s="205"/>
      <c r="RE141" s="204"/>
      <c r="RF141" s="205"/>
      <c r="RG141" s="204"/>
      <c r="RH141" s="205"/>
      <c r="RI141" s="204"/>
      <c r="RJ141" s="205"/>
      <c r="RK141" s="204"/>
      <c r="RL141" s="205"/>
      <c r="RM141" s="204"/>
      <c r="RN141" s="205"/>
      <c r="RO141" s="204"/>
      <c r="RP141" s="205"/>
      <c r="RQ141" s="204"/>
      <c r="RR141" s="205"/>
      <c r="RS141" s="204"/>
      <c r="RT141" s="205"/>
      <c r="RU141" s="204"/>
      <c r="RV141" s="205"/>
      <c r="RW141" s="204"/>
      <c r="RX141" s="205"/>
      <c r="RY141" s="204"/>
      <c r="RZ141" s="205"/>
      <c r="SA141" s="204"/>
      <c r="SB141" s="205"/>
      <c r="SC141" s="204"/>
      <c r="SD141" s="205"/>
      <c r="SE141" s="204"/>
      <c r="SF141" s="205"/>
      <c r="SG141" s="204"/>
      <c r="SH141" s="205"/>
      <c r="SI141" s="204"/>
      <c r="SJ141" s="205"/>
      <c r="SK141" s="204"/>
      <c r="SL141" s="205"/>
      <c r="SM141" s="204"/>
      <c r="SN141" s="205"/>
      <c r="SO141" s="204"/>
      <c r="SP141" s="205"/>
      <c r="SQ141" s="204"/>
      <c r="SR141" s="205"/>
      <c r="SS141" s="204"/>
      <c r="ST141" s="205"/>
      <c r="SU141" s="204"/>
      <c r="SV141" s="205"/>
      <c r="SW141" s="204"/>
      <c r="SX141" s="205"/>
      <c r="SY141" s="204"/>
      <c r="SZ141" s="205"/>
      <c r="TA141" s="204"/>
      <c r="TB141" s="205"/>
      <c r="TC141" s="204"/>
      <c r="TD141" s="205"/>
      <c r="TE141" s="204"/>
      <c r="TF141" s="205"/>
      <c r="TG141" s="204"/>
      <c r="TH141" s="205"/>
      <c r="TI141" s="204"/>
      <c r="TJ141" s="205"/>
      <c r="TK141" s="204"/>
      <c r="TL141" s="205"/>
      <c r="TM141" s="204"/>
      <c r="TN141" s="205"/>
      <c r="TO141" s="204"/>
      <c r="TP141" s="205"/>
      <c r="TQ141" s="204"/>
      <c r="TR141" s="205"/>
      <c r="TS141" s="204"/>
      <c r="TT141" s="205"/>
      <c r="TU141" s="204"/>
      <c r="TV141" s="205"/>
      <c r="TW141" s="204"/>
      <c r="TX141" s="205"/>
      <c r="TY141" s="204"/>
      <c r="TZ141" s="205"/>
      <c r="UA141" s="204"/>
      <c r="UB141" s="205"/>
      <c r="UC141" s="204"/>
      <c r="UD141" s="205"/>
      <c r="UE141" s="204"/>
      <c r="UF141" s="205"/>
      <c r="UG141" s="204"/>
      <c r="UH141" s="205"/>
      <c r="UI141" s="204"/>
      <c r="UJ141" s="205"/>
      <c r="UK141" s="204"/>
      <c r="UL141" s="205"/>
      <c r="UM141" s="204"/>
      <c r="UN141" s="205"/>
      <c r="UO141" s="204"/>
      <c r="UP141" s="205"/>
      <c r="UQ141" s="204"/>
      <c r="UR141" s="205"/>
      <c r="US141" s="204"/>
      <c r="UT141" s="205"/>
      <c r="UU141" s="204"/>
      <c r="UV141" s="205"/>
      <c r="UW141" s="204"/>
      <c r="UX141" s="205"/>
      <c r="UY141" s="204"/>
      <c r="UZ141" s="205"/>
      <c r="VA141" s="204"/>
      <c r="VB141" s="205"/>
      <c r="VC141" s="204"/>
      <c r="VD141" s="205"/>
      <c r="VE141" s="204"/>
      <c r="VF141" s="205"/>
      <c r="VG141" s="204"/>
      <c r="VH141" s="205"/>
      <c r="VI141" s="204"/>
      <c r="VJ141" s="205"/>
      <c r="VK141" s="204"/>
      <c r="VL141" s="205"/>
      <c r="VM141" s="204"/>
      <c r="VN141" s="205"/>
      <c r="VO141" s="204"/>
      <c r="VP141" s="205"/>
      <c r="VQ141" s="204"/>
      <c r="VR141" s="205"/>
      <c r="VS141" s="204"/>
      <c r="VT141" s="205"/>
      <c r="VU141" s="204"/>
      <c r="VV141" s="205"/>
      <c r="VW141" s="204"/>
      <c r="VX141" s="205"/>
      <c r="VY141" s="204"/>
      <c r="VZ141" s="205"/>
      <c r="WA141" s="204"/>
      <c r="WB141" s="205"/>
      <c r="WC141" s="204"/>
      <c r="WD141" s="205"/>
      <c r="WE141" s="204"/>
      <c r="WF141" s="205"/>
      <c r="WG141" s="204"/>
      <c r="WH141" s="205"/>
      <c r="WI141" s="204"/>
      <c r="WJ141" s="205"/>
      <c r="WK141" s="204"/>
      <c r="WL141" s="205"/>
      <c r="WM141" s="204"/>
      <c r="WN141" s="205"/>
      <c r="WO141" s="204"/>
      <c r="WP141" s="205"/>
      <c r="WQ141" s="204"/>
      <c r="WR141" s="205"/>
      <c r="WS141" s="204"/>
      <c r="WT141" s="205"/>
      <c r="WU141" s="204"/>
      <c r="WV141" s="205"/>
      <c r="WW141" s="204"/>
      <c r="WX141" s="205"/>
      <c r="WY141" s="204"/>
      <c r="WZ141" s="205"/>
      <c r="XA141" s="204"/>
      <c r="XB141" s="205"/>
      <c r="XC141" s="204"/>
      <c r="XD141" s="205"/>
      <c r="XE141" s="204"/>
      <c r="XF141" s="205"/>
      <c r="XG141" s="204"/>
      <c r="XH141" s="205"/>
      <c r="XI141" s="204"/>
      <c r="XJ141" s="205"/>
      <c r="XK141" s="204"/>
      <c r="XL141" s="205"/>
      <c r="XM141" s="204"/>
      <c r="XN141" s="205"/>
      <c r="XO141" s="204"/>
      <c r="XP141" s="205"/>
      <c r="XQ141" s="204"/>
      <c r="XR141" s="205"/>
      <c r="XS141" s="204"/>
      <c r="XT141" s="205"/>
      <c r="XU141" s="204"/>
      <c r="XV141" s="205"/>
      <c r="XW141" s="204"/>
      <c r="XX141" s="205"/>
      <c r="XY141" s="204"/>
      <c r="XZ141" s="205"/>
      <c r="YA141" s="204"/>
      <c r="YB141" s="205"/>
      <c r="YC141" s="204"/>
      <c r="YD141" s="205"/>
      <c r="YE141" s="204"/>
      <c r="YF141" s="205"/>
      <c r="YG141" s="204"/>
      <c r="YH141" s="205"/>
      <c r="YI141" s="204"/>
      <c r="YJ141" s="205"/>
      <c r="YK141" s="204"/>
      <c r="YL141" s="205"/>
      <c r="YM141" s="204"/>
      <c r="YN141" s="205"/>
      <c r="YO141" s="204"/>
      <c r="YP141" s="205"/>
      <c r="YQ141" s="204"/>
      <c r="YR141" s="205"/>
      <c r="YS141" s="204"/>
      <c r="YT141" s="205"/>
      <c r="YU141" s="204"/>
      <c r="YV141" s="205"/>
      <c r="YW141" s="204"/>
      <c r="YX141" s="205"/>
      <c r="YY141" s="204"/>
      <c r="YZ141" s="205"/>
      <c r="ZA141" s="204"/>
      <c r="ZB141" s="205"/>
      <c r="ZC141" s="204"/>
      <c r="ZD141" s="205"/>
      <c r="ZE141" s="204"/>
      <c r="ZF141" s="205"/>
      <c r="ZG141" s="204"/>
      <c r="ZH141" s="205"/>
      <c r="ZI141" s="204"/>
      <c r="ZJ141" s="205"/>
      <c r="ZK141" s="204"/>
      <c r="ZL141" s="205"/>
      <c r="ZM141" s="204"/>
      <c r="ZN141" s="205"/>
      <c r="ZO141" s="204"/>
      <c r="ZP141" s="205"/>
      <c r="ZQ141" s="204"/>
      <c r="ZR141" s="205"/>
      <c r="ZS141" s="204"/>
      <c r="ZT141" s="205"/>
      <c r="ZU141" s="204"/>
      <c r="ZV141" s="205"/>
      <c r="ZW141" s="204"/>
      <c r="ZX141" s="205"/>
      <c r="ZY141" s="204"/>
      <c r="ZZ141" s="205"/>
      <c r="AAA141" s="204"/>
      <c r="AAB141" s="205"/>
      <c r="AAC141" s="204"/>
      <c r="AAD141" s="205"/>
      <c r="AAE141" s="204"/>
      <c r="AAF141" s="205"/>
      <c r="AAG141" s="204"/>
      <c r="AAH141" s="205"/>
      <c r="AAI141" s="204"/>
      <c r="AAJ141" s="205"/>
      <c r="AAK141" s="204"/>
      <c r="AAL141" s="205"/>
      <c r="AAM141" s="204"/>
      <c r="AAN141" s="205"/>
      <c r="AAO141" s="204"/>
      <c r="AAP141" s="205"/>
      <c r="AAQ141" s="204"/>
      <c r="AAR141" s="205"/>
      <c r="AAS141" s="204"/>
      <c r="AAT141" s="205"/>
      <c r="AAU141" s="204"/>
      <c r="AAV141" s="205"/>
      <c r="AAW141" s="204"/>
      <c r="AAX141" s="205"/>
      <c r="AAY141" s="204"/>
      <c r="AAZ141" s="205"/>
      <c r="ABA141" s="204"/>
      <c r="ABB141" s="205"/>
      <c r="ABC141" s="204"/>
      <c r="ABD141" s="205"/>
      <c r="ABE141" s="204"/>
      <c r="ABF141" s="205"/>
      <c r="ABG141" s="204"/>
      <c r="ABH141" s="205"/>
      <c r="ABI141" s="204"/>
      <c r="ABJ141" s="205"/>
      <c r="ABK141" s="204"/>
      <c r="ABL141" s="205"/>
      <c r="ABM141" s="204"/>
      <c r="ABN141" s="205"/>
      <c r="ABO141" s="204"/>
      <c r="ABP141" s="205"/>
      <c r="ABQ141" s="204"/>
      <c r="ABR141" s="205"/>
      <c r="ABS141" s="204"/>
      <c r="ABT141" s="205"/>
      <c r="ABU141" s="204"/>
      <c r="ABV141" s="205"/>
      <c r="ABW141" s="204"/>
      <c r="ABX141" s="205"/>
      <c r="ABY141" s="204"/>
      <c r="ABZ141" s="205"/>
      <c r="ACA141" s="204"/>
      <c r="ACB141" s="205"/>
      <c r="ACC141" s="204"/>
      <c r="ACD141" s="205"/>
      <c r="ACE141" s="204"/>
      <c r="ACF141" s="205"/>
      <c r="ACG141" s="204"/>
      <c r="ACH141" s="205"/>
      <c r="ACI141" s="204"/>
      <c r="ACJ141" s="205"/>
      <c r="ACK141" s="204"/>
      <c r="ACL141" s="205"/>
      <c r="ACM141" s="204"/>
      <c r="ACN141" s="205"/>
      <c r="ACO141" s="204"/>
      <c r="ACP141" s="205"/>
      <c r="ACQ141" s="204"/>
      <c r="ACR141" s="205"/>
      <c r="ACS141" s="204"/>
      <c r="ACT141" s="205"/>
      <c r="ACU141" s="204"/>
      <c r="ACV141" s="205"/>
      <c r="ACW141" s="204"/>
      <c r="ACX141" s="205"/>
      <c r="ACY141" s="204"/>
      <c r="ACZ141" s="205"/>
      <c r="ADA141" s="204"/>
      <c r="ADB141" s="205"/>
      <c r="ADC141" s="204"/>
      <c r="ADD141" s="205"/>
      <c r="ADE141" s="204"/>
      <c r="ADF141" s="205"/>
      <c r="ADG141" s="204"/>
      <c r="ADH141" s="205"/>
      <c r="ADI141" s="204"/>
      <c r="ADJ141" s="205"/>
      <c r="ADK141" s="204"/>
      <c r="ADL141" s="205"/>
      <c r="ADM141" s="204"/>
      <c r="ADN141" s="205"/>
      <c r="ADO141" s="204"/>
      <c r="ADP141" s="205"/>
      <c r="ADQ141" s="204"/>
      <c r="ADR141" s="205"/>
      <c r="ADS141" s="204"/>
      <c r="ADT141" s="205"/>
      <c r="ADU141" s="204"/>
      <c r="ADV141" s="205"/>
      <c r="ADW141" s="204"/>
      <c r="ADX141" s="205"/>
      <c r="ADY141" s="204"/>
      <c r="ADZ141" s="205"/>
      <c r="AEA141" s="204"/>
      <c r="AEB141" s="205"/>
      <c r="AEC141" s="204"/>
      <c r="AED141" s="205"/>
      <c r="AEE141" s="204"/>
      <c r="AEF141" s="205"/>
      <c r="AEG141" s="204"/>
      <c r="AEH141" s="205"/>
      <c r="AEI141" s="204"/>
      <c r="AEJ141" s="205"/>
      <c r="AEK141" s="204"/>
      <c r="AEL141" s="205"/>
      <c r="AEM141" s="204"/>
      <c r="AEN141" s="205"/>
      <c r="AEO141" s="204"/>
      <c r="AEP141" s="205"/>
      <c r="AEQ141" s="204"/>
      <c r="AER141" s="205"/>
      <c r="AES141" s="204"/>
      <c r="AET141" s="205"/>
      <c r="AEU141" s="204"/>
      <c r="AEV141" s="205"/>
      <c r="AEW141" s="204"/>
      <c r="AEX141" s="205"/>
      <c r="AEY141" s="204"/>
      <c r="AEZ141" s="205"/>
      <c r="AFA141" s="204"/>
      <c r="AFB141" s="205"/>
      <c r="AFC141" s="204"/>
      <c r="AFD141" s="205"/>
      <c r="AFE141" s="204"/>
      <c r="AFF141" s="205"/>
      <c r="AFG141" s="204"/>
      <c r="AFH141" s="205"/>
      <c r="AFI141" s="204"/>
      <c r="AFJ141" s="205"/>
      <c r="AFK141" s="204"/>
      <c r="AFL141" s="205"/>
      <c r="AFM141" s="204"/>
      <c r="AFN141" s="205"/>
      <c r="AFO141" s="204"/>
      <c r="AFP141" s="205"/>
      <c r="AFQ141" s="204"/>
      <c r="AFR141" s="205"/>
      <c r="AFS141" s="204"/>
      <c r="AFT141" s="205"/>
      <c r="AFU141" s="204"/>
      <c r="AFV141" s="205"/>
      <c r="AFW141" s="204"/>
      <c r="AFX141" s="205"/>
      <c r="AFY141" s="204"/>
      <c r="AFZ141" s="205"/>
      <c r="AGA141" s="204"/>
      <c r="AGB141" s="205"/>
      <c r="AGC141" s="204"/>
      <c r="AGD141" s="205"/>
      <c r="AGE141" s="204"/>
      <c r="AGF141" s="205"/>
      <c r="AGG141" s="204"/>
      <c r="AGH141" s="205"/>
      <c r="AGI141" s="204"/>
      <c r="AGJ141" s="205"/>
      <c r="AGK141" s="204"/>
      <c r="AGL141" s="205"/>
      <c r="AGM141" s="204"/>
      <c r="AGN141" s="205"/>
      <c r="AGO141" s="204"/>
      <c r="AGP141" s="205"/>
      <c r="AGQ141" s="204"/>
      <c r="AGR141" s="205"/>
      <c r="AGS141" s="204"/>
      <c r="AGT141" s="205"/>
      <c r="AGU141" s="204"/>
      <c r="AGV141" s="205"/>
      <c r="AGW141" s="204"/>
      <c r="AGX141" s="205"/>
      <c r="AGY141" s="204"/>
      <c r="AGZ141" s="205"/>
      <c r="AHA141" s="204"/>
      <c r="AHB141" s="205"/>
      <c r="AHC141" s="204"/>
      <c r="AHD141" s="205"/>
      <c r="AHE141" s="204"/>
      <c r="AHF141" s="205"/>
      <c r="AHG141" s="204"/>
      <c r="AHH141" s="205"/>
      <c r="AHI141" s="204"/>
      <c r="AHJ141" s="205"/>
      <c r="AHK141" s="204"/>
      <c r="AHL141" s="205"/>
      <c r="AHM141" s="204"/>
      <c r="AHN141" s="205"/>
      <c r="AHO141" s="204"/>
      <c r="AHP141" s="205"/>
      <c r="AHQ141" s="204"/>
      <c r="AHR141" s="205"/>
      <c r="AHS141" s="204"/>
      <c r="AHT141" s="205"/>
      <c r="AHU141" s="204"/>
      <c r="AHV141" s="205"/>
      <c r="AHW141" s="204"/>
      <c r="AHX141" s="205"/>
      <c r="AHY141" s="204"/>
      <c r="AHZ141" s="205"/>
      <c r="AIA141" s="204"/>
      <c r="AIB141" s="205"/>
      <c r="AIC141" s="204"/>
      <c r="AID141" s="205"/>
      <c r="AIE141" s="204"/>
      <c r="AIF141" s="205"/>
      <c r="AIG141" s="204"/>
      <c r="AIH141" s="205"/>
      <c r="AII141" s="204"/>
      <c r="AIJ141" s="205"/>
      <c r="AIK141" s="204"/>
      <c r="AIL141" s="205"/>
      <c r="AIM141" s="204"/>
      <c r="AIN141" s="205"/>
      <c r="AIO141" s="204"/>
      <c r="AIP141" s="205"/>
      <c r="AIQ141" s="204"/>
      <c r="AIR141" s="205"/>
      <c r="AIS141" s="204"/>
      <c r="AIT141" s="205"/>
      <c r="AIU141" s="204"/>
      <c r="AIV141" s="205"/>
      <c r="AIW141" s="204"/>
      <c r="AIX141" s="205"/>
      <c r="AIY141" s="204"/>
      <c r="AIZ141" s="205"/>
      <c r="AJA141" s="204"/>
      <c r="AJB141" s="205"/>
      <c r="AJC141" s="204"/>
      <c r="AJD141" s="205"/>
      <c r="AJE141" s="204"/>
      <c r="AJF141" s="205"/>
      <c r="AJG141" s="204"/>
      <c r="AJH141" s="205"/>
      <c r="AJI141" s="204"/>
      <c r="AJJ141" s="205"/>
      <c r="AJK141" s="204"/>
      <c r="AJL141" s="205"/>
      <c r="AJM141" s="204"/>
      <c r="AJN141" s="205"/>
      <c r="AJO141" s="204"/>
      <c r="AJP141" s="205"/>
      <c r="AJQ141" s="204"/>
      <c r="AJR141" s="205"/>
      <c r="AJS141" s="204"/>
      <c r="AJT141" s="205"/>
      <c r="AJU141" s="204"/>
      <c r="AJV141" s="205"/>
      <c r="AJW141" s="204"/>
      <c r="AJX141" s="205"/>
      <c r="AJY141" s="204"/>
      <c r="AJZ141" s="205"/>
      <c r="AKA141" s="204"/>
      <c r="AKB141" s="205"/>
      <c r="AKC141" s="204"/>
      <c r="AKD141" s="205"/>
      <c r="AKE141" s="204"/>
      <c r="AKF141" s="205"/>
      <c r="AKG141" s="204"/>
      <c r="AKH141" s="205"/>
      <c r="AKI141" s="204"/>
      <c r="AKJ141" s="205"/>
      <c r="AKK141" s="204"/>
      <c r="AKL141" s="205"/>
      <c r="AKM141" s="204"/>
      <c r="AKN141" s="205"/>
      <c r="AKO141" s="204"/>
      <c r="AKP141" s="205"/>
      <c r="AKQ141" s="204"/>
      <c r="AKR141" s="205"/>
      <c r="AKS141" s="204"/>
      <c r="AKT141" s="205"/>
      <c r="AKU141" s="204"/>
      <c r="AKV141" s="205"/>
      <c r="AKW141" s="204"/>
      <c r="AKX141" s="205"/>
      <c r="AKY141" s="204"/>
      <c r="AKZ141" s="205"/>
      <c r="ALA141" s="204"/>
      <c r="ALB141" s="205"/>
      <c r="ALC141" s="204"/>
      <c r="ALD141" s="205"/>
      <c r="ALE141" s="204"/>
      <c r="ALF141" s="205"/>
      <c r="ALG141" s="204"/>
      <c r="ALH141" s="205"/>
      <c r="ALI141" s="204"/>
      <c r="ALJ141" s="205"/>
      <c r="ALK141" s="204"/>
      <c r="ALL141" s="205"/>
      <c r="ALM141" s="204"/>
      <c r="ALN141" s="205"/>
      <c r="ALO141" s="204"/>
      <c r="ALP141" s="205"/>
      <c r="ALQ141" s="204"/>
      <c r="ALR141" s="205"/>
      <c r="ALS141" s="204"/>
      <c r="ALT141" s="205"/>
      <c r="ALU141" s="204"/>
      <c r="ALV141" s="205"/>
      <c r="ALW141" s="204"/>
      <c r="ALX141" s="205"/>
      <c r="ALY141" s="204"/>
      <c r="ALZ141" s="205"/>
      <c r="AMA141" s="204"/>
      <c r="AMB141" s="205"/>
      <c r="AMC141" s="204"/>
      <c r="AMD141" s="205"/>
      <c r="AME141" s="204"/>
      <c r="AMF141" s="205"/>
      <c r="AMG141" s="204"/>
      <c r="AMH141" s="205"/>
      <c r="AMI141" s="204"/>
      <c r="AMJ141" s="205"/>
      <c r="AMK141" s="204"/>
      <c r="AML141" s="205"/>
      <c r="AMM141" s="204"/>
      <c r="AMN141" s="205"/>
      <c r="AMO141" s="204"/>
      <c r="AMP141" s="205"/>
      <c r="AMQ141" s="204"/>
      <c r="AMR141" s="205"/>
      <c r="AMS141" s="204"/>
      <c r="AMT141" s="205"/>
      <c r="AMU141" s="204"/>
      <c r="AMV141" s="205"/>
      <c r="AMW141" s="204"/>
      <c r="AMX141" s="205"/>
      <c r="AMY141" s="204"/>
      <c r="AMZ141" s="205"/>
      <c r="ANA141" s="204"/>
      <c r="ANB141" s="205"/>
      <c r="ANC141" s="204"/>
      <c r="AND141" s="205"/>
      <c r="ANE141" s="204"/>
      <c r="ANF141" s="205"/>
      <c r="ANG141" s="204"/>
      <c r="ANH141" s="205"/>
      <c r="ANI141" s="204"/>
      <c r="ANJ141" s="205"/>
      <c r="ANK141" s="204"/>
      <c r="ANL141" s="205"/>
      <c r="ANM141" s="204"/>
      <c r="ANN141" s="205"/>
      <c r="ANO141" s="204"/>
      <c r="ANP141" s="205"/>
      <c r="ANQ141" s="204"/>
      <c r="ANR141" s="205"/>
      <c r="ANS141" s="204"/>
      <c r="ANT141" s="205"/>
      <c r="ANU141" s="204"/>
      <c r="ANV141" s="205"/>
      <c r="ANW141" s="204"/>
      <c r="ANX141" s="205"/>
      <c r="ANY141" s="204"/>
      <c r="ANZ141" s="205"/>
      <c r="AOA141" s="204"/>
      <c r="AOB141" s="205"/>
      <c r="AOC141" s="204"/>
      <c r="AOD141" s="205"/>
      <c r="AOE141" s="204"/>
      <c r="AOF141" s="205"/>
      <c r="AOG141" s="204"/>
      <c r="AOH141" s="205"/>
      <c r="AOI141" s="204"/>
      <c r="AOJ141" s="205"/>
      <c r="AOK141" s="204"/>
      <c r="AOL141" s="205"/>
      <c r="AOM141" s="204"/>
      <c r="AON141" s="205"/>
      <c r="AOO141" s="204"/>
      <c r="AOP141" s="205"/>
      <c r="AOQ141" s="204"/>
      <c r="AOR141" s="205"/>
      <c r="AOS141" s="204"/>
      <c r="AOT141" s="205"/>
      <c r="AOU141" s="204"/>
      <c r="AOV141" s="205"/>
      <c r="AOW141" s="204"/>
      <c r="AOX141" s="205"/>
      <c r="AOY141" s="204"/>
      <c r="AOZ141" s="205"/>
      <c r="APA141" s="204"/>
      <c r="APB141" s="205"/>
      <c r="APC141" s="204"/>
      <c r="APD141" s="205"/>
      <c r="APE141" s="204"/>
      <c r="APF141" s="205"/>
      <c r="APG141" s="204"/>
      <c r="APH141" s="205"/>
      <c r="API141" s="204"/>
      <c r="APJ141" s="205"/>
      <c r="APK141" s="204"/>
      <c r="APL141" s="205"/>
      <c r="APM141" s="204"/>
      <c r="APN141" s="205"/>
      <c r="APO141" s="204"/>
      <c r="APP141" s="205"/>
      <c r="APQ141" s="204"/>
      <c r="APR141" s="205"/>
      <c r="APS141" s="204"/>
      <c r="APT141" s="205"/>
      <c r="APU141" s="204"/>
      <c r="APV141" s="205"/>
      <c r="APW141" s="204"/>
      <c r="APX141" s="205"/>
      <c r="APY141" s="204"/>
      <c r="APZ141" s="205"/>
      <c r="AQA141" s="204"/>
      <c r="AQB141" s="205"/>
      <c r="AQC141" s="204"/>
      <c r="AQD141" s="205"/>
      <c r="AQE141" s="204"/>
      <c r="AQF141" s="205"/>
      <c r="AQG141" s="204"/>
      <c r="AQH141" s="205"/>
      <c r="AQI141" s="204"/>
      <c r="AQJ141" s="205"/>
      <c r="AQK141" s="204"/>
      <c r="AQL141" s="205"/>
      <c r="AQM141" s="204"/>
      <c r="AQN141" s="205"/>
      <c r="AQO141" s="204"/>
      <c r="AQP141" s="205"/>
      <c r="AQQ141" s="204"/>
      <c r="AQR141" s="205"/>
      <c r="AQS141" s="204"/>
      <c r="AQT141" s="205"/>
      <c r="AQU141" s="204"/>
      <c r="AQV141" s="205"/>
      <c r="AQW141" s="204"/>
      <c r="AQX141" s="205"/>
      <c r="AQY141" s="204"/>
      <c r="AQZ141" s="205"/>
      <c r="ARA141" s="204"/>
      <c r="ARB141" s="205"/>
      <c r="ARC141" s="204"/>
      <c r="ARD141" s="205"/>
      <c r="ARE141" s="204"/>
      <c r="ARF141" s="205"/>
      <c r="ARG141" s="204"/>
      <c r="ARH141" s="205"/>
      <c r="ARI141" s="204"/>
      <c r="ARJ141" s="205"/>
      <c r="ARK141" s="204"/>
      <c r="ARL141" s="205"/>
      <c r="ARM141" s="204"/>
      <c r="ARN141" s="205"/>
      <c r="ARO141" s="204"/>
      <c r="ARP141" s="205"/>
      <c r="ARQ141" s="204"/>
      <c r="ARR141" s="205"/>
      <c r="ARS141" s="204"/>
      <c r="ART141" s="205"/>
      <c r="ARU141" s="204"/>
      <c r="ARV141" s="205"/>
      <c r="ARW141" s="204"/>
      <c r="ARX141" s="205"/>
      <c r="ARY141" s="204"/>
      <c r="ARZ141" s="205"/>
      <c r="ASA141" s="204"/>
      <c r="ASB141" s="205"/>
      <c r="ASC141" s="204"/>
      <c r="ASD141" s="205"/>
      <c r="ASE141" s="204"/>
      <c r="ASF141" s="205"/>
      <c r="ASG141" s="204"/>
      <c r="ASH141" s="205"/>
      <c r="ASI141" s="204"/>
      <c r="ASJ141" s="205"/>
      <c r="ASK141" s="204"/>
      <c r="ASL141" s="205"/>
      <c r="ASM141" s="204"/>
      <c r="ASN141" s="205"/>
      <c r="ASO141" s="204"/>
      <c r="ASP141" s="205"/>
      <c r="ASQ141" s="204"/>
      <c r="ASR141" s="205"/>
      <c r="ASS141" s="204"/>
      <c r="AST141" s="205"/>
      <c r="ASU141" s="204"/>
      <c r="ASV141" s="205"/>
      <c r="ASW141" s="204"/>
      <c r="ASX141" s="205"/>
      <c r="ASY141" s="204"/>
      <c r="ASZ141" s="205"/>
      <c r="ATA141" s="204"/>
      <c r="ATB141" s="205"/>
      <c r="ATC141" s="204"/>
      <c r="ATD141" s="205"/>
      <c r="ATE141" s="204"/>
      <c r="ATF141" s="205"/>
      <c r="ATG141" s="204"/>
      <c r="ATH141" s="205"/>
      <c r="ATI141" s="204"/>
      <c r="ATJ141" s="205"/>
      <c r="ATK141" s="204"/>
      <c r="ATL141" s="205"/>
      <c r="ATM141" s="204"/>
      <c r="ATN141" s="205"/>
      <c r="ATO141" s="204"/>
      <c r="ATP141" s="205"/>
      <c r="ATQ141" s="204"/>
      <c r="ATR141" s="205"/>
      <c r="ATS141" s="204"/>
      <c r="ATT141" s="205"/>
      <c r="ATU141" s="204"/>
      <c r="ATV141" s="205"/>
      <c r="ATW141" s="204"/>
      <c r="ATX141" s="205"/>
      <c r="ATY141" s="204"/>
      <c r="ATZ141" s="205"/>
      <c r="AUA141" s="204"/>
      <c r="AUB141" s="205"/>
      <c r="AUC141" s="204"/>
      <c r="AUD141" s="205"/>
      <c r="AUE141" s="204"/>
      <c r="AUF141" s="205"/>
      <c r="AUG141" s="204"/>
      <c r="AUH141" s="205"/>
      <c r="AUI141" s="204"/>
      <c r="AUJ141" s="205"/>
      <c r="AUK141" s="204"/>
      <c r="AUL141" s="205"/>
      <c r="AUM141" s="204"/>
      <c r="AUN141" s="205"/>
      <c r="AUO141" s="204"/>
      <c r="AUP141" s="205"/>
      <c r="AUQ141" s="204"/>
      <c r="AUR141" s="205"/>
      <c r="AUS141" s="204"/>
      <c r="AUT141" s="205"/>
      <c r="AUU141" s="204"/>
      <c r="AUV141" s="205"/>
      <c r="AUW141" s="204"/>
      <c r="AUX141" s="205"/>
      <c r="AUY141" s="204"/>
      <c r="AUZ141" s="205"/>
      <c r="AVA141" s="204"/>
      <c r="AVB141" s="205"/>
      <c r="AVC141" s="204"/>
      <c r="AVD141" s="205"/>
      <c r="AVE141" s="204"/>
      <c r="AVF141" s="205"/>
      <c r="AVG141" s="204"/>
      <c r="AVH141" s="205"/>
      <c r="AVI141" s="204"/>
      <c r="AVJ141" s="205"/>
      <c r="AVK141" s="204"/>
      <c r="AVL141" s="205"/>
      <c r="AVM141" s="204"/>
      <c r="AVN141" s="205"/>
      <c r="AVO141" s="204"/>
      <c r="AVP141" s="205"/>
      <c r="AVQ141" s="204"/>
      <c r="AVR141" s="205"/>
      <c r="AVS141" s="204"/>
      <c r="AVT141" s="205"/>
      <c r="AVU141" s="204"/>
      <c r="AVV141" s="205"/>
      <c r="AVW141" s="204"/>
      <c r="AVX141" s="205"/>
      <c r="AVY141" s="204"/>
      <c r="AVZ141" s="205"/>
      <c r="AWA141" s="204"/>
      <c r="AWB141" s="205"/>
      <c r="AWC141" s="204"/>
      <c r="AWD141" s="205"/>
      <c r="AWE141" s="204"/>
      <c r="AWF141" s="205"/>
      <c r="AWG141" s="204"/>
      <c r="AWH141" s="205"/>
      <c r="AWI141" s="204"/>
      <c r="AWJ141" s="205"/>
      <c r="AWK141" s="204"/>
      <c r="AWL141" s="205"/>
      <c r="AWM141" s="204"/>
      <c r="AWN141" s="205"/>
      <c r="AWO141" s="204"/>
      <c r="AWP141" s="205"/>
      <c r="AWQ141" s="204"/>
      <c r="AWR141" s="205"/>
      <c r="AWS141" s="204"/>
      <c r="AWT141" s="205"/>
      <c r="AWU141" s="204"/>
      <c r="AWV141" s="205"/>
      <c r="AWW141" s="204"/>
      <c r="AWX141" s="205"/>
      <c r="AWY141" s="204"/>
      <c r="AWZ141" s="205"/>
      <c r="AXA141" s="204"/>
      <c r="AXB141" s="205"/>
      <c r="AXC141" s="204"/>
      <c r="AXD141" s="205"/>
      <c r="AXE141" s="204"/>
      <c r="AXF141" s="205"/>
      <c r="AXG141" s="204"/>
      <c r="AXH141" s="205"/>
      <c r="AXI141" s="204"/>
      <c r="AXJ141" s="205"/>
      <c r="AXK141" s="204"/>
      <c r="AXL141" s="205"/>
      <c r="AXM141" s="204"/>
      <c r="AXN141" s="205"/>
      <c r="AXO141" s="204"/>
      <c r="AXP141" s="205"/>
      <c r="AXQ141" s="204"/>
      <c r="AXR141" s="205"/>
      <c r="AXS141" s="204"/>
      <c r="AXT141" s="205"/>
      <c r="AXU141" s="204"/>
      <c r="AXV141" s="205"/>
      <c r="AXW141" s="204"/>
      <c r="AXX141" s="205"/>
      <c r="AXY141" s="204"/>
      <c r="AXZ141" s="205"/>
      <c r="AYA141" s="204"/>
      <c r="AYB141" s="205"/>
      <c r="AYC141" s="204"/>
      <c r="AYD141" s="205"/>
      <c r="AYE141" s="204"/>
      <c r="AYF141" s="205"/>
      <c r="AYG141" s="204"/>
      <c r="AYH141" s="205"/>
      <c r="AYI141" s="204"/>
      <c r="AYJ141" s="205"/>
      <c r="AYK141" s="204"/>
      <c r="AYL141" s="205"/>
      <c r="AYM141" s="204"/>
      <c r="AYN141" s="205"/>
      <c r="AYO141" s="204"/>
      <c r="AYP141" s="205"/>
      <c r="AYQ141" s="204"/>
      <c r="AYR141" s="205"/>
      <c r="AYS141" s="204"/>
      <c r="AYT141" s="205"/>
      <c r="AYU141" s="204"/>
      <c r="AYV141" s="205"/>
      <c r="AYW141" s="204"/>
      <c r="AYX141" s="205"/>
      <c r="AYY141" s="204"/>
      <c r="AYZ141" s="205"/>
      <c r="AZA141" s="204"/>
      <c r="AZB141" s="205"/>
      <c r="AZC141" s="204"/>
      <c r="AZD141" s="205"/>
      <c r="AZE141" s="204"/>
      <c r="AZF141" s="205"/>
      <c r="AZG141" s="204"/>
      <c r="AZH141" s="205"/>
      <c r="AZI141" s="204"/>
      <c r="AZJ141" s="205"/>
      <c r="AZK141" s="204"/>
      <c r="AZL141" s="205"/>
      <c r="AZM141" s="204"/>
      <c r="AZN141" s="205"/>
      <c r="AZO141" s="204"/>
      <c r="AZP141" s="205"/>
      <c r="AZQ141" s="204"/>
      <c r="AZR141" s="205"/>
      <c r="AZS141" s="204"/>
      <c r="AZT141" s="205"/>
      <c r="AZU141" s="204"/>
      <c r="AZV141" s="205"/>
      <c r="AZW141" s="204"/>
      <c r="AZX141" s="205"/>
      <c r="AZY141" s="204"/>
      <c r="AZZ141" s="205"/>
      <c r="BAA141" s="204"/>
      <c r="BAB141" s="205"/>
      <c r="BAC141" s="204"/>
      <c r="BAD141" s="205"/>
      <c r="BAE141" s="204"/>
      <c r="BAF141" s="205"/>
      <c r="BAG141" s="204"/>
      <c r="BAH141" s="205"/>
      <c r="BAI141" s="204"/>
      <c r="BAJ141" s="205"/>
      <c r="BAK141" s="204"/>
      <c r="BAL141" s="205"/>
      <c r="BAM141" s="204"/>
      <c r="BAN141" s="205"/>
      <c r="BAO141" s="204"/>
      <c r="BAP141" s="205"/>
      <c r="BAQ141" s="204"/>
      <c r="BAR141" s="205"/>
      <c r="BAS141" s="204"/>
      <c r="BAT141" s="205"/>
      <c r="BAU141" s="204"/>
      <c r="BAV141" s="205"/>
      <c r="BAW141" s="204"/>
      <c r="BAX141" s="205"/>
      <c r="BAY141" s="204"/>
      <c r="BAZ141" s="205"/>
      <c r="BBA141" s="204"/>
      <c r="BBB141" s="205"/>
      <c r="BBC141" s="204"/>
      <c r="BBD141" s="205"/>
      <c r="BBE141" s="204"/>
      <c r="BBF141" s="205"/>
      <c r="BBG141" s="204"/>
      <c r="BBH141" s="205"/>
      <c r="BBI141" s="204"/>
      <c r="BBJ141" s="205"/>
      <c r="BBK141" s="204"/>
      <c r="BBL141" s="205"/>
      <c r="BBM141" s="204"/>
      <c r="BBN141" s="205"/>
      <c r="BBO141" s="204"/>
      <c r="BBP141" s="205"/>
      <c r="BBQ141" s="204"/>
      <c r="BBR141" s="205"/>
      <c r="BBS141" s="204"/>
      <c r="BBT141" s="205"/>
      <c r="BBU141" s="204"/>
      <c r="BBV141" s="205"/>
      <c r="BBW141" s="204"/>
      <c r="BBX141" s="205"/>
      <c r="BBY141" s="204"/>
      <c r="BBZ141" s="205"/>
      <c r="BCA141" s="204"/>
      <c r="BCB141" s="205"/>
      <c r="BCC141" s="204"/>
      <c r="BCD141" s="205"/>
      <c r="BCE141" s="204"/>
      <c r="BCF141" s="205"/>
      <c r="BCG141" s="204"/>
      <c r="BCH141" s="205"/>
      <c r="BCI141" s="204"/>
      <c r="BCJ141" s="205"/>
      <c r="BCK141" s="204"/>
      <c r="BCL141" s="205"/>
      <c r="BCM141" s="204"/>
      <c r="BCN141" s="205"/>
      <c r="BCO141" s="204"/>
      <c r="BCP141" s="205"/>
      <c r="BCQ141" s="204"/>
      <c r="BCR141" s="205"/>
      <c r="BCS141" s="204"/>
      <c r="BCT141" s="205"/>
      <c r="BCU141" s="204"/>
      <c r="BCV141" s="205"/>
      <c r="BCW141" s="204"/>
      <c r="BCX141" s="205"/>
      <c r="BCY141" s="204"/>
      <c r="BCZ141" s="205"/>
      <c r="BDA141" s="204"/>
      <c r="BDB141" s="205"/>
      <c r="BDC141" s="204"/>
      <c r="BDD141" s="205"/>
      <c r="BDE141" s="204"/>
      <c r="BDF141" s="205"/>
      <c r="BDG141" s="204"/>
      <c r="BDH141" s="205"/>
      <c r="BDI141" s="204"/>
      <c r="BDJ141" s="205"/>
      <c r="BDK141" s="204"/>
      <c r="BDL141" s="205"/>
      <c r="BDM141" s="204"/>
      <c r="BDN141" s="205"/>
      <c r="BDO141" s="204"/>
      <c r="BDP141" s="205"/>
      <c r="BDQ141" s="204"/>
      <c r="BDR141" s="205"/>
      <c r="BDS141" s="204"/>
      <c r="BDT141" s="205"/>
      <c r="BDU141" s="204"/>
      <c r="BDV141" s="205"/>
      <c r="BDW141" s="204"/>
      <c r="BDX141" s="205"/>
      <c r="BDY141" s="204"/>
      <c r="BDZ141" s="205"/>
      <c r="BEA141" s="204"/>
      <c r="BEB141" s="205"/>
      <c r="BEC141" s="204"/>
      <c r="BED141" s="205"/>
      <c r="BEE141" s="204"/>
      <c r="BEF141" s="205"/>
      <c r="BEG141" s="204"/>
      <c r="BEH141" s="205"/>
      <c r="BEI141" s="204"/>
      <c r="BEJ141" s="205"/>
      <c r="BEK141" s="204"/>
      <c r="BEL141" s="205"/>
      <c r="BEM141" s="204"/>
      <c r="BEN141" s="205"/>
      <c r="BEO141" s="204"/>
      <c r="BEP141" s="205"/>
      <c r="BEQ141" s="204"/>
      <c r="BER141" s="205"/>
      <c r="BES141" s="204"/>
      <c r="BET141" s="205"/>
      <c r="BEU141" s="204"/>
      <c r="BEV141" s="205"/>
      <c r="BEW141" s="204"/>
      <c r="BEX141" s="205"/>
      <c r="BEY141" s="204"/>
      <c r="BEZ141" s="205"/>
      <c r="BFA141" s="204"/>
      <c r="BFB141" s="205"/>
      <c r="BFC141" s="204"/>
      <c r="BFD141" s="205"/>
      <c r="BFE141" s="204"/>
      <c r="BFF141" s="205"/>
      <c r="BFG141" s="204"/>
      <c r="BFH141" s="205"/>
      <c r="BFI141" s="204"/>
      <c r="BFJ141" s="205"/>
      <c r="BFK141" s="204"/>
      <c r="BFL141" s="205"/>
      <c r="BFM141" s="204"/>
      <c r="BFN141" s="205"/>
      <c r="BFO141" s="204"/>
      <c r="BFP141" s="205"/>
      <c r="BFQ141" s="204"/>
      <c r="BFR141" s="205"/>
      <c r="BFS141" s="204"/>
      <c r="BFT141" s="205"/>
      <c r="BFU141" s="204"/>
      <c r="BFV141" s="205"/>
      <c r="BFW141" s="204"/>
      <c r="BFX141" s="205"/>
      <c r="BFY141" s="204"/>
      <c r="BFZ141" s="205"/>
      <c r="BGA141" s="204"/>
      <c r="BGB141" s="205"/>
      <c r="BGC141" s="204"/>
      <c r="BGD141" s="205"/>
      <c r="BGE141" s="204"/>
      <c r="BGF141" s="205"/>
      <c r="BGG141" s="204"/>
      <c r="BGH141" s="205"/>
      <c r="BGI141" s="204"/>
      <c r="BGJ141" s="205"/>
      <c r="BGK141" s="204"/>
      <c r="BGL141" s="205"/>
      <c r="BGM141" s="204"/>
      <c r="BGN141" s="205"/>
      <c r="BGO141" s="204"/>
      <c r="BGP141" s="205"/>
      <c r="BGQ141" s="204"/>
      <c r="BGR141" s="205"/>
      <c r="BGS141" s="204"/>
      <c r="BGT141" s="205"/>
      <c r="BGU141" s="204"/>
      <c r="BGV141" s="205"/>
      <c r="BGW141" s="204"/>
      <c r="BGX141" s="205"/>
      <c r="BGY141" s="204"/>
      <c r="BGZ141" s="205"/>
      <c r="BHA141" s="204"/>
      <c r="BHB141" s="205"/>
      <c r="BHC141" s="204"/>
      <c r="BHD141" s="205"/>
      <c r="BHE141" s="204"/>
      <c r="BHF141" s="205"/>
      <c r="BHG141" s="204"/>
      <c r="BHH141" s="205"/>
      <c r="BHI141" s="204"/>
      <c r="BHJ141" s="205"/>
      <c r="BHK141" s="204"/>
      <c r="BHL141" s="205"/>
      <c r="BHM141" s="204"/>
      <c r="BHN141" s="205"/>
      <c r="BHO141" s="204"/>
      <c r="BHP141" s="205"/>
      <c r="BHQ141" s="204"/>
      <c r="BHR141" s="205"/>
      <c r="BHS141" s="204"/>
      <c r="BHT141" s="205"/>
      <c r="BHU141" s="204"/>
      <c r="BHV141" s="205"/>
      <c r="BHW141" s="204"/>
      <c r="BHX141" s="205"/>
      <c r="BHY141" s="204"/>
      <c r="BHZ141" s="205"/>
      <c r="BIA141" s="204"/>
      <c r="BIB141" s="205"/>
      <c r="BIC141" s="204"/>
      <c r="BID141" s="205"/>
      <c r="BIE141" s="204"/>
      <c r="BIF141" s="205"/>
      <c r="BIG141" s="204"/>
      <c r="BIH141" s="205"/>
      <c r="BII141" s="204"/>
      <c r="BIJ141" s="205"/>
      <c r="BIK141" s="204"/>
      <c r="BIL141" s="205"/>
      <c r="BIM141" s="204"/>
      <c r="BIN141" s="205"/>
      <c r="BIO141" s="204"/>
      <c r="BIP141" s="205"/>
      <c r="BIQ141" s="204"/>
      <c r="BIR141" s="205"/>
      <c r="BIS141" s="204"/>
      <c r="BIT141" s="205"/>
      <c r="BIU141" s="204"/>
      <c r="BIV141" s="205"/>
      <c r="BIW141" s="204"/>
      <c r="BIX141" s="205"/>
      <c r="BIY141" s="204"/>
      <c r="BIZ141" s="205"/>
      <c r="BJA141" s="204"/>
      <c r="BJB141" s="205"/>
      <c r="BJC141" s="204"/>
      <c r="BJD141" s="205"/>
      <c r="BJE141" s="204"/>
      <c r="BJF141" s="205"/>
      <c r="BJG141" s="204"/>
      <c r="BJH141" s="205"/>
      <c r="BJI141" s="204"/>
      <c r="BJJ141" s="205"/>
      <c r="BJK141" s="204"/>
      <c r="BJL141" s="205"/>
      <c r="BJM141" s="204"/>
      <c r="BJN141" s="205"/>
      <c r="BJO141" s="204"/>
      <c r="BJP141" s="205"/>
      <c r="BJQ141" s="204"/>
      <c r="BJR141" s="205"/>
      <c r="BJS141" s="204"/>
      <c r="BJT141" s="205"/>
      <c r="BJU141" s="204"/>
      <c r="BJV141" s="205"/>
      <c r="BJW141" s="204"/>
      <c r="BJX141" s="205"/>
      <c r="BJY141" s="204"/>
      <c r="BJZ141" s="205"/>
      <c r="BKA141" s="204"/>
      <c r="BKB141" s="205"/>
      <c r="BKC141" s="204"/>
      <c r="BKD141" s="205"/>
      <c r="BKE141" s="204"/>
      <c r="BKF141" s="205"/>
      <c r="BKG141" s="204"/>
      <c r="BKH141" s="205"/>
      <c r="BKI141" s="204"/>
      <c r="BKJ141" s="205"/>
      <c r="BKK141" s="204"/>
      <c r="BKL141" s="205"/>
      <c r="BKM141" s="204"/>
      <c r="BKN141" s="205"/>
      <c r="BKO141" s="204"/>
      <c r="BKP141" s="205"/>
      <c r="BKQ141" s="204"/>
      <c r="BKR141" s="205"/>
      <c r="BKS141" s="204"/>
      <c r="BKT141" s="205"/>
      <c r="BKU141" s="204"/>
      <c r="BKV141" s="205"/>
      <c r="BKW141" s="204"/>
      <c r="BKX141" s="205"/>
      <c r="BKY141" s="204"/>
      <c r="BKZ141" s="205"/>
      <c r="BLA141" s="204"/>
      <c r="BLB141" s="205"/>
      <c r="BLC141" s="204"/>
      <c r="BLD141" s="205"/>
      <c r="BLE141" s="204"/>
      <c r="BLF141" s="205"/>
      <c r="BLG141" s="204"/>
      <c r="BLH141" s="205"/>
      <c r="BLI141" s="204"/>
      <c r="BLJ141" s="205"/>
      <c r="BLK141" s="204"/>
      <c r="BLL141" s="205"/>
      <c r="BLM141" s="204"/>
      <c r="BLN141" s="205"/>
      <c r="BLO141" s="204"/>
      <c r="BLP141" s="205"/>
      <c r="BLQ141" s="204"/>
      <c r="BLR141" s="205"/>
      <c r="BLS141" s="204"/>
      <c r="BLT141" s="205"/>
      <c r="BLU141" s="204"/>
      <c r="BLV141" s="205"/>
      <c r="BLW141" s="204"/>
      <c r="BLX141" s="205"/>
      <c r="BLY141" s="204"/>
      <c r="BLZ141" s="205"/>
      <c r="BMA141" s="204"/>
      <c r="BMB141" s="205"/>
      <c r="BMC141" s="204"/>
      <c r="BMD141" s="205"/>
      <c r="BME141" s="204"/>
      <c r="BMF141" s="205"/>
      <c r="BMG141" s="204"/>
      <c r="BMH141" s="205"/>
      <c r="BMI141" s="204"/>
      <c r="BMJ141" s="205"/>
      <c r="BMK141" s="204"/>
      <c r="BML141" s="205"/>
      <c r="BMM141" s="204"/>
      <c r="BMN141" s="205"/>
      <c r="BMO141" s="204"/>
      <c r="BMP141" s="205"/>
      <c r="BMQ141" s="204"/>
      <c r="BMR141" s="205"/>
      <c r="BMS141" s="204"/>
      <c r="BMT141" s="205"/>
      <c r="BMU141" s="204"/>
      <c r="BMV141" s="205"/>
      <c r="BMW141" s="204"/>
      <c r="BMX141" s="205"/>
      <c r="BMY141" s="204"/>
      <c r="BMZ141" s="205"/>
      <c r="BNA141" s="204"/>
      <c r="BNB141" s="205"/>
      <c r="BNC141" s="204"/>
      <c r="BND141" s="205"/>
      <c r="BNE141" s="204"/>
      <c r="BNF141" s="205"/>
      <c r="BNG141" s="204"/>
      <c r="BNH141" s="205"/>
      <c r="BNI141" s="204"/>
      <c r="BNJ141" s="205"/>
      <c r="BNK141" s="204"/>
      <c r="BNL141" s="205"/>
      <c r="BNM141" s="204"/>
      <c r="BNN141" s="205"/>
      <c r="BNO141" s="204"/>
      <c r="BNP141" s="205"/>
      <c r="BNQ141" s="204"/>
      <c r="BNR141" s="205"/>
      <c r="BNS141" s="204"/>
      <c r="BNT141" s="205"/>
      <c r="BNU141" s="204"/>
      <c r="BNV141" s="205"/>
      <c r="BNW141" s="204"/>
      <c r="BNX141" s="205"/>
      <c r="BNY141" s="204"/>
      <c r="BNZ141" s="205"/>
      <c r="BOA141" s="204"/>
      <c r="BOB141" s="205"/>
      <c r="BOC141" s="204"/>
      <c r="BOD141" s="205"/>
      <c r="BOE141" s="204"/>
      <c r="BOF141" s="205"/>
      <c r="BOG141" s="204"/>
      <c r="BOH141" s="205"/>
      <c r="BOI141" s="204"/>
      <c r="BOJ141" s="205"/>
      <c r="BOK141" s="204"/>
      <c r="BOL141" s="205"/>
      <c r="BOM141" s="204"/>
      <c r="BON141" s="205"/>
      <c r="BOO141" s="204"/>
      <c r="BOP141" s="205"/>
      <c r="BOQ141" s="204"/>
      <c r="BOR141" s="205"/>
      <c r="BOS141" s="204"/>
      <c r="BOT141" s="205"/>
      <c r="BOU141" s="204"/>
      <c r="BOV141" s="205"/>
      <c r="BOW141" s="204"/>
      <c r="BOX141" s="205"/>
      <c r="BOY141" s="204"/>
      <c r="BOZ141" s="205"/>
      <c r="BPA141" s="204"/>
      <c r="BPB141" s="205"/>
      <c r="BPC141" s="204"/>
      <c r="BPD141" s="205"/>
      <c r="BPE141" s="204"/>
      <c r="BPF141" s="205"/>
      <c r="BPG141" s="204"/>
      <c r="BPH141" s="205"/>
      <c r="BPI141" s="204"/>
      <c r="BPJ141" s="205"/>
      <c r="BPK141" s="204"/>
      <c r="BPL141" s="205"/>
      <c r="BPM141" s="204"/>
      <c r="BPN141" s="205"/>
      <c r="BPO141" s="204"/>
      <c r="BPP141" s="205"/>
      <c r="BPQ141" s="204"/>
      <c r="BPR141" s="205"/>
      <c r="BPS141" s="204"/>
      <c r="BPT141" s="205"/>
      <c r="BPU141" s="204"/>
      <c r="BPV141" s="205"/>
      <c r="BPW141" s="204"/>
      <c r="BPX141" s="205"/>
      <c r="BPY141" s="204"/>
      <c r="BPZ141" s="205"/>
      <c r="BQA141" s="204"/>
      <c r="BQB141" s="205"/>
      <c r="BQC141" s="204"/>
      <c r="BQD141" s="205"/>
      <c r="BQE141" s="204"/>
      <c r="BQF141" s="205"/>
      <c r="BQG141" s="204"/>
      <c r="BQH141" s="205"/>
      <c r="BQI141" s="204"/>
      <c r="BQJ141" s="205"/>
      <c r="BQK141" s="204"/>
      <c r="BQL141" s="205"/>
      <c r="BQM141" s="204"/>
      <c r="BQN141" s="205"/>
      <c r="BQO141" s="204"/>
      <c r="BQP141" s="205"/>
      <c r="BQQ141" s="204"/>
      <c r="BQR141" s="205"/>
      <c r="BQS141" s="204"/>
      <c r="BQT141" s="205"/>
      <c r="BQU141" s="204"/>
      <c r="BQV141" s="205"/>
      <c r="BQW141" s="204"/>
      <c r="BQX141" s="205"/>
      <c r="BQY141" s="204"/>
      <c r="BQZ141" s="205"/>
      <c r="BRA141" s="204"/>
      <c r="BRB141" s="205"/>
      <c r="BRC141" s="204"/>
      <c r="BRD141" s="205"/>
      <c r="BRE141" s="204"/>
      <c r="BRF141" s="205"/>
      <c r="BRG141" s="204"/>
      <c r="BRH141" s="205"/>
      <c r="BRI141" s="204"/>
      <c r="BRJ141" s="205"/>
      <c r="BRK141" s="204"/>
      <c r="BRL141" s="205"/>
      <c r="BRM141" s="204"/>
      <c r="BRN141" s="205"/>
      <c r="BRO141" s="204"/>
      <c r="BRP141" s="205"/>
      <c r="BRQ141" s="204"/>
      <c r="BRR141" s="205"/>
      <c r="BRS141" s="204"/>
      <c r="BRT141" s="205"/>
      <c r="BRU141" s="204"/>
      <c r="BRV141" s="205"/>
      <c r="BRW141" s="204"/>
      <c r="BRX141" s="205"/>
      <c r="BRY141" s="204"/>
      <c r="BRZ141" s="205"/>
      <c r="BSA141" s="204"/>
      <c r="BSB141" s="205"/>
      <c r="BSC141" s="204"/>
      <c r="BSD141" s="205"/>
      <c r="BSE141" s="204"/>
      <c r="BSF141" s="205"/>
      <c r="BSG141" s="204"/>
      <c r="BSH141" s="205"/>
      <c r="BSI141" s="204"/>
      <c r="BSJ141" s="205"/>
      <c r="BSK141" s="204"/>
      <c r="BSL141" s="205"/>
      <c r="BSM141" s="204"/>
      <c r="BSN141" s="205"/>
      <c r="BSO141" s="204"/>
      <c r="BSP141" s="205"/>
      <c r="BSQ141" s="204"/>
      <c r="BSR141" s="205"/>
      <c r="BSS141" s="204"/>
      <c r="BST141" s="205"/>
      <c r="BSU141" s="204"/>
      <c r="BSV141" s="205"/>
      <c r="BSW141" s="204"/>
      <c r="BSX141" s="205"/>
      <c r="BSY141" s="204"/>
      <c r="BSZ141" s="205"/>
      <c r="BTA141" s="204"/>
      <c r="BTB141" s="205"/>
      <c r="BTC141" s="204"/>
      <c r="BTD141" s="205"/>
      <c r="BTE141" s="204"/>
      <c r="BTF141" s="205"/>
      <c r="BTG141" s="204"/>
      <c r="BTH141" s="205"/>
      <c r="BTI141" s="204"/>
      <c r="BTJ141" s="205"/>
      <c r="BTK141" s="204"/>
      <c r="BTL141" s="205"/>
      <c r="BTM141" s="204"/>
      <c r="BTN141" s="205"/>
      <c r="BTO141" s="204"/>
      <c r="BTP141" s="205"/>
      <c r="BTQ141" s="204"/>
      <c r="BTR141" s="205"/>
      <c r="BTS141" s="204"/>
      <c r="BTT141" s="205"/>
      <c r="BTU141" s="204"/>
      <c r="BTV141" s="205"/>
      <c r="BTW141" s="204"/>
      <c r="BTX141" s="205"/>
      <c r="BTY141" s="204"/>
      <c r="BTZ141" s="205"/>
      <c r="BUA141" s="204"/>
      <c r="BUB141" s="205"/>
      <c r="BUC141" s="204"/>
      <c r="BUD141" s="205"/>
      <c r="BUE141" s="204"/>
      <c r="BUF141" s="205"/>
      <c r="BUG141" s="204"/>
      <c r="BUH141" s="205"/>
      <c r="BUI141" s="204"/>
      <c r="BUJ141" s="205"/>
      <c r="BUK141" s="204"/>
      <c r="BUL141" s="205"/>
      <c r="BUM141" s="204"/>
      <c r="BUN141" s="205"/>
      <c r="BUO141" s="204"/>
      <c r="BUP141" s="205"/>
      <c r="BUQ141" s="204"/>
      <c r="BUR141" s="205"/>
      <c r="BUS141" s="204"/>
      <c r="BUT141" s="205"/>
      <c r="BUU141" s="204"/>
      <c r="BUV141" s="205"/>
      <c r="BUW141" s="204"/>
      <c r="BUX141" s="205"/>
      <c r="BUY141" s="204"/>
      <c r="BUZ141" s="205"/>
      <c r="BVA141" s="204"/>
      <c r="BVB141" s="205"/>
      <c r="BVC141" s="204"/>
      <c r="BVD141" s="205"/>
      <c r="BVE141" s="204"/>
      <c r="BVF141" s="205"/>
      <c r="BVG141" s="204"/>
      <c r="BVH141" s="205"/>
      <c r="BVI141" s="204"/>
      <c r="BVJ141" s="205"/>
      <c r="BVK141" s="204"/>
      <c r="BVL141" s="205"/>
      <c r="BVM141" s="204"/>
      <c r="BVN141" s="205"/>
      <c r="BVO141" s="204"/>
      <c r="BVP141" s="205"/>
      <c r="BVQ141" s="204"/>
      <c r="BVR141" s="205"/>
      <c r="BVS141" s="204"/>
      <c r="BVT141" s="205"/>
      <c r="BVU141" s="204"/>
      <c r="BVV141" s="205"/>
      <c r="BVW141" s="204"/>
      <c r="BVX141" s="205"/>
      <c r="BVY141" s="204"/>
      <c r="BVZ141" s="205"/>
      <c r="BWA141" s="204"/>
      <c r="BWB141" s="205"/>
      <c r="BWC141" s="204"/>
      <c r="BWD141" s="205"/>
      <c r="BWE141" s="204"/>
      <c r="BWF141" s="205"/>
      <c r="BWG141" s="204"/>
      <c r="BWH141" s="205"/>
      <c r="BWI141" s="204"/>
      <c r="BWJ141" s="205"/>
      <c r="BWK141" s="204"/>
      <c r="BWL141" s="205"/>
      <c r="BWM141" s="204"/>
      <c r="BWN141" s="205"/>
      <c r="BWO141" s="204"/>
      <c r="BWP141" s="205"/>
      <c r="BWQ141" s="204"/>
      <c r="BWR141" s="205"/>
      <c r="BWS141" s="204"/>
      <c r="BWT141" s="205"/>
      <c r="BWU141" s="204"/>
      <c r="BWV141" s="205"/>
      <c r="BWW141" s="204"/>
      <c r="BWX141" s="205"/>
      <c r="BWY141" s="204"/>
      <c r="BWZ141" s="205"/>
      <c r="BXA141" s="204"/>
      <c r="BXB141" s="205"/>
      <c r="BXC141" s="204"/>
      <c r="BXD141" s="205"/>
      <c r="BXE141" s="204"/>
      <c r="BXF141" s="205"/>
      <c r="BXG141" s="204"/>
      <c r="BXH141" s="205"/>
      <c r="BXI141" s="204"/>
      <c r="BXJ141" s="205"/>
      <c r="BXK141" s="204"/>
      <c r="BXL141" s="205"/>
      <c r="BXM141" s="204"/>
      <c r="BXN141" s="205"/>
      <c r="BXO141" s="204"/>
      <c r="BXP141" s="205"/>
      <c r="BXQ141" s="204"/>
      <c r="BXR141" s="205"/>
      <c r="BXS141" s="204"/>
      <c r="BXT141" s="205"/>
      <c r="BXU141" s="204"/>
      <c r="BXV141" s="205"/>
      <c r="BXW141" s="204"/>
      <c r="BXX141" s="205"/>
      <c r="BXY141" s="204"/>
      <c r="BXZ141" s="205"/>
      <c r="BYA141" s="204"/>
      <c r="BYB141" s="205"/>
      <c r="BYC141" s="204"/>
      <c r="BYD141" s="205"/>
      <c r="BYE141" s="204"/>
      <c r="BYF141" s="205"/>
      <c r="BYG141" s="204"/>
      <c r="BYH141" s="205"/>
      <c r="BYI141" s="204"/>
      <c r="BYJ141" s="205"/>
      <c r="BYK141" s="204"/>
      <c r="BYL141" s="205"/>
      <c r="BYM141" s="204"/>
      <c r="BYN141" s="205"/>
      <c r="BYO141" s="204"/>
      <c r="BYP141" s="205"/>
      <c r="BYQ141" s="204"/>
      <c r="BYR141" s="205"/>
      <c r="BYS141" s="204"/>
      <c r="BYT141" s="205"/>
      <c r="BYU141" s="204"/>
      <c r="BYV141" s="205"/>
      <c r="BYW141" s="204"/>
      <c r="BYX141" s="205"/>
      <c r="BYY141" s="204"/>
      <c r="BYZ141" s="205"/>
      <c r="BZA141" s="204"/>
      <c r="BZB141" s="205"/>
      <c r="BZC141" s="204"/>
      <c r="BZD141" s="205"/>
      <c r="BZE141" s="204"/>
      <c r="BZF141" s="205"/>
      <c r="BZG141" s="204"/>
      <c r="BZH141" s="205"/>
      <c r="BZI141" s="204"/>
      <c r="BZJ141" s="205"/>
      <c r="BZK141" s="204"/>
      <c r="BZL141" s="205"/>
      <c r="BZM141" s="204"/>
      <c r="BZN141" s="205"/>
      <c r="BZO141" s="204"/>
      <c r="BZP141" s="205"/>
      <c r="BZQ141" s="204"/>
      <c r="BZR141" s="205"/>
      <c r="BZS141" s="204"/>
      <c r="BZT141" s="205"/>
      <c r="BZU141" s="204"/>
      <c r="BZV141" s="205"/>
      <c r="BZW141" s="204"/>
      <c r="BZX141" s="205"/>
      <c r="BZY141" s="204"/>
      <c r="BZZ141" s="205"/>
      <c r="CAA141" s="204"/>
      <c r="CAB141" s="205"/>
      <c r="CAC141" s="204"/>
      <c r="CAD141" s="205"/>
      <c r="CAE141" s="204"/>
      <c r="CAF141" s="205"/>
      <c r="CAG141" s="204"/>
      <c r="CAH141" s="205"/>
      <c r="CAI141" s="204"/>
      <c r="CAJ141" s="205"/>
      <c r="CAK141" s="204"/>
      <c r="CAL141" s="205"/>
      <c r="CAM141" s="204"/>
      <c r="CAN141" s="205"/>
      <c r="CAO141" s="204"/>
      <c r="CAP141" s="205"/>
      <c r="CAQ141" s="204"/>
      <c r="CAR141" s="205"/>
      <c r="CAS141" s="204"/>
      <c r="CAT141" s="205"/>
      <c r="CAU141" s="204"/>
      <c r="CAV141" s="205"/>
      <c r="CAW141" s="204"/>
      <c r="CAX141" s="205"/>
      <c r="CAY141" s="204"/>
      <c r="CAZ141" s="205"/>
      <c r="CBA141" s="204"/>
      <c r="CBB141" s="205"/>
      <c r="CBC141" s="204"/>
      <c r="CBD141" s="205"/>
      <c r="CBE141" s="204"/>
      <c r="CBF141" s="205"/>
      <c r="CBG141" s="204"/>
      <c r="CBH141" s="205"/>
      <c r="CBI141" s="204"/>
      <c r="CBJ141" s="205"/>
      <c r="CBK141" s="204"/>
      <c r="CBL141" s="205"/>
      <c r="CBM141" s="204"/>
      <c r="CBN141" s="205"/>
      <c r="CBO141" s="204"/>
      <c r="CBP141" s="205"/>
      <c r="CBQ141" s="204"/>
      <c r="CBR141" s="205"/>
      <c r="CBS141" s="204"/>
      <c r="CBT141" s="205"/>
      <c r="CBU141" s="204"/>
      <c r="CBV141" s="205"/>
      <c r="CBW141" s="204"/>
      <c r="CBX141" s="205"/>
      <c r="CBY141" s="204"/>
      <c r="CBZ141" s="205"/>
      <c r="CCA141" s="204"/>
      <c r="CCB141" s="205"/>
      <c r="CCC141" s="204"/>
      <c r="CCD141" s="205"/>
      <c r="CCE141" s="204"/>
      <c r="CCF141" s="205"/>
      <c r="CCG141" s="204"/>
      <c r="CCH141" s="205"/>
      <c r="CCI141" s="204"/>
      <c r="CCJ141" s="205"/>
      <c r="CCK141" s="204"/>
      <c r="CCL141" s="205"/>
      <c r="CCM141" s="204"/>
      <c r="CCN141" s="205"/>
      <c r="CCO141" s="204"/>
      <c r="CCP141" s="205"/>
      <c r="CCQ141" s="204"/>
      <c r="CCR141" s="205"/>
      <c r="CCS141" s="204"/>
      <c r="CCT141" s="205"/>
      <c r="CCU141" s="204"/>
      <c r="CCV141" s="205"/>
      <c r="CCW141" s="204"/>
      <c r="CCX141" s="205"/>
      <c r="CCY141" s="204"/>
      <c r="CCZ141" s="205"/>
      <c r="CDA141" s="204"/>
      <c r="CDB141" s="205"/>
      <c r="CDC141" s="204"/>
      <c r="CDD141" s="205"/>
      <c r="CDE141" s="204"/>
      <c r="CDF141" s="205"/>
      <c r="CDG141" s="204"/>
      <c r="CDH141" s="205"/>
      <c r="CDI141" s="204"/>
      <c r="CDJ141" s="205"/>
      <c r="CDK141" s="204"/>
      <c r="CDL141" s="205"/>
      <c r="CDM141" s="204"/>
      <c r="CDN141" s="205"/>
      <c r="CDO141" s="204"/>
      <c r="CDP141" s="205"/>
      <c r="CDQ141" s="204"/>
      <c r="CDR141" s="205"/>
      <c r="CDS141" s="204"/>
      <c r="CDT141" s="205"/>
      <c r="CDU141" s="204"/>
      <c r="CDV141" s="205"/>
      <c r="CDW141" s="204"/>
      <c r="CDX141" s="205"/>
      <c r="CDY141" s="204"/>
      <c r="CDZ141" s="205"/>
      <c r="CEA141" s="204"/>
      <c r="CEB141" s="205"/>
      <c r="CEC141" s="204"/>
      <c r="CED141" s="205"/>
      <c r="CEE141" s="204"/>
      <c r="CEF141" s="205"/>
      <c r="CEG141" s="204"/>
      <c r="CEH141" s="205"/>
      <c r="CEI141" s="204"/>
      <c r="CEJ141" s="205"/>
      <c r="CEK141" s="204"/>
      <c r="CEL141" s="205"/>
      <c r="CEM141" s="204"/>
      <c r="CEN141" s="205"/>
      <c r="CEO141" s="204"/>
      <c r="CEP141" s="205"/>
      <c r="CEQ141" s="204"/>
      <c r="CER141" s="205"/>
      <c r="CES141" s="204"/>
      <c r="CET141" s="205"/>
      <c r="CEU141" s="204"/>
      <c r="CEV141" s="205"/>
      <c r="CEW141" s="204"/>
      <c r="CEX141" s="205"/>
      <c r="CEY141" s="204"/>
      <c r="CEZ141" s="205"/>
      <c r="CFA141" s="204"/>
      <c r="CFB141" s="205"/>
      <c r="CFC141" s="204"/>
      <c r="CFD141" s="205"/>
      <c r="CFE141" s="204"/>
      <c r="CFF141" s="205"/>
      <c r="CFG141" s="204"/>
      <c r="CFH141" s="205"/>
      <c r="CFI141" s="204"/>
      <c r="CFJ141" s="205"/>
      <c r="CFK141" s="204"/>
      <c r="CFL141" s="205"/>
      <c r="CFM141" s="204"/>
      <c r="CFN141" s="205"/>
      <c r="CFO141" s="204"/>
      <c r="CFP141" s="205"/>
      <c r="CFQ141" s="204"/>
      <c r="CFR141" s="205"/>
      <c r="CFS141" s="204"/>
      <c r="CFT141" s="205"/>
      <c r="CFU141" s="204"/>
      <c r="CFV141" s="205"/>
      <c r="CFW141" s="204"/>
      <c r="CFX141" s="205"/>
      <c r="CFY141" s="204"/>
      <c r="CFZ141" s="205"/>
      <c r="CGA141" s="204"/>
      <c r="CGB141" s="205"/>
      <c r="CGC141" s="204"/>
      <c r="CGD141" s="205"/>
      <c r="CGE141" s="204"/>
      <c r="CGF141" s="205"/>
      <c r="CGG141" s="204"/>
      <c r="CGH141" s="205"/>
      <c r="CGI141" s="204"/>
      <c r="CGJ141" s="205"/>
      <c r="CGK141" s="204"/>
      <c r="CGL141" s="205"/>
      <c r="CGM141" s="204"/>
      <c r="CGN141" s="205"/>
      <c r="CGO141" s="204"/>
      <c r="CGP141" s="205"/>
      <c r="CGQ141" s="204"/>
      <c r="CGR141" s="205"/>
      <c r="CGS141" s="204"/>
      <c r="CGT141" s="205"/>
      <c r="CGU141" s="204"/>
      <c r="CGV141" s="205"/>
      <c r="CGW141" s="204"/>
      <c r="CGX141" s="205"/>
      <c r="CGY141" s="204"/>
      <c r="CGZ141" s="205"/>
      <c r="CHA141" s="204"/>
      <c r="CHB141" s="205"/>
      <c r="CHC141" s="204"/>
      <c r="CHD141" s="205"/>
      <c r="CHE141" s="204"/>
      <c r="CHF141" s="205"/>
      <c r="CHG141" s="204"/>
      <c r="CHH141" s="205"/>
      <c r="CHI141" s="204"/>
      <c r="CHJ141" s="205"/>
      <c r="CHK141" s="204"/>
      <c r="CHL141" s="205"/>
      <c r="CHM141" s="204"/>
      <c r="CHN141" s="205"/>
      <c r="CHO141" s="204"/>
      <c r="CHP141" s="205"/>
      <c r="CHQ141" s="204"/>
      <c r="CHR141" s="205"/>
      <c r="CHS141" s="204"/>
      <c r="CHT141" s="205"/>
      <c r="CHU141" s="204"/>
      <c r="CHV141" s="205"/>
      <c r="CHW141" s="204"/>
      <c r="CHX141" s="205"/>
      <c r="CHY141" s="204"/>
      <c r="CHZ141" s="205"/>
      <c r="CIA141" s="204"/>
      <c r="CIB141" s="205"/>
      <c r="CIC141" s="204"/>
      <c r="CID141" s="205"/>
      <c r="CIE141" s="204"/>
      <c r="CIF141" s="205"/>
      <c r="CIG141" s="204"/>
      <c r="CIH141" s="205"/>
      <c r="CII141" s="204"/>
      <c r="CIJ141" s="205"/>
      <c r="CIK141" s="204"/>
      <c r="CIL141" s="205"/>
      <c r="CIM141" s="204"/>
      <c r="CIN141" s="205"/>
      <c r="CIO141" s="204"/>
      <c r="CIP141" s="205"/>
      <c r="CIQ141" s="204"/>
      <c r="CIR141" s="205"/>
      <c r="CIS141" s="204"/>
      <c r="CIT141" s="205"/>
      <c r="CIU141" s="204"/>
      <c r="CIV141" s="205"/>
      <c r="CIW141" s="204"/>
      <c r="CIX141" s="205"/>
      <c r="CIY141" s="204"/>
      <c r="CIZ141" s="205"/>
      <c r="CJA141" s="204"/>
      <c r="CJB141" s="205"/>
      <c r="CJC141" s="204"/>
      <c r="CJD141" s="205"/>
      <c r="CJE141" s="204"/>
      <c r="CJF141" s="205"/>
      <c r="CJG141" s="204"/>
      <c r="CJH141" s="205"/>
      <c r="CJI141" s="204"/>
      <c r="CJJ141" s="205"/>
      <c r="CJK141" s="204"/>
      <c r="CJL141" s="205"/>
      <c r="CJM141" s="204"/>
      <c r="CJN141" s="205"/>
      <c r="CJO141" s="204"/>
      <c r="CJP141" s="205"/>
      <c r="CJQ141" s="204"/>
      <c r="CJR141" s="205"/>
      <c r="CJS141" s="204"/>
      <c r="CJT141" s="205"/>
      <c r="CJU141" s="204"/>
      <c r="CJV141" s="205"/>
      <c r="CJW141" s="204"/>
      <c r="CJX141" s="205"/>
      <c r="CJY141" s="204"/>
      <c r="CJZ141" s="205"/>
      <c r="CKA141" s="204"/>
      <c r="CKB141" s="205"/>
      <c r="CKC141" s="204"/>
      <c r="CKD141" s="205"/>
      <c r="CKE141" s="204"/>
      <c r="CKF141" s="205"/>
      <c r="CKG141" s="204"/>
      <c r="CKH141" s="205"/>
      <c r="CKI141" s="204"/>
      <c r="CKJ141" s="205"/>
      <c r="CKK141" s="204"/>
      <c r="CKL141" s="205"/>
      <c r="CKM141" s="204"/>
      <c r="CKN141" s="205"/>
      <c r="CKO141" s="204"/>
      <c r="CKP141" s="205"/>
      <c r="CKQ141" s="204"/>
      <c r="CKR141" s="205"/>
      <c r="CKS141" s="204"/>
      <c r="CKT141" s="205"/>
      <c r="CKU141" s="204"/>
      <c r="CKV141" s="205"/>
      <c r="CKW141" s="204"/>
      <c r="CKX141" s="205"/>
      <c r="CKY141" s="204"/>
      <c r="CKZ141" s="205"/>
      <c r="CLA141" s="204"/>
      <c r="CLB141" s="205"/>
      <c r="CLC141" s="204"/>
      <c r="CLD141" s="205"/>
      <c r="CLE141" s="204"/>
      <c r="CLF141" s="205"/>
      <c r="CLG141" s="204"/>
      <c r="CLH141" s="205"/>
      <c r="CLI141" s="204"/>
      <c r="CLJ141" s="205"/>
      <c r="CLK141" s="204"/>
      <c r="CLL141" s="205"/>
      <c r="CLM141" s="204"/>
      <c r="CLN141" s="205"/>
      <c r="CLO141" s="204"/>
      <c r="CLP141" s="205"/>
      <c r="CLQ141" s="204"/>
      <c r="CLR141" s="205"/>
      <c r="CLS141" s="204"/>
      <c r="CLT141" s="205"/>
      <c r="CLU141" s="204"/>
      <c r="CLV141" s="205"/>
      <c r="CLW141" s="204"/>
      <c r="CLX141" s="205"/>
      <c r="CLY141" s="204"/>
      <c r="CLZ141" s="205"/>
      <c r="CMA141" s="204"/>
      <c r="CMB141" s="205"/>
      <c r="CMC141" s="204"/>
      <c r="CMD141" s="205"/>
      <c r="CME141" s="204"/>
      <c r="CMF141" s="205"/>
      <c r="CMG141" s="204"/>
      <c r="CMH141" s="205"/>
      <c r="CMI141" s="204"/>
      <c r="CMJ141" s="205"/>
      <c r="CMK141" s="204"/>
      <c r="CML141" s="205"/>
      <c r="CMM141" s="204"/>
      <c r="CMN141" s="205"/>
      <c r="CMO141" s="204"/>
      <c r="CMP141" s="205"/>
      <c r="CMQ141" s="204"/>
      <c r="CMR141" s="205"/>
      <c r="CMS141" s="204"/>
      <c r="CMT141" s="205"/>
      <c r="CMU141" s="204"/>
      <c r="CMV141" s="205"/>
      <c r="CMW141" s="204"/>
      <c r="CMX141" s="205"/>
      <c r="CMY141" s="204"/>
      <c r="CMZ141" s="205"/>
      <c r="CNA141" s="204"/>
      <c r="CNB141" s="205"/>
      <c r="CNC141" s="204"/>
      <c r="CND141" s="205"/>
      <c r="CNE141" s="204"/>
      <c r="CNF141" s="205"/>
      <c r="CNG141" s="204"/>
      <c r="CNH141" s="205"/>
      <c r="CNI141" s="204"/>
      <c r="CNJ141" s="205"/>
      <c r="CNK141" s="204"/>
      <c r="CNL141" s="205"/>
      <c r="CNM141" s="204"/>
      <c r="CNN141" s="205"/>
      <c r="CNO141" s="204"/>
      <c r="CNP141" s="205"/>
      <c r="CNQ141" s="204"/>
      <c r="CNR141" s="205"/>
      <c r="CNS141" s="204"/>
      <c r="CNT141" s="205"/>
      <c r="CNU141" s="204"/>
      <c r="CNV141" s="205"/>
      <c r="CNW141" s="204"/>
      <c r="CNX141" s="205"/>
      <c r="CNY141" s="204"/>
      <c r="CNZ141" s="205"/>
      <c r="COA141" s="204"/>
      <c r="COB141" s="205"/>
      <c r="COC141" s="204"/>
      <c r="COD141" s="205"/>
      <c r="COE141" s="204"/>
      <c r="COF141" s="205"/>
      <c r="COG141" s="204"/>
      <c r="COH141" s="205"/>
      <c r="COI141" s="204"/>
      <c r="COJ141" s="205"/>
      <c r="COK141" s="204"/>
      <c r="COL141" s="205"/>
      <c r="COM141" s="204"/>
      <c r="CON141" s="205"/>
      <c r="COO141" s="204"/>
      <c r="COP141" s="205"/>
      <c r="COQ141" s="204"/>
      <c r="COR141" s="205"/>
      <c r="COS141" s="204"/>
      <c r="COT141" s="205"/>
      <c r="COU141" s="204"/>
      <c r="COV141" s="205"/>
      <c r="COW141" s="204"/>
      <c r="COX141" s="205"/>
      <c r="COY141" s="204"/>
      <c r="COZ141" s="205"/>
      <c r="CPA141" s="204"/>
      <c r="CPB141" s="205"/>
      <c r="CPC141" s="204"/>
      <c r="CPD141" s="205"/>
      <c r="CPE141" s="204"/>
      <c r="CPF141" s="205"/>
      <c r="CPG141" s="204"/>
      <c r="CPH141" s="205"/>
      <c r="CPI141" s="204"/>
      <c r="CPJ141" s="205"/>
      <c r="CPK141" s="204"/>
      <c r="CPL141" s="205"/>
      <c r="CPM141" s="204"/>
      <c r="CPN141" s="205"/>
      <c r="CPO141" s="204"/>
      <c r="CPP141" s="205"/>
      <c r="CPQ141" s="204"/>
      <c r="CPR141" s="205"/>
      <c r="CPS141" s="204"/>
      <c r="CPT141" s="205"/>
      <c r="CPU141" s="204"/>
      <c r="CPV141" s="205"/>
      <c r="CPW141" s="204"/>
      <c r="CPX141" s="205"/>
      <c r="CPY141" s="204"/>
      <c r="CPZ141" s="205"/>
      <c r="CQA141" s="204"/>
      <c r="CQB141" s="205"/>
      <c r="CQC141" s="204"/>
      <c r="CQD141" s="205"/>
      <c r="CQE141" s="204"/>
      <c r="CQF141" s="205"/>
      <c r="CQG141" s="204"/>
      <c r="CQH141" s="205"/>
      <c r="CQI141" s="204"/>
      <c r="CQJ141" s="205"/>
      <c r="CQK141" s="204"/>
      <c r="CQL141" s="205"/>
      <c r="CQM141" s="204"/>
      <c r="CQN141" s="205"/>
      <c r="CQO141" s="204"/>
      <c r="CQP141" s="205"/>
      <c r="CQQ141" s="204"/>
      <c r="CQR141" s="205"/>
      <c r="CQS141" s="204"/>
      <c r="CQT141" s="205"/>
      <c r="CQU141" s="204"/>
      <c r="CQV141" s="205"/>
      <c r="CQW141" s="204"/>
      <c r="CQX141" s="205"/>
      <c r="CQY141" s="204"/>
      <c r="CQZ141" s="205"/>
      <c r="CRA141" s="204"/>
      <c r="CRB141" s="205"/>
      <c r="CRC141" s="204"/>
      <c r="CRD141" s="205"/>
      <c r="CRE141" s="204"/>
      <c r="CRF141" s="205"/>
      <c r="CRG141" s="204"/>
      <c r="CRH141" s="205"/>
      <c r="CRI141" s="204"/>
      <c r="CRJ141" s="205"/>
      <c r="CRK141" s="204"/>
      <c r="CRL141" s="205"/>
      <c r="CRM141" s="204"/>
      <c r="CRN141" s="205"/>
      <c r="CRO141" s="204"/>
      <c r="CRP141" s="205"/>
      <c r="CRQ141" s="204"/>
      <c r="CRR141" s="205"/>
      <c r="CRS141" s="204"/>
      <c r="CRT141" s="205"/>
      <c r="CRU141" s="204"/>
      <c r="CRV141" s="205"/>
      <c r="CRW141" s="204"/>
      <c r="CRX141" s="205"/>
      <c r="CRY141" s="204"/>
      <c r="CRZ141" s="205"/>
      <c r="CSA141" s="204"/>
      <c r="CSB141" s="205"/>
      <c r="CSC141" s="204"/>
      <c r="CSD141" s="205"/>
      <c r="CSE141" s="204"/>
      <c r="CSF141" s="205"/>
      <c r="CSG141" s="204"/>
      <c r="CSH141" s="205"/>
      <c r="CSI141" s="204"/>
      <c r="CSJ141" s="205"/>
      <c r="CSK141" s="204"/>
      <c r="CSL141" s="205"/>
      <c r="CSM141" s="204"/>
      <c r="CSN141" s="205"/>
      <c r="CSO141" s="204"/>
      <c r="CSP141" s="205"/>
      <c r="CSQ141" s="204"/>
      <c r="CSR141" s="205"/>
      <c r="CSS141" s="204"/>
      <c r="CST141" s="205"/>
      <c r="CSU141" s="204"/>
      <c r="CSV141" s="205"/>
      <c r="CSW141" s="204"/>
      <c r="CSX141" s="205"/>
      <c r="CSY141" s="204"/>
      <c r="CSZ141" s="205"/>
      <c r="CTA141" s="204"/>
      <c r="CTB141" s="205"/>
      <c r="CTC141" s="204"/>
      <c r="CTD141" s="205"/>
      <c r="CTE141" s="204"/>
      <c r="CTF141" s="205"/>
      <c r="CTG141" s="204"/>
      <c r="CTH141" s="205"/>
      <c r="CTI141" s="204"/>
      <c r="CTJ141" s="205"/>
      <c r="CTK141" s="204"/>
      <c r="CTL141" s="205"/>
      <c r="CTM141" s="204"/>
      <c r="CTN141" s="205"/>
      <c r="CTO141" s="204"/>
      <c r="CTP141" s="205"/>
      <c r="CTQ141" s="204"/>
      <c r="CTR141" s="205"/>
      <c r="CTS141" s="204"/>
      <c r="CTT141" s="205"/>
      <c r="CTU141" s="204"/>
      <c r="CTV141" s="205"/>
      <c r="CTW141" s="204"/>
      <c r="CTX141" s="205"/>
      <c r="CTY141" s="204"/>
      <c r="CTZ141" s="205"/>
      <c r="CUA141" s="204"/>
      <c r="CUB141" s="205"/>
      <c r="CUC141" s="204"/>
      <c r="CUD141" s="205"/>
      <c r="CUE141" s="204"/>
      <c r="CUF141" s="205"/>
      <c r="CUG141" s="204"/>
      <c r="CUH141" s="205"/>
      <c r="CUI141" s="204"/>
      <c r="CUJ141" s="205"/>
      <c r="CUK141" s="204"/>
      <c r="CUL141" s="205"/>
      <c r="CUM141" s="204"/>
      <c r="CUN141" s="205"/>
      <c r="CUO141" s="204"/>
      <c r="CUP141" s="205"/>
      <c r="CUQ141" s="204"/>
      <c r="CUR141" s="205"/>
      <c r="CUS141" s="204"/>
      <c r="CUT141" s="205"/>
      <c r="CUU141" s="204"/>
      <c r="CUV141" s="205"/>
      <c r="CUW141" s="204"/>
      <c r="CUX141" s="205"/>
      <c r="CUY141" s="204"/>
      <c r="CUZ141" s="205"/>
      <c r="CVA141" s="204"/>
      <c r="CVB141" s="205"/>
      <c r="CVC141" s="204"/>
      <c r="CVD141" s="205"/>
      <c r="CVE141" s="204"/>
      <c r="CVF141" s="205"/>
      <c r="CVG141" s="204"/>
      <c r="CVH141" s="205"/>
      <c r="CVI141" s="204"/>
      <c r="CVJ141" s="205"/>
      <c r="CVK141" s="204"/>
      <c r="CVL141" s="205"/>
      <c r="CVM141" s="204"/>
      <c r="CVN141" s="205"/>
      <c r="CVO141" s="204"/>
      <c r="CVP141" s="205"/>
      <c r="CVQ141" s="204"/>
      <c r="CVR141" s="205"/>
      <c r="CVS141" s="204"/>
      <c r="CVT141" s="205"/>
      <c r="CVU141" s="204"/>
      <c r="CVV141" s="205"/>
      <c r="CVW141" s="204"/>
      <c r="CVX141" s="205"/>
      <c r="CVY141" s="204"/>
      <c r="CVZ141" s="205"/>
      <c r="CWA141" s="204"/>
      <c r="CWB141" s="205"/>
      <c r="CWC141" s="204"/>
      <c r="CWD141" s="205"/>
      <c r="CWE141" s="204"/>
      <c r="CWF141" s="205"/>
      <c r="CWG141" s="204"/>
      <c r="CWH141" s="205"/>
      <c r="CWI141" s="204"/>
      <c r="CWJ141" s="205"/>
      <c r="CWK141" s="204"/>
      <c r="CWL141" s="205"/>
      <c r="CWM141" s="204"/>
      <c r="CWN141" s="205"/>
      <c r="CWO141" s="204"/>
      <c r="CWP141" s="205"/>
      <c r="CWQ141" s="204"/>
      <c r="CWR141" s="205"/>
      <c r="CWS141" s="204"/>
      <c r="CWT141" s="205"/>
      <c r="CWU141" s="204"/>
      <c r="CWV141" s="205"/>
      <c r="CWW141" s="204"/>
      <c r="CWX141" s="205"/>
      <c r="CWY141" s="204"/>
      <c r="CWZ141" s="205"/>
      <c r="CXA141" s="204"/>
      <c r="CXB141" s="205"/>
      <c r="CXC141" s="204"/>
      <c r="CXD141" s="205"/>
      <c r="CXE141" s="204"/>
      <c r="CXF141" s="205"/>
      <c r="CXG141" s="204"/>
      <c r="CXH141" s="205"/>
      <c r="CXI141" s="204"/>
      <c r="CXJ141" s="205"/>
      <c r="CXK141" s="204"/>
      <c r="CXL141" s="205"/>
      <c r="CXM141" s="204"/>
      <c r="CXN141" s="205"/>
      <c r="CXO141" s="204"/>
      <c r="CXP141" s="205"/>
      <c r="CXQ141" s="204"/>
      <c r="CXR141" s="205"/>
      <c r="CXS141" s="204"/>
      <c r="CXT141" s="205"/>
      <c r="CXU141" s="204"/>
      <c r="CXV141" s="205"/>
      <c r="CXW141" s="204"/>
      <c r="CXX141" s="205"/>
      <c r="CXY141" s="204"/>
      <c r="CXZ141" s="205"/>
      <c r="CYA141" s="204"/>
      <c r="CYB141" s="205"/>
      <c r="CYC141" s="204"/>
      <c r="CYD141" s="205"/>
      <c r="CYE141" s="204"/>
      <c r="CYF141" s="205"/>
      <c r="CYG141" s="204"/>
      <c r="CYH141" s="205"/>
      <c r="CYI141" s="204"/>
      <c r="CYJ141" s="205"/>
      <c r="CYK141" s="204"/>
      <c r="CYL141" s="205"/>
      <c r="CYM141" s="204"/>
      <c r="CYN141" s="205"/>
      <c r="CYO141" s="204"/>
      <c r="CYP141" s="205"/>
      <c r="CYQ141" s="204"/>
      <c r="CYR141" s="205"/>
      <c r="CYS141" s="204"/>
      <c r="CYT141" s="205"/>
      <c r="CYU141" s="204"/>
      <c r="CYV141" s="205"/>
      <c r="CYW141" s="204"/>
      <c r="CYX141" s="205"/>
      <c r="CYY141" s="204"/>
      <c r="CYZ141" s="205"/>
      <c r="CZA141" s="204"/>
      <c r="CZB141" s="205"/>
      <c r="CZC141" s="204"/>
      <c r="CZD141" s="205"/>
      <c r="CZE141" s="204"/>
      <c r="CZF141" s="205"/>
      <c r="CZG141" s="204"/>
      <c r="CZH141" s="205"/>
      <c r="CZI141" s="204"/>
      <c r="CZJ141" s="205"/>
      <c r="CZK141" s="204"/>
      <c r="CZL141" s="205"/>
      <c r="CZM141" s="204"/>
      <c r="CZN141" s="205"/>
      <c r="CZO141" s="204"/>
      <c r="CZP141" s="205"/>
      <c r="CZQ141" s="204"/>
      <c r="CZR141" s="205"/>
      <c r="CZS141" s="204"/>
      <c r="CZT141" s="205"/>
      <c r="CZU141" s="204"/>
      <c r="CZV141" s="205"/>
      <c r="CZW141" s="204"/>
      <c r="CZX141" s="205"/>
      <c r="CZY141" s="204"/>
      <c r="CZZ141" s="205"/>
      <c r="DAA141" s="204"/>
      <c r="DAB141" s="205"/>
      <c r="DAC141" s="204"/>
      <c r="DAD141" s="205"/>
      <c r="DAE141" s="204"/>
      <c r="DAF141" s="205"/>
      <c r="DAG141" s="204"/>
      <c r="DAH141" s="205"/>
      <c r="DAI141" s="204"/>
      <c r="DAJ141" s="205"/>
      <c r="DAK141" s="204"/>
      <c r="DAL141" s="205"/>
      <c r="DAM141" s="204"/>
      <c r="DAN141" s="205"/>
      <c r="DAO141" s="204"/>
      <c r="DAP141" s="205"/>
      <c r="DAQ141" s="204"/>
      <c r="DAR141" s="205"/>
      <c r="DAS141" s="204"/>
      <c r="DAT141" s="205"/>
      <c r="DAU141" s="204"/>
      <c r="DAV141" s="205"/>
      <c r="DAW141" s="204"/>
      <c r="DAX141" s="205"/>
      <c r="DAY141" s="204"/>
      <c r="DAZ141" s="205"/>
      <c r="DBA141" s="204"/>
      <c r="DBB141" s="205"/>
      <c r="DBC141" s="204"/>
      <c r="DBD141" s="205"/>
      <c r="DBE141" s="204"/>
      <c r="DBF141" s="205"/>
      <c r="DBG141" s="204"/>
      <c r="DBH141" s="205"/>
      <c r="DBI141" s="204"/>
      <c r="DBJ141" s="205"/>
      <c r="DBK141" s="204"/>
      <c r="DBL141" s="205"/>
      <c r="DBM141" s="204"/>
      <c r="DBN141" s="205"/>
      <c r="DBO141" s="204"/>
      <c r="DBP141" s="205"/>
      <c r="DBQ141" s="204"/>
      <c r="DBR141" s="205"/>
      <c r="DBS141" s="204"/>
      <c r="DBT141" s="205"/>
      <c r="DBU141" s="204"/>
      <c r="DBV141" s="205"/>
      <c r="DBW141" s="204"/>
      <c r="DBX141" s="205"/>
      <c r="DBY141" s="204"/>
      <c r="DBZ141" s="205"/>
      <c r="DCA141" s="204"/>
      <c r="DCB141" s="205"/>
      <c r="DCC141" s="204"/>
      <c r="DCD141" s="205"/>
      <c r="DCE141" s="204"/>
      <c r="DCF141" s="205"/>
      <c r="DCG141" s="204"/>
      <c r="DCH141" s="205"/>
      <c r="DCI141" s="204"/>
      <c r="DCJ141" s="205"/>
      <c r="DCK141" s="204"/>
      <c r="DCL141" s="205"/>
      <c r="DCM141" s="204"/>
      <c r="DCN141" s="205"/>
      <c r="DCO141" s="204"/>
      <c r="DCP141" s="205"/>
      <c r="DCQ141" s="204"/>
      <c r="DCR141" s="205"/>
      <c r="DCS141" s="204"/>
      <c r="DCT141" s="205"/>
      <c r="DCU141" s="204"/>
      <c r="DCV141" s="205"/>
      <c r="DCW141" s="204"/>
      <c r="DCX141" s="205"/>
      <c r="DCY141" s="204"/>
      <c r="DCZ141" s="205"/>
      <c r="DDA141" s="204"/>
      <c r="DDB141" s="205"/>
      <c r="DDC141" s="204"/>
      <c r="DDD141" s="205"/>
      <c r="DDE141" s="204"/>
      <c r="DDF141" s="205"/>
      <c r="DDG141" s="204"/>
      <c r="DDH141" s="205"/>
      <c r="DDI141" s="204"/>
      <c r="DDJ141" s="205"/>
      <c r="DDK141" s="204"/>
      <c r="DDL141" s="205"/>
      <c r="DDM141" s="204"/>
      <c r="DDN141" s="205"/>
      <c r="DDO141" s="204"/>
      <c r="DDP141" s="205"/>
      <c r="DDQ141" s="204"/>
      <c r="DDR141" s="205"/>
      <c r="DDS141" s="204"/>
      <c r="DDT141" s="205"/>
      <c r="DDU141" s="204"/>
      <c r="DDV141" s="205"/>
      <c r="DDW141" s="204"/>
      <c r="DDX141" s="205"/>
      <c r="DDY141" s="204"/>
      <c r="DDZ141" s="205"/>
      <c r="DEA141" s="204"/>
      <c r="DEB141" s="205"/>
      <c r="DEC141" s="204"/>
      <c r="DED141" s="205"/>
      <c r="DEE141" s="204"/>
      <c r="DEF141" s="205"/>
      <c r="DEG141" s="204"/>
      <c r="DEH141" s="205"/>
      <c r="DEI141" s="204"/>
      <c r="DEJ141" s="205"/>
      <c r="DEK141" s="204"/>
      <c r="DEL141" s="205"/>
      <c r="DEM141" s="204"/>
      <c r="DEN141" s="205"/>
      <c r="DEO141" s="204"/>
      <c r="DEP141" s="205"/>
      <c r="DEQ141" s="204"/>
      <c r="DER141" s="205"/>
      <c r="DES141" s="204"/>
      <c r="DET141" s="205"/>
      <c r="DEU141" s="204"/>
      <c r="DEV141" s="205"/>
      <c r="DEW141" s="204"/>
      <c r="DEX141" s="205"/>
      <c r="DEY141" s="204"/>
      <c r="DEZ141" s="205"/>
      <c r="DFA141" s="204"/>
      <c r="DFB141" s="205"/>
      <c r="DFC141" s="204"/>
      <c r="DFD141" s="205"/>
      <c r="DFE141" s="204"/>
      <c r="DFF141" s="205"/>
      <c r="DFG141" s="204"/>
      <c r="DFH141" s="205"/>
      <c r="DFI141" s="204"/>
      <c r="DFJ141" s="205"/>
      <c r="DFK141" s="204"/>
      <c r="DFL141" s="205"/>
      <c r="DFM141" s="204"/>
      <c r="DFN141" s="205"/>
      <c r="DFO141" s="204"/>
      <c r="DFP141" s="205"/>
      <c r="DFQ141" s="204"/>
      <c r="DFR141" s="205"/>
      <c r="DFS141" s="204"/>
      <c r="DFT141" s="205"/>
      <c r="DFU141" s="204"/>
      <c r="DFV141" s="205"/>
      <c r="DFW141" s="204"/>
      <c r="DFX141" s="205"/>
      <c r="DFY141" s="204"/>
      <c r="DFZ141" s="205"/>
      <c r="DGA141" s="204"/>
      <c r="DGB141" s="205"/>
      <c r="DGC141" s="204"/>
      <c r="DGD141" s="205"/>
      <c r="DGE141" s="204"/>
      <c r="DGF141" s="205"/>
      <c r="DGG141" s="204"/>
      <c r="DGH141" s="205"/>
      <c r="DGI141" s="204"/>
      <c r="DGJ141" s="205"/>
      <c r="DGK141" s="204"/>
      <c r="DGL141" s="205"/>
      <c r="DGM141" s="204"/>
      <c r="DGN141" s="205"/>
      <c r="DGO141" s="204"/>
      <c r="DGP141" s="205"/>
      <c r="DGQ141" s="204"/>
      <c r="DGR141" s="205"/>
      <c r="DGS141" s="204"/>
      <c r="DGT141" s="205"/>
      <c r="DGU141" s="204"/>
      <c r="DGV141" s="205"/>
      <c r="DGW141" s="204"/>
      <c r="DGX141" s="205"/>
      <c r="DGY141" s="204"/>
      <c r="DGZ141" s="205"/>
      <c r="DHA141" s="204"/>
      <c r="DHB141" s="205"/>
      <c r="DHC141" s="204"/>
      <c r="DHD141" s="205"/>
      <c r="DHE141" s="204"/>
      <c r="DHF141" s="205"/>
      <c r="DHG141" s="204"/>
      <c r="DHH141" s="205"/>
      <c r="DHI141" s="204"/>
      <c r="DHJ141" s="205"/>
      <c r="DHK141" s="204"/>
      <c r="DHL141" s="205"/>
      <c r="DHM141" s="204"/>
      <c r="DHN141" s="205"/>
      <c r="DHO141" s="204"/>
      <c r="DHP141" s="205"/>
      <c r="DHQ141" s="204"/>
      <c r="DHR141" s="205"/>
      <c r="DHS141" s="204"/>
      <c r="DHT141" s="205"/>
      <c r="DHU141" s="204"/>
      <c r="DHV141" s="205"/>
      <c r="DHW141" s="204"/>
      <c r="DHX141" s="205"/>
      <c r="DHY141" s="204"/>
      <c r="DHZ141" s="205"/>
      <c r="DIA141" s="204"/>
      <c r="DIB141" s="205"/>
      <c r="DIC141" s="204"/>
      <c r="DID141" s="205"/>
      <c r="DIE141" s="204"/>
      <c r="DIF141" s="205"/>
      <c r="DIG141" s="204"/>
      <c r="DIH141" s="205"/>
      <c r="DII141" s="204"/>
      <c r="DIJ141" s="205"/>
      <c r="DIK141" s="204"/>
      <c r="DIL141" s="205"/>
      <c r="DIM141" s="204"/>
      <c r="DIN141" s="205"/>
      <c r="DIO141" s="204"/>
      <c r="DIP141" s="205"/>
      <c r="DIQ141" s="204"/>
      <c r="DIR141" s="205"/>
      <c r="DIS141" s="204"/>
      <c r="DIT141" s="205"/>
      <c r="DIU141" s="204"/>
      <c r="DIV141" s="205"/>
      <c r="DIW141" s="204"/>
      <c r="DIX141" s="205"/>
      <c r="DIY141" s="204"/>
      <c r="DIZ141" s="205"/>
      <c r="DJA141" s="204"/>
      <c r="DJB141" s="205"/>
      <c r="DJC141" s="204"/>
      <c r="DJD141" s="205"/>
      <c r="DJE141" s="204"/>
      <c r="DJF141" s="205"/>
      <c r="DJG141" s="204"/>
      <c r="DJH141" s="205"/>
      <c r="DJI141" s="204"/>
      <c r="DJJ141" s="205"/>
      <c r="DJK141" s="204"/>
      <c r="DJL141" s="205"/>
      <c r="DJM141" s="204"/>
      <c r="DJN141" s="205"/>
      <c r="DJO141" s="204"/>
      <c r="DJP141" s="205"/>
      <c r="DJQ141" s="204"/>
      <c r="DJR141" s="205"/>
      <c r="DJS141" s="204"/>
      <c r="DJT141" s="205"/>
      <c r="DJU141" s="204"/>
      <c r="DJV141" s="205"/>
      <c r="DJW141" s="204"/>
      <c r="DJX141" s="205"/>
      <c r="DJY141" s="204"/>
      <c r="DJZ141" s="205"/>
      <c r="DKA141" s="204"/>
      <c r="DKB141" s="205"/>
      <c r="DKC141" s="204"/>
      <c r="DKD141" s="205"/>
      <c r="DKE141" s="204"/>
      <c r="DKF141" s="205"/>
      <c r="DKG141" s="204"/>
      <c r="DKH141" s="205"/>
      <c r="DKI141" s="204"/>
      <c r="DKJ141" s="205"/>
      <c r="DKK141" s="204"/>
      <c r="DKL141" s="205"/>
      <c r="DKM141" s="204"/>
      <c r="DKN141" s="205"/>
      <c r="DKO141" s="204"/>
      <c r="DKP141" s="205"/>
      <c r="DKQ141" s="204"/>
      <c r="DKR141" s="205"/>
      <c r="DKS141" s="204"/>
      <c r="DKT141" s="205"/>
      <c r="DKU141" s="204"/>
      <c r="DKV141" s="205"/>
      <c r="DKW141" s="204"/>
      <c r="DKX141" s="205"/>
      <c r="DKY141" s="204"/>
      <c r="DKZ141" s="205"/>
      <c r="DLA141" s="204"/>
      <c r="DLB141" s="205"/>
      <c r="DLC141" s="204"/>
      <c r="DLD141" s="205"/>
      <c r="DLE141" s="204"/>
      <c r="DLF141" s="205"/>
      <c r="DLG141" s="204"/>
      <c r="DLH141" s="205"/>
      <c r="DLI141" s="204"/>
      <c r="DLJ141" s="205"/>
      <c r="DLK141" s="204"/>
      <c r="DLL141" s="205"/>
      <c r="DLM141" s="204"/>
      <c r="DLN141" s="205"/>
      <c r="DLO141" s="204"/>
      <c r="DLP141" s="205"/>
      <c r="DLQ141" s="204"/>
      <c r="DLR141" s="205"/>
      <c r="DLS141" s="204"/>
      <c r="DLT141" s="205"/>
      <c r="DLU141" s="204"/>
      <c r="DLV141" s="205"/>
      <c r="DLW141" s="204"/>
      <c r="DLX141" s="205"/>
      <c r="DLY141" s="204"/>
      <c r="DLZ141" s="205"/>
      <c r="DMA141" s="204"/>
      <c r="DMB141" s="205"/>
      <c r="DMC141" s="204"/>
      <c r="DMD141" s="205"/>
      <c r="DME141" s="204"/>
      <c r="DMF141" s="205"/>
      <c r="DMG141" s="204"/>
      <c r="DMH141" s="205"/>
      <c r="DMI141" s="204"/>
      <c r="DMJ141" s="205"/>
      <c r="DMK141" s="204"/>
      <c r="DML141" s="205"/>
      <c r="DMM141" s="204"/>
      <c r="DMN141" s="205"/>
      <c r="DMO141" s="204"/>
      <c r="DMP141" s="205"/>
      <c r="DMQ141" s="204"/>
      <c r="DMR141" s="205"/>
      <c r="DMS141" s="204"/>
      <c r="DMT141" s="205"/>
      <c r="DMU141" s="204"/>
      <c r="DMV141" s="205"/>
      <c r="DMW141" s="204"/>
      <c r="DMX141" s="205"/>
      <c r="DMY141" s="204"/>
      <c r="DMZ141" s="205"/>
      <c r="DNA141" s="204"/>
      <c r="DNB141" s="205"/>
      <c r="DNC141" s="204"/>
      <c r="DND141" s="205"/>
      <c r="DNE141" s="204"/>
      <c r="DNF141" s="205"/>
      <c r="DNG141" s="204"/>
      <c r="DNH141" s="205"/>
      <c r="DNI141" s="204"/>
      <c r="DNJ141" s="205"/>
      <c r="DNK141" s="204"/>
      <c r="DNL141" s="205"/>
      <c r="DNM141" s="204"/>
      <c r="DNN141" s="205"/>
      <c r="DNO141" s="204"/>
      <c r="DNP141" s="205"/>
      <c r="DNQ141" s="204"/>
      <c r="DNR141" s="205"/>
      <c r="DNS141" s="204"/>
      <c r="DNT141" s="205"/>
      <c r="DNU141" s="204"/>
      <c r="DNV141" s="205"/>
      <c r="DNW141" s="204"/>
      <c r="DNX141" s="205"/>
      <c r="DNY141" s="204"/>
      <c r="DNZ141" s="205"/>
      <c r="DOA141" s="204"/>
      <c r="DOB141" s="205"/>
      <c r="DOC141" s="204"/>
      <c r="DOD141" s="205"/>
      <c r="DOE141" s="204"/>
      <c r="DOF141" s="205"/>
      <c r="DOG141" s="204"/>
      <c r="DOH141" s="205"/>
      <c r="DOI141" s="204"/>
      <c r="DOJ141" s="205"/>
      <c r="DOK141" s="204"/>
      <c r="DOL141" s="205"/>
      <c r="DOM141" s="204"/>
      <c r="DON141" s="205"/>
      <c r="DOO141" s="204"/>
      <c r="DOP141" s="205"/>
      <c r="DOQ141" s="204"/>
      <c r="DOR141" s="205"/>
      <c r="DOS141" s="204"/>
      <c r="DOT141" s="205"/>
      <c r="DOU141" s="204"/>
      <c r="DOV141" s="205"/>
      <c r="DOW141" s="204"/>
      <c r="DOX141" s="205"/>
      <c r="DOY141" s="204"/>
      <c r="DOZ141" s="205"/>
      <c r="DPA141" s="204"/>
      <c r="DPB141" s="205"/>
      <c r="DPC141" s="204"/>
      <c r="DPD141" s="205"/>
      <c r="DPE141" s="204"/>
      <c r="DPF141" s="205"/>
      <c r="DPG141" s="204"/>
      <c r="DPH141" s="205"/>
      <c r="DPI141" s="204"/>
      <c r="DPJ141" s="205"/>
      <c r="DPK141" s="204"/>
      <c r="DPL141" s="205"/>
      <c r="DPM141" s="204"/>
      <c r="DPN141" s="205"/>
      <c r="DPO141" s="204"/>
      <c r="DPP141" s="205"/>
      <c r="DPQ141" s="204"/>
      <c r="DPR141" s="205"/>
      <c r="DPS141" s="204"/>
      <c r="DPT141" s="205"/>
      <c r="DPU141" s="204"/>
      <c r="DPV141" s="205"/>
      <c r="DPW141" s="204"/>
      <c r="DPX141" s="205"/>
      <c r="DPY141" s="204"/>
      <c r="DPZ141" s="205"/>
      <c r="DQA141" s="204"/>
      <c r="DQB141" s="205"/>
      <c r="DQC141" s="204"/>
      <c r="DQD141" s="205"/>
      <c r="DQE141" s="204"/>
      <c r="DQF141" s="205"/>
      <c r="DQG141" s="204"/>
      <c r="DQH141" s="205"/>
      <c r="DQI141" s="204"/>
      <c r="DQJ141" s="205"/>
      <c r="DQK141" s="204"/>
      <c r="DQL141" s="205"/>
      <c r="DQM141" s="204"/>
      <c r="DQN141" s="205"/>
      <c r="DQO141" s="204"/>
      <c r="DQP141" s="205"/>
      <c r="DQQ141" s="204"/>
      <c r="DQR141" s="205"/>
      <c r="DQS141" s="204"/>
      <c r="DQT141" s="205"/>
      <c r="DQU141" s="204"/>
      <c r="DQV141" s="205"/>
      <c r="DQW141" s="204"/>
      <c r="DQX141" s="205"/>
      <c r="DQY141" s="204"/>
      <c r="DQZ141" s="205"/>
      <c r="DRA141" s="204"/>
      <c r="DRB141" s="205"/>
      <c r="DRC141" s="204"/>
      <c r="DRD141" s="205"/>
      <c r="DRE141" s="204"/>
      <c r="DRF141" s="205"/>
      <c r="DRG141" s="204"/>
      <c r="DRH141" s="205"/>
      <c r="DRI141" s="204"/>
      <c r="DRJ141" s="205"/>
      <c r="DRK141" s="204"/>
      <c r="DRL141" s="205"/>
      <c r="DRM141" s="204"/>
      <c r="DRN141" s="205"/>
      <c r="DRO141" s="204"/>
      <c r="DRP141" s="205"/>
      <c r="DRQ141" s="204"/>
      <c r="DRR141" s="205"/>
      <c r="DRS141" s="204"/>
      <c r="DRT141" s="205"/>
      <c r="DRU141" s="204"/>
      <c r="DRV141" s="205"/>
      <c r="DRW141" s="204"/>
      <c r="DRX141" s="205"/>
      <c r="DRY141" s="204"/>
      <c r="DRZ141" s="205"/>
      <c r="DSA141" s="204"/>
      <c r="DSB141" s="205"/>
      <c r="DSC141" s="204"/>
      <c r="DSD141" s="205"/>
      <c r="DSE141" s="204"/>
      <c r="DSF141" s="205"/>
      <c r="DSG141" s="204"/>
      <c r="DSH141" s="205"/>
      <c r="DSI141" s="204"/>
      <c r="DSJ141" s="205"/>
      <c r="DSK141" s="204"/>
      <c r="DSL141" s="205"/>
      <c r="DSM141" s="204"/>
      <c r="DSN141" s="205"/>
      <c r="DSO141" s="204"/>
      <c r="DSP141" s="205"/>
      <c r="DSQ141" s="204"/>
      <c r="DSR141" s="205"/>
      <c r="DSS141" s="204"/>
      <c r="DST141" s="205"/>
      <c r="DSU141" s="204"/>
      <c r="DSV141" s="205"/>
      <c r="DSW141" s="204"/>
      <c r="DSX141" s="205"/>
      <c r="DSY141" s="204"/>
      <c r="DSZ141" s="205"/>
      <c r="DTA141" s="204"/>
      <c r="DTB141" s="205"/>
      <c r="DTC141" s="204"/>
      <c r="DTD141" s="205"/>
      <c r="DTE141" s="204"/>
      <c r="DTF141" s="205"/>
      <c r="DTG141" s="204"/>
      <c r="DTH141" s="205"/>
      <c r="DTI141" s="204"/>
      <c r="DTJ141" s="205"/>
      <c r="DTK141" s="204"/>
      <c r="DTL141" s="205"/>
      <c r="DTM141" s="204"/>
      <c r="DTN141" s="205"/>
      <c r="DTO141" s="204"/>
      <c r="DTP141" s="205"/>
      <c r="DTQ141" s="204"/>
      <c r="DTR141" s="205"/>
      <c r="DTS141" s="204"/>
      <c r="DTT141" s="205"/>
      <c r="DTU141" s="204"/>
      <c r="DTV141" s="205"/>
      <c r="DTW141" s="204"/>
      <c r="DTX141" s="205"/>
      <c r="DTY141" s="204"/>
      <c r="DTZ141" s="205"/>
      <c r="DUA141" s="204"/>
      <c r="DUB141" s="205"/>
      <c r="DUC141" s="204"/>
      <c r="DUD141" s="205"/>
      <c r="DUE141" s="204"/>
      <c r="DUF141" s="205"/>
      <c r="DUG141" s="204"/>
      <c r="DUH141" s="205"/>
      <c r="DUI141" s="204"/>
      <c r="DUJ141" s="205"/>
      <c r="DUK141" s="204"/>
      <c r="DUL141" s="205"/>
      <c r="DUM141" s="204"/>
      <c r="DUN141" s="205"/>
      <c r="DUO141" s="204"/>
      <c r="DUP141" s="205"/>
      <c r="DUQ141" s="204"/>
      <c r="DUR141" s="205"/>
      <c r="DUS141" s="204"/>
      <c r="DUT141" s="205"/>
      <c r="DUU141" s="204"/>
      <c r="DUV141" s="205"/>
      <c r="DUW141" s="204"/>
      <c r="DUX141" s="205"/>
      <c r="DUY141" s="204"/>
      <c r="DUZ141" s="205"/>
      <c r="DVA141" s="204"/>
      <c r="DVB141" s="205"/>
      <c r="DVC141" s="204"/>
      <c r="DVD141" s="205"/>
      <c r="DVE141" s="204"/>
      <c r="DVF141" s="205"/>
      <c r="DVG141" s="204"/>
      <c r="DVH141" s="205"/>
      <c r="DVI141" s="204"/>
      <c r="DVJ141" s="205"/>
      <c r="DVK141" s="204"/>
      <c r="DVL141" s="205"/>
      <c r="DVM141" s="204"/>
      <c r="DVN141" s="205"/>
      <c r="DVO141" s="204"/>
      <c r="DVP141" s="205"/>
      <c r="DVQ141" s="204"/>
      <c r="DVR141" s="205"/>
      <c r="DVS141" s="204"/>
      <c r="DVT141" s="205"/>
      <c r="DVU141" s="204"/>
      <c r="DVV141" s="205"/>
      <c r="DVW141" s="204"/>
      <c r="DVX141" s="205"/>
      <c r="DVY141" s="204"/>
      <c r="DVZ141" s="205"/>
      <c r="DWA141" s="204"/>
      <c r="DWB141" s="205"/>
      <c r="DWC141" s="204"/>
      <c r="DWD141" s="205"/>
      <c r="DWE141" s="204"/>
      <c r="DWF141" s="205"/>
      <c r="DWG141" s="204"/>
      <c r="DWH141" s="205"/>
      <c r="DWI141" s="204"/>
      <c r="DWJ141" s="205"/>
      <c r="DWK141" s="204"/>
      <c r="DWL141" s="205"/>
      <c r="DWM141" s="204"/>
      <c r="DWN141" s="205"/>
      <c r="DWO141" s="204"/>
      <c r="DWP141" s="205"/>
      <c r="DWQ141" s="204"/>
      <c r="DWR141" s="205"/>
      <c r="DWS141" s="204"/>
      <c r="DWT141" s="205"/>
      <c r="DWU141" s="204"/>
      <c r="DWV141" s="205"/>
      <c r="DWW141" s="204"/>
      <c r="DWX141" s="205"/>
      <c r="DWY141" s="204"/>
      <c r="DWZ141" s="205"/>
      <c r="DXA141" s="204"/>
      <c r="DXB141" s="205"/>
      <c r="DXC141" s="204"/>
      <c r="DXD141" s="205"/>
      <c r="DXE141" s="204"/>
      <c r="DXF141" s="205"/>
      <c r="DXG141" s="204"/>
      <c r="DXH141" s="205"/>
      <c r="DXI141" s="204"/>
      <c r="DXJ141" s="205"/>
      <c r="DXK141" s="204"/>
      <c r="DXL141" s="205"/>
      <c r="DXM141" s="204"/>
      <c r="DXN141" s="205"/>
      <c r="DXO141" s="204"/>
      <c r="DXP141" s="205"/>
      <c r="DXQ141" s="204"/>
      <c r="DXR141" s="205"/>
      <c r="DXS141" s="204"/>
      <c r="DXT141" s="205"/>
      <c r="DXU141" s="204"/>
      <c r="DXV141" s="205"/>
      <c r="DXW141" s="204"/>
      <c r="DXX141" s="205"/>
      <c r="DXY141" s="204"/>
      <c r="DXZ141" s="205"/>
      <c r="DYA141" s="204"/>
      <c r="DYB141" s="205"/>
      <c r="DYC141" s="204"/>
      <c r="DYD141" s="205"/>
      <c r="DYE141" s="204"/>
      <c r="DYF141" s="205"/>
      <c r="DYG141" s="204"/>
      <c r="DYH141" s="205"/>
      <c r="DYI141" s="204"/>
      <c r="DYJ141" s="205"/>
      <c r="DYK141" s="204"/>
      <c r="DYL141" s="205"/>
      <c r="DYM141" s="204"/>
      <c r="DYN141" s="205"/>
      <c r="DYO141" s="204"/>
      <c r="DYP141" s="205"/>
      <c r="DYQ141" s="204"/>
      <c r="DYR141" s="205"/>
      <c r="DYS141" s="204"/>
      <c r="DYT141" s="205"/>
      <c r="DYU141" s="204"/>
      <c r="DYV141" s="205"/>
      <c r="DYW141" s="204"/>
      <c r="DYX141" s="205"/>
      <c r="DYY141" s="204"/>
      <c r="DYZ141" s="205"/>
      <c r="DZA141" s="204"/>
      <c r="DZB141" s="205"/>
      <c r="DZC141" s="204"/>
      <c r="DZD141" s="205"/>
      <c r="DZE141" s="204"/>
      <c r="DZF141" s="205"/>
      <c r="DZG141" s="204"/>
      <c r="DZH141" s="205"/>
      <c r="DZI141" s="204"/>
      <c r="DZJ141" s="205"/>
      <c r="DZK141" s="204"/>
      <c r="DZL141" s="205"/>
      <c r="DZM141" s="204"/>
      <c r="DZN141" s="205"/>
      <c r="DZO141" s="204"/>
      <c r="DZP141" s="205"/>
      <c r="DZQ141" s="204"/>
      <c r="DZR141" s="205"/>
      <c r="DZS141" s="204"/>
      <c r="DZT141" s="205"/>
      <c r="DZU141" s="204"/>
      <c r="DZV141" s="205"/>
      <c r="DZW141" s="204"/>
      <c r="DZX141" s="205"/>
      <c r="DZY141" s="204"/>
      <c r="DZZ141" s="205"/>
      <c r="EAA141" s="204"/>
      <c r="EAB141" s="205"/>
      <c r="EAC141" s="204"/>
      <c r="EAD141" s="205"/>
      <c r="EAE141" s="204"/>
      <c r="EAF141" s="205"/>
      <c r="EAG141" s="204"/>
      <c r="EAH141" s="205"/>
      <c r="EAI141" s="204"/>
      <c r="EAJ141" s="205"/>
      <c r="EAK141" s="204"/>
      <c r="EAL141" s="205"/>
      <c r="EAM141" s="204"/>
      <c r="EAN141" s="205"/>
      <c r="EAO141" s="204"/>
      <c r="EAP141" s="205"/>
      <c r="EAQ141" s="204"/>
      <c r="EAR141" s="205"/>
      <c r="EAS141" s="204"/>
      <c r="EAT141" s="205"/>
      <c r="EAU141" s="204"/>
      <c r="EAV141" s="205"/>
      <c r="EAW141" s="204"/>
      <c r="EAX141" s="205"/>
      <c r="EAY141" s="204"/>
      <c r="EAZ141" s="205"/>
      <c r="EBA141" s="204"/>
      <c r="EBB141" s="205"/>
      <c r="EBC141" s="204"/>
      <c r="EBD141" s="205"/>
      <c r="EBE141" s="204"/>
      <c r="EBF141" s="205"/>
      <c r="EBG141" s="204"/>
      <c r="EBH141" s="205"/>
      <c r="EBI141" s="204"/>
      <c r="EBJ141" s="205"/>
      <c r="EBK141" s="204"/>
      <c r="EBL141" s="205"/>
      <c r="EBM141" s="204"/>
      <c r="EBN141" s="205"/>
      <c r="EBO141" s="204"/>
      <c r="EBP141" s="205"/>
      <c r="EBQ141" s="204"/>
      <c r="EBR141" s="205"/>
      <c r="EBS141" s="204"/>
      <c r="EBT141" s="205"/>
      <c r="EBU141" s="204"/>
      <c r="EBV141" s="205"/>
      <c r="EBW141" s="204"/>
      <c r="EBX141" s="205"/>
      <c r="EBY141" s="204"/>
      <c r="EBZ141" s="205"/>
      <c r="ECA141" s="204"/>
      <c r="ECB141" s="205"/>
      <c r="ECC141" s="204"/>
      <c r="ECD141" s="205"/>
      <c r="ECE141" s="204"/>
      <c r="ECF141" s="205"/>
      <c r="ECG141" s="204"/>
      <c r="ECH141" s="205"/>
      <c r="ECI141" s="204"/>
      <c r="ECJ141" s="205"/>
      <c r="ECK141" s="204"/>
      <c r="ECL141" s="205"/>
      <c r="ECM141" s="204"/>
      <c r="ECN141" s="205"/>
      <c r="ECO141" s="204"/>
      <c r="ECP141" s="205"/>
      <c r="ECQ141" s="204"/>
      <c r="ECR141" s="205"/>
      <c r="ECS141" s="204"/>
      <c r="ECT141" s="205"/>
      <c r="ECU141" s="204"/>
      <c r="ECV141" s="205"/>
      <c r="ECW141" s="204"/>
      <c r="ECX141" s="205"/>
      <c r="ECY141" s="204"/>
      <c r="ECZ141" s="205"/>
      <c r="EDA141" s="204"/>
      <c r="EDB141" s="205"/>
      <c r="EDC141" s="204"/>
      <c r="EDD141" s="205"/>
      <c r="EDE141" s="204"/>
      <c r="EDF141" s="205"/>
      <c r="EDG141" s="204"/>
      <c r="EDH141" s="205"/>
      <c r="EDI141" s="204"/>
      <c r="EDJ141" s="205"/>
      <c r="EDK141" s="204"/>
      <c r="EDL141" s="205"/>
      <c r="EDM141" s="204"/>
      <c r="EDN141" s="205"/>
      <c r="EDO141" s="204"/>
      <c r="EDP141" s="205"/>
      <c r="EDQ141" s="204"/>
      <c r="EDR141" s="205"/>
      <c r="EDS141" s="204"/>
      <c r="EDT141" s="205"/>
      <c r="EDU141" s="204"/>
      <c r="EDV141" s="205"/>
      <c r="EDW141" s="204"/>
      <c r="EDX141" s="205"/>
      <c r="EDY141" s="204"/>
      <c r="EDZ141" s="205"/>
      <c r="EEA141" s="204"/>
      <c r="EEB141" s="205"/>
      <c r="EEC141" s="204"/>
      <c r="EED141" s="205"/>
      <c r="EEE141" s="204"/>
      <c r="EEF141" s="205"/>
      <c r="EEG141" s="204"/>
      <c r="EEH141" s="205"/>
      <c r="EEI141" s="204"/>
      <c r="EEJ141" s="205"/>
      <c r="EEK141" s="204"/>
      <c r="EEL141" s="205"/>
      <c r="EEM141" s="204"/>
      <c r="EEN141" s="205"/>
      <c r="EEO141" s="204"/>
      <c r="EEP141" s="205"/>
      <c r="EEQ141" s="204"/>
      <c r="EER141" s="205"/>
      <c r="EES141" s="204"/>
      <c r="EET141" s="205"/>
      <c r="EEU141" s="204"/>
      <c r="EEV141" s="205"/>
      <c r="EEW141" s="204"/>
      <c r="EEX141" s="205"/>
      <c r="EEY141" s="204"/>
      <c r="EEZ141" s="205"/>
      <c r="EFA141" s="204"/>
      <c r="EFB141" s="205"/>
      <c r="EFC141" s="204"/>
      <c r="EFD141" s="205"/>
      <c r="EFE141" s="204"/>
      <c r="EFF141" s="205"/>
      <c r="EFG141" s="204"/>
      <c r="EFH141" s="205"/>
      <c r="EFI141" s="204"/>
      <c r="EFJ141" s="205"/>
      <c r="EFK141" s="204"/>
      <c r="EFL141" s="205"/>
      <c r="EFM141" s="204"/>
      <c r="EFN141" s="205"/>
      <c r="EFO141" s="204"/>
      <c r="EFP141" s="205"/>
      <c r="EFQ141" s="204"/>
      <c r="EFR141" s="205"/>
      <c r="EFS141" s="204"/>
      <c r="EFT141" s="205"/>
      <c r="EFU141" s="204"/>
      <c r="EFV141" s="205"/>
      <c r="EFW141" s="204"/>
      <c r="EFX141" s="205"/>
      <c r="EFY141" s="204"/>
      <c r="EFZ141" s="205"/>
      <c r="EGA141" s="204"/>
      <c r="EGB141" s="205"/>
      <c r="EGC141" s="204"/>
      <c r="EGD141" s="205"/>
      <c r="EGE141" s="204"/>
      <c r="EGF141" s="205"/>
      <c r="EGG141" s="204"/>
      <c r="EGH141" s="205"/>
      <c r="EGI141" s="204"/>
      <c r="EGJ141" s="205"/>
      <c r="EGK141" s="204"/>
      <c r="EGL141" s="205"/>
      <c r="EGM141" s="204"/>
      <c r="EGN141" s="205"/>
      <c r="EGO141" s="204"/>
      <c r="EGP141" s="205"/>
      <c r="EGQ141" s="204"/>
      <c r="EGR141" s="205"/>
      <c r="EGS141" s="204"/>
      <c r="EGT141" s="205"/>
      <c r="EGU141" s="204"/>
      <c r="EGV141" s="205"/>
      <c r="EGW141" s="204"/>
      <c r="EGX141" s="205"/>
      <c r="EGY141" s="204"/>
      <c r="EGZ141" s="205"/>
      <c r="EHA141" s="204"/>
      <c r="EHB141" s="205"/>
      <c r="EHC141" s="204"/>
      <c r="EHD141" s="205"/>
      <c r="EHE141" s="204"/>
      <c r="EHF141" s="205"/>
      <c r="EHG141" s="204"/>
      <c r="EHH141" s="205"/>
      <c r="EHI141" s="204"/>
      <c r="EHJ141" s="205"/>
      <c r="EHK141" s="204"/>
      <c r="EHL141" s="205"/>
      <c r="EHM141" s="204"/>
      <c r="EHN141" s="205"/>
      <c r="EHO141" s="204"/>
      <c r="EHP141" s="205"/>
      <c r="EHQ141" s="204"/>
      <c r="EHR141" s="205"/>
      <c r="EHS141" s="204"/>
      <c r="EHT141" s="205"/>
      <c r="EHU141" s="204"/>
      <c r="EHV141" s="205"/>
      <c r="EHW141" s="204"/>
      <c r="EHX141" s="205"/>
      <c r="EHY141" s="204"/>
      <c r="EHZ141" s="205"/>
      <c r="EIA141" s="204"/>
      <c r="EIB141" s="205"/>
      <c r="EIC141" s="204"/>
      <c r="EID141" s="205"/>
      <c r="EIE141" s="204"/>
      <c r="EIF141" s="205"/>
      <c r="EIG141" s="204"/>
      <c r="EIH141" s="205"/>
      <c r="EII141" s="204"/>
      <c r="EIJ141" s="205"/>
      <c r="EIK141" s="204"/>
      <c r="EIL141" s="205"/>
      <c r="EIM141" s="204"/>
      <c r="EIN141" s="205"/>
      <c r="EIO141" s="204"/>
      <c r="EIP141" s="205"/>
      <c r="EIQ141" s="204"/>
      <c r="EIR141" s="205"/>
      <c r="EIS141" s="204"/>
      <c r="EIT141" s="205"/>
      <c r="EIU141" s="204"/>
      <c r="EIV141" s="205"/>
      <c r="EIW141" s="204"/>
      <c r="EIX141" s="205"/>
      <c r="EIY141" s="204"/>
      <c r="EIZ141" s="205"/>
      <c r="EJA141" s="204"/>
      <c r="EJB141" s="205"/>
      <c r="EJC141" s="204"/>
      <c r="EJD141" s="205"/>
      <c r="EJE141" s="204"/>
      <c r="EJF141" s="205"/>
      <c r="EJG141" s="204"/>
      <c r="EJH141" s="205"/>
      <c r="EJI141" s="204"/>
      <c r="EJJ141" s="205"/>
      <c r="EJK141" s="204"/>
      <c r="EJL141" s="205"/>
      <c r="EJM141" s="204"/>
      <c r="EJN141" s="205"/>
      <c r="EJO141" s="204"/>
      <c r="EJP141" s="205"/>
      <c r="EJQ141" s="204"/>
      <c r="EJR141" s="205"/>
      <c r="EJS141" s="204"/>
      <c r="EJT141" s="205"/>
      <c r="EJU141" s="204"/>
      <c r="EJV141" s="205"/>
      <c r="EJW141" s="204"/>
      <c r="EJX141" s="205"/>
      <c r="EJY141" s="204"/>
      <c r="EJZ141" s="205"/>
      <c r="EKA141" s="204"/>
      <c r="EKB141" s="205"/>
      <c r="EKC141" s="204"/>
      <c r="EKD141" s="205"/>
      <c r="EKE141" s="204"/>
      <c r="EKF141" s="205"/>
      <c r="EKG141" s="204"/>
      <c r="EKH141" s="205"/>
      <c r="EKI141" s="204"/>
      <c r="EKJ141" s="205"/>
      <c r="EKK141" s="204"/>
      <c r="EKL141" s="205"/>
      <c r="EKM141" s="204"/>
      <c r="EKN141" s="205"/>
      <c r="EKO141" s="204"/>
      <c r="EKP141" s="205"/>
      <c r="EKQ141" s="204"/>
      <c r="EKR141" s="205"/>
      <c r="EKS141" s="204"/>
      <c r="EKT141" s="205"/>
      <c r="EKU141" s="204"/>
      <c r="EKV141" s="205"/>
      <c r="EKW141" s="204"/>
      <c r="EKX141" s="205"/>
      <c r="EKY141" s="204"/>
      <c r="EKZ141" s="205"/>
      <c r="ELA141" s="204"/>
      <c r="ELB141" s="205"/>
      <c r="ELC141" s="204"/>
      <c r="ELD141" s="205"/>
      <c r="ELE141" s="204"/>
      <c r="ELF141" s="205"/>
      <c r="ELG141" s="204"/>
      <c r="ELH141" s="205"/>
      <c r="ELI141" s="204"/>
      <c r="ELJ141" s="205"/>
      <c r="ELK141" s="204"/>
      <c r="ELL141" s="205"/>
      <c r="ELM141" s="204"/>
      <c r="ELN141" s="205"/>
      <c r="ELO141" s="204"/>
      <c r="ELP141" s="205"/>
      <c r="ELQ141" s="204"/>
      <c r="ELR141" s="205"/>
      <c r="ELS141" s="204"/>
      <c r="ELT141" s="205"/>
      <c r="ELU141" s="204"/>
      <c r="ELV141" s="205"/>
      <c r="ELW141" s="204"/>
      <c r="ELX141" s="205"/>
      <c r="ELY141" s="204"/>
      <c r="ELZ141" s="205"/>
      <c r="EMA141" s="204"/>
      <c r="EMB141" s="205"/>
      <c r="EMC141" s="204"/>
      <c r="EMD141" s="205"/>
      <c r="EME141" s="204"/>
      <c r="EMF141" s="205"/>
      <c r="EMG141" s="204"/>
      <c r="EMH141" s="205"/>
      <c r="EMI141" s="204"/>
      <c r="EMJ141" s="205"/>
      <c r="EMK141" s="204"/>
      <c r="EML141" s="205"/>
      <c r="EMM141" s="204"/>
      <c r="EMN141" s="205"/>
      <c r="EMO141" s="204"/>
      <c r="EMP141" s="205"/>
      <c r="EMQ141" s="204"/>
      <c r="EMR141" s="205"/>
      <c r="EMS141" s="204"/>
      <c r="EMT141" s="205"/>
      <c r="EMU141" s="204"/>
      <c r="EMV141" s="205"/>
      <c r="EMW141" s="204"/>
      <c r="EMX141" s="205"/>
      <c r="EMY141" s="204"/>
      <c r="EMZ141" s="205"/>
      <c r="ENA141" s="204"/>
      <c r="ENB141" s="205"/>
      <c r="ENC141" s="204"/>
      <c r="END141" s="205"/>
      <c r="ENE141" s="204"/>
      <c r="ENF141" s="205"/>
      <c r="ENG141" s="204"/>
      <c r="ENH141" s="205"/>
      <c r="ENI141" s="204"/>
      <c r="ENJ141" s="205"/>
      <c r="ENK141" s="204"/>
      <c r="ENL141" s="205"/>
      <c r="ENM141" s="204"/>
      <c r="ENN141" s="205"/>
      <c r="ENO141" s="204"/>
      <c r="ENP141" s="205"/>
      <c r="ENQ141" s="204"/>
      <c r="ENR141" s="205"/>
      <c r="ENS141" s="204"/>
      <c r="ENT141" s="205"/>
      <c r="ENU141" s="204"/>
      <c r="ENV141" s="205"/>
      <c r="ENW141" s="204"/>
      <c r="ENX141" s="205"/>
      <c r="ENY141" s="204"/>
      <c r="ENZ141" s="205"/>
      <c r="EOA141" s="204"/>
      <c r="EOB141" s="205"/>
      <c r="EOC141" s="204"/>
      <c r="EOD141" s="205"/>
      <c r="EOE141" s="204"/>
      <c r="EOF141" s="205"/>
      <c r="EOG141" s="204"/>
      <c r="EOH141" s="205"/>
      <c r="EOI141" s="204"/>
      <c r="EOJ141" s="205"/>
      <c r="EOK141" s="204"/>
      <c r="EOL141" s="205"/>
      <c r="EOM141" s="204"/>
      <c r="EON141" s="205"/>
      <c r="EOO141" s="204"/>
      <c r="EOP141" s="205"/>
      <c r="EOQ141" s="204"/>
      <c r="EOR141" s="205"/>
      <c r="EOS141" s="204"/>
      <c r="EOT141" s="205"/>
      <c r="EOU141" s="204"/>
      <c r="EOV141" s="205"/>
      <c r="EOW141" s="204"/>
      <c r="EOX141" s="205"/>
      <c r="EOY141" s="204"/>
      <c r="EOZ141" s="205"/>
      <c r="EPA141" s="204"/>
      <c r="EPB141" s="205"/>
      <c r="EPC141" s="204"/>
      <c r="EPD141" s="205"/>
      <c r="EPE141" s="204"/>
      <c r="EPF141" s="205"/>
      <c r="EPG141" s="204"/>
      <c r="EPH141" s="205"/>
      <c r="EPI141" s="204"/>
      <c r="EPJ141" s="205"/>
      <c r="EPK141" s="204"/>
      <c r="EPL141" s="205"/>
      <c r="EPM141" s="204"/>
      <c r="EPN141" s="205"/>
      <c r="EPO141" s="204"/>
      <c r="EPP141" s="205"/>
      <c r="EPQ141" s="204"/>
      <c r="EPR141" s="205"/>
      <c r="EPS141" s="204"/>
      <c r="EPT141" s="205"/>
      <c r="EPU141" s="204"/>
      <c r="EPV141" s="205"/>
      <c r="EPW141" s="204"/>
      <c r="EPX141" s="205"/>
      <c r="EPY141" s="204"/>
      <c r="EPZ141" s="205"/>
      <c r="EQA141" s="204"/>
      <c r="EQB141" s="205"/>
      <c r="EQC141" s="204"/>
      <c r="EQD141" s="205"/>
      <c r="EQE141" s="204"/>
      <c r="EQF141" s="205"/>
      <c r="EQG141" s="204"/>
      <c r="EQH141" s="205"/>
      <c r="EQI141" s="204"/>
      <c r="EQJ141" s="205"/>
      <c r="EQK141" s="204"/>
      <c r="EQL141" s="205"/>
      <c r="EQM141" s="204"/>
      <c r="EQN141" s="205"/>
      <c r="EQO141" s="204"/>
      <c r="EQP141" s="205"/>
      <c r="EQQ141" s="204"/>
      <c r="EQR141" s="205"/>
      <c r="EQS141" s="204"/>
      <c r="EQT141" s="205"/>
      <c r="EQU141" s="204"/>
      <c r="EQV141" s="205"/>
      <c r="EQW141" s="204"/>
      <c r="EQX141" s="205"/>
      <c r="EQY141" s="204"/>
      <c r="EQZ141" s="205"/>
      <c r="ERA141" s="204"/>
      <c r="ERB141" s="205"/>
      <c r="ERC141" s="204"/>
      <c r="ERD141" s="205"/>
      <c r="ERE141" s="204"/>
      <c r="ERF141" s="205"/>
      <c r="ERG141" s="204"/>
      <c r="ERH141" s="205"/>
      <c r="ERI141" s="204"/>
      <c r="ERJ141" s="205"/>
      <c r="ERK141" s="204"/>
      <c r="ERL141" s="205"/>
      <c r="ERM141" s="204"/>
      <c r="ERN141" s="205"/>
      <c r="ERO141" s="204"/>
      <c r="ERP141" s="205"/>
      <c r="ERQ141" s="204"/>
      <c r="ERR141" s="205"/>
      <c r="ERS141" s="204"/>
      <c r="ERT141" s="205"/>
      <c r="ERU141" s="204"/>
      <c r="ERV141" s="205"/>
      <c r="ERW141" s="204"/>
      <c r="ERX141" s="205"/>
      <c r="ERY141" s="204"/>
      <c r="ERZ141" s="205"/>
      <c r="ESA141" s="204"/>
      <c r="ESB141" s="205"/>
      <c r="ESC141" s="204"/>
      <c r="ESD141" s="205"/>
      <c r="ESE141" s="204"/>
      <c r="ESF141" s="205"/>
      <c r="ESG141" s="204"/>
      <c r="ESH141" s="205"/>
      <c r="ESI141" s="204"/>
      <c r="ESJ141" s="205"/>
      <c r="ESK141" s="204"/>
      <c r="ESL141" s="205"/>
      <c r="ESM141" s="204"/>
      <c r="ESN141" s="205"/>
      <c r="ESO141" s="204"/>
      <c r="ESP141" s="205"/>
      <c r="ESQ141" s="204"/>
      <c r="ESR141" s="205"/>
      <c r="ESS141" s="204"/>
      <c r="EST141" s="205"/>
      <c r="ESU141" s="204"/>
      <c r="ESV141" s="205"/>
      <c r="ESW141" s="204"/>
      <c r="ESX141" s="205"/>
      <c r="ESY141" s="204"/>
      <c r="ESZ141" s="205"/>
      <c r="ETA141" s="204"/>
      <c r="ETB141" s="205"/>
      <c r="ETC141" s="204"/>
      <c r="ETD141" s="205"/>
      <c r="ETE141" s="204"/>
      <c r="ETF141" s="205"/>
      <c r="ETG141" s="204"/>
      <c r="ETH141" s="205"/>
      <c r="ETI141" s="204"/>
      <c r="ETJ141" s="205"/>
      <c r="ETK141" s="204"/>
      <c r="ETL141" s="205"/>
      <c r="ETM141" s="204"/>
      <c r="ETN141" s="205"/>
      <c r="ETO141" s="204"/>
      <c r="ETP141" s="205"/>
      <c r="ETQ141" s="204"/>
      <c r="ETR141" s="205"/>
      <c r="ETS141" s="204"/>
      <c r="ETT141" s="205"/>
      <c r="ETU141" s="204"/>
      <c r="ETV141" s="205"/>
      <c r="ETW141" s="204"/>
      <c r="ETX141" s="205"/>
      <c r="ETY141" s="204"/>
      <c r="ETZ141" s="205"/>
      <c r="EUA141" s="204"/>
      <c r="EUB141" s="205"/>
      <c r="EUC141" s="204"/>
      <c r="EUD141" s="205"/>
      <c r="EUE141" s="204"/>
      <c r="EUF141" s="205"/>
      <c r="EUG141" s="204"/>
      <c r="EUH141" s="205"/>
      <c r="EUI141" s="204"/>
      <c r="EUJ141" s="205"/>
      <c r="EUK141" s="204"/>
      <c r="EUL141" s="205"/>
      <c r="EUM141" s="204"/>
      <c r="EUN141" s="205"/>
      <c r="EUO141" s="204"/>
      <c r="EUP141" s="205"/>
      <c r="EUQ141" s="204"/>
      <c r="EUR141" s="205"/>
      <c r="EUS141" s="204"/>
      <c r="EUT141" s="205"/>
      <c r="EUU141" s="204"/>
      <c r="EUV141" s="205"/>
      <c r="EUW141" s="204"/>
      <c r="EUX141" s="205"/>
      <c r="EUY141" s="204"/>
      <c r="EUZ141" s="205"/>
      <c r="EVA141" s="204"/>
      <c r="EVB141" s="205"/>
      <c r="EVC141" s="204"/>
      <c r="EVD141" s="205"/>
      <c r="EVE141" s="204"/>
      <c r="EVF141" s="205"/>
      <c r="EVG141" s="204"/>
      <c r="EVH141" s="205"/>
      <c r="EVI141" s="204"/>
      <c r="EVJ141" s="205"/>
      <c r="EVK141" s="204"/>
      <c r="EVL141" s="205"/>
      <c r="EVM141" s="204"/>
      <c r="EVN141" s="205"/>
      <c r="EVO141" s="204"/>
      <c r="EVP141" s="205"/>
      <c r="EVQ141" s="204"/>
      <c r="EVR141" s="205"/>
      <c r="EVS141" s="204"/>
      <c r="EVT141" s="205"/>
      <c r="EVU141" s="204"/>
      <c r="EVV141" s="205"/>
      <c r="EVW141" s="204"/>
      <c r="EVX141" s="205"/>
      <c r="EVY141" s="204"/>
      <c r="EVZ141" s="205"/>
      <c r="EWA141" s="204"/>
      <c r="EWB141" s="205"/>
      <c r="EWC141" s="204"/>
      <c r="EWD141" s="205"/>
      <c r="EWE141" s="204"/>
      <c r="EWF141" s="205"/>
      <c r="EWG141" s="204"/>
      <c r="EWH141" s="205"/>
      <c r="EWI141" s="204"/>
      <c r="EWJ141" s="205"/>
      <c r="EWK141" s="204"/>
      <c r="EWL141" s="205"/>
      <c r="EWM141" s="204"/>
      <c r="EWN141" s="205"/>
      <c r="EWO141" s="204"/>
      <c r="EWP141" s="205"/>
      <c r="EWQ141" s="204"/>
      <c r="EWR141" s="205"/>
      <c r="EWS141" s="204"/>
      <c r="EWT141" s="205"/>
      <c r="EWU141" s="204"/>
      <c r="EWV141" s="205"/>
      <c r="EWW141" s="204"/>
      <c r="EWX141" s="205"/>
      <c r="EWY141" s="204"/>
      <c r="EWZ141" s="205"/>
      <c r="EXA141" s="204"/>
      <c r="EXB141" s="205"/>
      <c r="EXC141" s="204"/>
      <c r="EXD141" s="205"/>
      <c r="EXE141" s="204"/>
      <c r="EXF141" s="205"/>
      <c r="EXG141" s="204"/>
      <c r="EXH141" s="205"/>
      <c r="EXI141" s="204"/>
      <c r="EXJ141" s="205"/>
      <c r="EXK141" s="204"/>
      <c r="EXL141" s="205"/>
      <c r="EXM141" s="204"/>
      <c r="EXN141" s="205"/>
      <c r="EXO141" s="204"/>
      <c r="EXP141" s="205"/>
      <c r="EXQ141" s="204"/>
      <c r="EXR141" s="205"/>
      <c r="EXS141" s="204"/>
      <c r="EXT141" s="205"/>
      <c r="EXU141" s="204"/>
      <c r="EXV141" s="205"/>
      <c r="EXW141" s="204"/>
      <c r="EXX141" s="205"/>
      <c r="EXY141" s="204"/>
      <c r="EXZ141" s="205"/>
      <c r="EYA141" s="204"/>
      <c r="EYB141" s="205"/>
      <c r="EYC141" s="204"/>
      <c r="EYD141" s="205"/>
      <c r="EYE141" s="204"/>
      <c r="EYF141" s="205"/>
      <c r="EYG141" s="204"/>
      <c r="EYH141" s="205"/>
      <c r="EYI141" s="204"/>
      <c r="EYJ141" s="205"/>
      <c r="EYK141" s="204"/>
      <c r="EYL141" s="205"/>
      <c r="EYM141" s="204"/>
      <c r="EYN141" s="205"/>
      <c r="EYO141" s="204"/>
      <c r="EYP141" s="205"/>
      <c r="EYQ141" s="204"/>
      <c r="EYR141" s="205"/>
      <c r="EYS141" s="204"/>
      <c r="EYT141" s="205"/>
      <c r="EYU141" s="204"/>
      <c r="EYV141" s="205"/>
      <c r="EYW141" s="204"/>
      <c r="EYX141" s="205"/>
      <c r="EYY141" s="204"/>
      <c r="EYZ141" s="205"/>
      <c r="EZA141" s="204"/>
      <c r="EZB141" s="205"/>
      <c r="EZC141" s="204"/>
      <c r="EZD141" s="205"/>
      <c r="EZE141" s="204"/>
      <c r="EZF141" s="205"/>
      <c r="EZG141" s="204"/>
      <c r="EZH141" s="205"/>
      <c r="EZI141" s="204"/>
      <c r="EZJ141" s="205"/>
      <c r="EZK141" s="204"/>
      <c r="EZL141" s="205"/>
      <c r="EZM141" s="204"/>
      <c r="EZN141" s="205"/>
      <c r="EZO141" s="204"/>
      <c r="EZP141" s="205"/>
      <c r="EZQ141" s="204"/>
      <c r="EZR141" s="205"/>
      <c r="EZS141" s="204"/>
      <c r="EZT141" s="205"/>
      <c r="EZU141" s="204"/>
      <c r="EZV141" s="205"/>
      <c r="EZW141" s="204"/>
      <c r="EZX141" s="205"/>
      <c r="EZY141" s="204"/>
      <c r="EZZ141" s="205"/>
      <c r="FAA141" s="204"/>
      <c r="FAB141" s="205"/>
      <c r="FAC141" s="204"/>
      <c r="FAD141" s="205"/>
      <c r="FAE141" s="204"/>
      <c r="FAF141" s="205"/>
      <c r="FAG141" s="204"/>
      <c r="FAH141" s="205"/>
      <c r="FAI141" s="204"/>
      <c r="FAJ141" s="205"/>
      <c r="FAK141" s="204"/>
      <c r="FAL141" s="205"/>
      <c r="FAM141" s="204"/>
      <c r="FAN141" s="205"/>
      <c r="FAO141" s="204"/>
      <c r="FAP141" s="205"/>
      <c r="FAQ141" s="204"/>
      <c r="FAR141" s="205"/>
      <c r="FAS141" s="204"/>
      <c r="FAT141" s="205"/>
      <c r="FAU141" s="204"/>
      <c r="FAV141" s="205"/>
      <c r="FAW141" s="204"/>
      <c r="FAX141" s="205"/>
      <c r="FAY141" s="204"/>
      <c r="FAZ141" s="205"/>
      <c r="FBA141" s="204"/>
      <c r="FBB141" s="205"/>
      <c r="FBC141" s="204"/>
      <c r="FBD141" s="205"/>
      <c r="FBE141" s="204"/>
      <c r="FBF141" s="205"/>
      <c r="FBG141" s="204"/>
      <c r="FBH141" s="205"/>
      <c r="FBI141" s="204"/>
      <c r="FBJ141" s="205"/>
      <c r="FBK141" s="204"/>
      <c r="FBL141" s="205"/>
      <c r="FBM141" s="204"/>
      <c r="FBN141" s="205"/>
      <c r="FBO141" s="204"/>
      <c r="FBP141" s="205"/>
      <c r="FBQ141" s="204"/>
      <c r="FBR141" s="205"/>
      <c r="FBS141" s="204"/>
      <c r="FBT141" s="205"/>
      <c r="FBU141" s="204"/>
      <c r="FBV141" s="205"/>
      <c r="FBW141" s="204"/>
      <c r="FBX141" s="205"/>
      <c r="FBY141" s="204"/>
      <c r="FBZ141" s="205"/>
      <c r="FCA141" s="204"/>
      <c r="FCB141" s="205"/>
      <c r="FCC141" s="204"/>
      <c r="FCD141" s="205"/>
      <c r="FCE141" s="204"/>
      <c r="FCF141" s="205"/>
      <c r="FCG141" s="204"/>
      <c r="FCH141" s="205"/>
      <c r="FCI141" s="204"/>
      <c r="FCJ141" s="205"/>
      <c r="FCK141" s="204"/>
      <c r="FCL141" s="205"/>
      <c r="FCM141" s="204"/>
      <c r="FCN141" s="205"/>
      <c r="FCO141" s="204"/>
      <c r="FCP141" s="205"/>
      <c r="FCQ141" s="204"/>
      <c r="FCR141" s="205"/>
      <c r="FCS141" s="204"/>
      <c r="FCT141" s="205"/>
      <c r="FCU141" s="204"/>
      <c r="FCV141" s="205"/>
      <c r="FCW141" s="204"/>
      <c r="FCX141" s="205"/>
      <c r="FCY141" s="204"/>
      <c r="FCZ141" s="205"/>
      <c r="FDA141" s="204"/>
      <c r="FDB141" s="205"/>
      <c r="FDC141" s="204"/>
      <c r="FDD141" s="205"/>
      <c r="FDE141" s="204"/>
      <c r="FDF141" s="205"/>
      <c r="FDG141" s="204"/>
      <c r="FDH141" s="205"/>
      <c r="FDI141" s="204"/>
      <c r="FDJ141" s="205"/>
      <c r="FDK141" s="204"/>
      <c r="FDL141" s="205"/>
      <c r="FDM141" s="204"/>
      <c r="FDN141" s="205"/>
      <c r="FDO141" s="204"/>
      <c r="FDP141" s="205"/>
      <c r="FDQ141" s="204"/>
      <c r="FDR141" s="205"/>
      <c r="FDS141" s="204"/>
      <c r="FDT141" s="205"/>
      <c r="FDU141" s="204"/>
      <c r="FDV141" s="205"/>
      <c r="FDW141" s="204"/>
      <c r="FDX141" s="205"/>
      <c r="FDY141" s="204"/>
      <c r="FDZ141" s="205"/>
      <c r="FEA141" s="204"/>
      <c r="FEB141" s="205"/>
      <c r="FEC141" s="204"/>
      <c r="FED141" s="205"/>
      <c r="FEE141" s="204"/>
      <c r="FEF141" s="205"/>
      <c r="FEG141" s="204"/>
      <c r="FEH141" s="205"/>
      <c r="FEI141" s="204"/>
      <c r="FEJ141" s="205"/>
      <c r="FEK141" s="204"/>
      <c r="FEL141" s="205"/>
      <c r="FEM141" s="204"/>
      <c r="FEN141" s="205"/>
      <c r="FEO141" s="204"/>
      <c r="FEP141" s="205"/>
      <c r="FEQ141" s="204"/>
      <c r="FER141" s="205"/>
      <c r="FES141" s="204"/>
      <c r="FET141" s="205"/>
      <c r="FEU141" s="204"/>
      <c r="FEV141" s="205"/>
      <c r="FEW141" s="204"/>
      <c r="FEX141" s="205"/>
      <c r="FEY141" s="204"/>
      <c r="FEZ141" s="205"/>
      <c r="FFA141" s="204"/>
      <c r="FFB141" s="205"/>
      <c r="FFC141" s="204"/>
      <c r="FFD141" s="205"/>
      <c r="FFE141" s="204"/>
      <c r="FFF141" s="205"/>
      <c r="FFG141" s="204"/>
      <c r="FFH141" s="205"/>
      <c r="FFI141" s="204"/>
      <c r="FFJ141" s="205"/>
      <c r="FFK141" s="204"/>
      <c r="FFL141" s="205"/>
      <c r="FFM141" s="204"/>
      <c r="FFN141" s="205"/>
      <c r="FFO141" s="204"/>
      <c r="FFP141" s="205"/>
      <c r="FFQ141" s="204"/>
      <c r="FFR141" s="205"/>
      <c r="FFS141" s="204"/>
      <c r="FFT141" s="205"/>
      <c r="FFU141" s="204"/>
      <c r="FFV141" s="205"/>
      <c r="FFW141" s="204"/>
      <c r="FFX141" s="205"/>
      <c r="FFY141" s="204"/>
      <c r="FFZ141" s="205"/>
      <c r="FGA141" s="204"/>
      <c r="FGB141" s="205"/>
      <c r="FGC141" s="204"/>
      <c r="FGD141" s="205"/>
      <c r="FGE141" s="204"/>
      <c r="FGF141" s="205"/>
      <c r="FGG141" s="204"/>
      <c r="FGH141" s="205"/>
      <c r="FGI141" s="204"/>
      <c r="FGJ141" s="205"/>
      <c r="FGK141" s="204"/>
      <c r="FGL141" s="205"/>
      <c r="FGM141" s="204"/>
      <c r="FGN141" s="205"/>
      <c r="FGO141" s="204"/>
      <c r="FGP141" s="205"/>
      <c r="FGQ141" s="204"/>
      <c r="FGR141" s="205"/>
      <c r="FGS141" s="204"/>
      <c r="FGT141" s="205"/>
      <c r="FGU141" s="204"/>
      <c r="FGV141" s="205"/>
      <c r="FGW141" s="204"/>
      <c r="FGX141" s="205"/>
      <c r="FGY141" s="204"/>
      <c r="FGZ141" s="205"/>
      <c r="FHA141" s="204"/>
      <c r="FHB141" s="205"/>
      <c r="FHC141" s="204"/>
      <c r="FHD141" s="205"/>
      <c r="FHE141" s="204"/>
      <c r="FHF141" s="205"/>
      <c r="FHG141" s="204"/>
      <c r="FHH141" s="205"/>
      <c r="FHI141" s="204"/>
      <c r="FHJ141" s="205"/>
      <c r="FHK141" s="204"/>
      <c r="FHL141" s="205"/>
      <c r="FHM141" s="204"/>
      <c r="FHN141" s="205"/>
      <c r="FHO141" s="204"/>
      <c r="FHP141" s="205"/>
      <c r="FHQ141" s="204"/>
      <c r="FHR141" s="205"/>
      <c r="FHS141" s="204"/>
      <c r="FHT141" s="205"/>
      <c r="FHU141" s="204"/>
      <c r="FHV141" s="205"/>
      <c r="FHW141" s="204"/>
      <c r="FHX141" s="205"/>
      <c r="FHY141" s="204"/>
      <c r="FHZ141" s="205"/>
      <c r="FIA141" s="204"/>
      <c r="FIB141" s="205"/>
      <c r="FIC141" s="204"/>
      <c r="FID141" s="205"/>
      <c r="FIE141" s="204"/>
      <c r="FIF141" s="205"/>
      <c r="FIG141" s="204"/>
      <c r="FIH141" s="205"/>
      <c r="FII141" s="204"/>
      <c r="FIJ141" s="205"/>
      <c r="FIK141" s="204"/>
      <c r="FIL141" s="205"/>
      <c r="FIM141" s="204"/>
      <c r="FIN141" s="205"/>
      <c r="FIO141" s="204"/>
      <c r="FIP141" s="205"/>
      <c r="FIQ141" s="204"/>
      <c r="FIR141" s="205"/>
      <c r="FIS141" s="204"/>
      <c r="FIT141" s="205"/>
      <c r="FIU141" s="204"/>
      <c r="FIV141" s="205"/>
      <c r="FIW141" s="204"/>
      <c r="FIX141" s="205"/>
      <c r="FIY141" s="204"/>
      <c r="FIZ141" s="205"/>
      <c r="FJA141" s="204"/>
      <c r="FJB141" s="205"/>
      <c r="FJC141" s="204"/>
      <c r="FJD141" s="205"/>
      <c r="FJE141" s="204"/>
      <c r="FJF141" s="205"/>
      <c r="FJG141" s="204"/>
      <c r="FJH141" s="205"/>
      <c r="FJI141" s="204"/>
      <c r="FJJ141" s="205"/>
      <c r="FJK141" s="204"/>
      <c r="FJL141" s="205"/>
      <c r="FJM141" s="204"/>
      <c r="FJN141" s="205"/>
      <c r="FJO141" s="204"/>
      <c r="FJP141" s="205"/>
      <c r="FJQ141" s="204"/>
      <c r="FJR141" s="205"/>
      <c r="FJS141" s="204"/>
      <c r="FJT141" s="205"/>
      <c r="FJU141" s="204"/>
      <c r="FJV141" s="205"/>
      <c r="FJW141" s="204"/>
      <c r="FJX141" s="205"/>
      <c r="FJY141" s="204"/>
      <c r="FJZ141" s="205"/>
      <c r="FKA141" s="204"/>
      <c r="FKB141" s="205"/>
      <c r="FKC141" s="204"/>
      <c r="FKD141" s="205"/>
      <c r="FKE141" s="204"/>
      <c r="FKF141" s="205"/>
      <c r="FKG141" s="204"/>
      <c r="FKH141" s="205"/>
      <c r="FKI141" s="204"/>
      <c r="FKJ141" s="205"/>
      <c r="FKK141" s="204"/>
      <c r="FKL141" s="205"/>
      <c r="FKM141" s="204"/>
      <c r="FKN141" s="205"/>
      <c r="FKO141" s="204"/>
      <c r="FKP141" s="205"/>
      <c r="FKQ141" s="204"/>
      <c r="FKR141" s="205"/>
      <c r="FKS141" s="204"/>
      <c r="FKT141" s="205"/>
      <c r="FKU141" s="204"/>
      <c r="FKV141" s="205"/>
      <c r="FKW141" s="204"/>
      <c r="FKX141" s="205"/>
      <c r="FKY141" s="204"/>
      <c r="FKZ141" s="205"/>
      <c r="FLA141" s="204"/>
      <c r="FLB141" s="205"/>
      <c r="FLC141" s="204"/>
      <c r="FLD141" s="205"/>
      <c r="FLE141" s="204"/>
      <c r="FLF141" s="205"/>
      <c r="FLG141" s="204"/>
      <c r="FLH141" s="205"/>
      <c r="FLI141" s="204"/>
      <c r="FLJ141" s="205"/>
      <c r="FLK141" s="204"/>
      <c r="FLL141" s="205"/>
      <c r="FLM141" s="204"/>
      <c r="FLN141" s="205"/>
      <c r="FLO141" s="204"/>
      <c r="FLP141" s="205"/>
      <c r="FLQ141" s="204"/>
      <c r="FLR141" s="205"/>
      <c r="FLS141" s="204"/>
      <c r="FLT141" s="205"/>
      <c r="FLU141" s="204"/>
      <c r="FLV141" s="205"/>
      <c r="FLW141" s="204"/>
      <c r="FLX141" s="205"/>
      <c r="FLY141" s="204"/>
      <c r="FLZ141" s="205"/>
      <c r="FMA141" s="204"/>
      <c r="FMB141" s="205"/>
      <c r="FMC141" s="204"/>
      <c r="FMD141" s="205"/>
      <c r="FME141" s="204"/>
      <c r="FMF141" s="205"/>
      <c r="FMG141" s="204"/>
      <c r="FMH141" s="205"/>
      <c r="FMI141" s="204"/>
      <c r="FMJ141" s="205"/>
      <c r="FMK141" s="204"/>
      <c r="FML141" s="205"/>
      <c r="FMM141" s="204"/>
      <c r="FMN141" s="205"/>
      <c r="FMO141" s="204"/>
      <c r="FMP141" s="205"/>
      <c r="FMQ141" s="204"/>
      <c r="FMR141" s="205"/>
      <c r="FMS141" s="204"/>
      <c r="FMT141" s="205"/>
      <c r="FMU141" s="204"/>
      <c r="FMV141" s="205"/>
      <c r="FMW141" s="204"/>
      <c r="FMX141" s="205"/>
      <c r="FMY141" s="204"/>
      <c r="FMZ141" s="205"/>
      <c r="FNA141" s="204"/>
      <c r="FNB141" s="205"/>
      <c r="FNC141" s="204"/>
      <c r="FND141" s="205"/>
      <c r="FNE141" s="204"/>
      <c r="FNF141" s="205"/>
      <c r="FNG141" s="204"/>
      <c r="FNH141" s="205"/>
      <c r="FNI141" s="204"/>
      <c r="FNJ141" s="205"/>
      <c r="FNK141" s="204"/>
      <c r="FNL141" s="205"/>
      <c r="FNM141" s="204"/>
      <c r="FNN141" s="205"/>
      <c r="FNO141" s="204"/>
      <c r="FNP141" s="205"/>
      <c r="FNQ141" s="204"/>
      <c r="FNR141" s="205"/>
      <c r="FNS141" s="204"/>
      <c r="FNT141" s="205"/>
      <c r="FNU141" s="204"/>
      <c r="FNV141" s="205"/>
      <c r="FNW141" s="204"/>
      <c r="FNX141" s="205"/>
      <c r="FNY141" s="204"/>
      <c r="FNZ141" s="205"/>
      <c r="FOA141" s="204"/>
      <c r="FOB141" s="205"/>
      <c r="FOC141" s="204"/>
      <c r="FOD141" s="205"/>
      <c r="FOE141" s="204"/>
      <c r="FOF141" s="205"/>
      <c r="FOG141" s="204"/>
      <c r="FOH141" s="205"/>
      <c r="FOI141" s="204"/>
      <c r="FOJ141" s="205"/>
      <c r="FOK141" s="204"/>
      <c r="FOL141" s="205"/>
      <c r="FOM141" s="204"/>
      <c r="FON141" s="205"/>
      <c r="FOO141" s="204"/>
      <c r="FOP141" s="205"/>
      <c r="FOQ141" s="204"/>
      <c r="FOR141" s="205"/>
      <c r="FOS141" s="204"/>
      <c r="FOT141" s="205"/>
      <c r="FOU141" s="204"/>
      <c r="FOV141" s="205"/>
      <c r="FOW141" s="204"/>
      <c r="FOX141" s="205"/>
      <c r="FOY141" s="204"/>
      <c r="FOZ141" s="205"/>
      <c r="FPA141" s="204"/>
      <c r="FPB141" s="205"/>
      <c r="FPC141" s="204"/>
      <c r="FPD141" s="205"/>
      <c r="FPE141" s="204"/>
      <c r="FPF141" s="205"/>
      <c r="FPG141" s="204"/>
      <c r="FPH141" s="205"/>
      <c r="FPI141" s="204"/>
      <c r="FPJ141" s="205"/>
      <c r="FPK141" s="204"/>
      <c r="FPL141" s="205"/>
      <c r="FPM141" s="204"/>
      <c r="FPN141" s="205"/>
      <c r="FPO141" s="204"/>
      <c r="FPP141" s="205"/>
      <c r="FPQ141" s="204"/>
      <c r="FPR141" s="205"/>
      <c r="FPS141" s="204"/>
      <c r="FPT141" s="205"/>
      <c r="FPU141" s="204"/>
      <c r="FPV141" s="205"/>
      <c r="FPW141" s="204"/>
      <c r="FPX141" s="205"/>
      <c r="FPY141" s="204"/>
      <c r="FPZ141" s="205"/>
      <c r="FQA141" s="204"/>
      <c r="FQB141" s="205"/>
      <c r="FQC141" s="204"/>
      <c r="FQD141" s="205"/>
      <c r="FQE141" s="204"/>
      <c r="FQF141" s="205"/>
      <c r="FQG141" s="204"/>
      <c r="FQH141" s="205"/>
      <c r="FQI141" s="204"/>
      <c r="FQJ141" s="205"/>
      <c r="FQK141" s="204"/>
      <c r="FQL141" s="205"/>
      <c r="FQM141" s="204"/>
      <c r="FQN141" s="205"/>
      <c r="FQO141" s="204"/>
      <c r="FQP141" s="205"/>
      <c r="FQQ141" s="204"/>
      <c r="FQR141" s="205"/>
      <c r="FQS141" s="204"/>
      <c r="FQT141" s="205"/>
      <c r="FQU141" s="204"/>
      <c r="FQV141" s="205"/>
      <c r="FQW141" s="204"/>
      <c r="FQX141" s="205"/>
      <c r="FQY141" s="204"/>
      <c r="FQZ141" s="205"/>
      <c r="FRA141" s="204"/>
      <c r="FRB141" s="205"/>
      <c r="FRC141" s="204"/>
      <c r="FRD141" s="205"/>
      <c r="FRE141" s="204"/>
      <c r="FRF141" s="205"/>
      <c r="FRG141" s="204"/>
      <c r="FRH141" s="205"/>
      <c r="FRI141" s="204"/>
      <c r="FRJ141" s="205"/>
      <c r="FRK141" s="204"/>
      <c r="FRL141" s="205"/>
      <c r="FRM141" s="204"/>
      <c r="FRN141" s="205"/>
      <c r="FRO141" s="204"/>
      <c r="FRP141" s="205"/>
      <c r="FRQ141" s="204"/>
      <c r="FRR141" s="205"/>
      <c r="FRS141" s="204"/>
      <c r="FRT141" s="205"/>
      <c r="FRU141" s="204"/>
      <c r="FRV141" s="205"/>
      <c r="FRW141" s="204"/>
      <c r="FRX141" s="205"/>
      <c r="FRY141" s="204"/>
      <c r="FRZ141" s="205"/>
      <c r="FSA141" s="204"/>
      <c r="FSB141" s="205"/>
      <c r="FSC141" s="204"/>
      <c r="FSD141" s="205"/>
      <c r="FSE141" s="204"/>
      <c r="FSF141" s="205"/>
      <c r="FSG141" s="204"/>
      <c r="FSH141" s="205"/>
      <c r="FSI141" s="204"/>
      <c r="FSJ141" s="205"/>
      <c r="FSK141" s="204"/>
      <c r="FSL141" s="205"/>
      <c r="FSM141" s="204"/>
      <c r="FSN141" s="205"/>
      <c r="FSO141" s="204"/>
      <c r="FSP141" s="205"/>
      <c r="FSQ141" s="204"/>
      <c r="FSR141" s="205"/>
      <c r="FSS141" s="204"/>
      <c r="FST141" s="205"/>
      <c r="FSU141" s="204"/>
      <c r="FSV141" s="205"/>
      <c r="FSW141" s="204"/>
      <c r="FSX141" s="205"/>
      <c r="FSY141" s="204"/>
      <c r="FSZ141" s="205"/>
      <c r="FTA141" s="204"/>
      <c r="FTB141" s="205"/>
      <c r="FTC141" s="204"/>
      <c r="FTD141" s="205"/>
      <c r="FTE141" s="204"/>
      <c r="FTF141" s="205"/>
      <c r="FTG141" s="204"/>
      <c r="FTH141" s="205"/>
      <c r="FTI141" s="204"/>
      <c r="FTJ141" s="205"/>
      <c r="FTK141" s="204"/>
      <c r="FTL141" s="205"/>
      <c r="FTM141" s="204"/>
      <c r="FTN141" s="205"/>
      <c r="FTO141" s="204"/>
      <c r="FTP141" s="205"/>
      <c r="FTQ141" s="204"/>
      <c r="FTR141" s="205"/>
      <c r="FTS141" s="204"/>
      <c r="FTT141" s="205"/>
      <c r="FTU141" s="204"/>
      <c r="FTV141" s="205"/>
      <c r="FTW141" s="204"/>
      <c r="FTX141" s="205"/>
      <c r="FTY141" s="204"/>
      <c r="FTZ141" s="205"/>
      <c r="FUA141" s="204"/>
      <c r="FUB141" s="205"/>
      <c r="FUC141" s="204"/>
      <c r="FUD141" s="205"/>
      <c r="FUE141" s="204"/>
      <c r="FUF141" s="205"/>
      <c r="FUG141" s="204"/>
      <c r="FUH141" s="205"/>
      <c r="FUI141" s="204"/>
      <c r="FUJ141" s="205"/>
      <c r="FUK141" s="204"/>
      <c r="FUL141" s="205"/>
      <c r="FUM141" s="204"/>
      <c r="FUN141" s="205"/>
      <c r="FUO141" s="204"/>
      <c r="FUP141" s="205"/>
      <c r="FUQ141" s="204"/>
      <c r="FUR141" s="205"/>
      <c r="FUS141" s="204"/>
      <c r="FUT141" s="205"/>
      <c r="FUU141" s="204"/>
      <c r="FUV141" s="205"/>
      <c r="FUW141" s="204"/>
      <c r="FUX141" s="205"/>
      <c r="FUY141" s="204"/>
      <c r="FUZ141" s="205"/>
      <c r="FVA141" s="204"/>
      <c r="FVB141" s="205"/>
      <c r="FVC141" s="204"/>
      <c r="FVD141" s="205"/>
      <c r="FVE141" s="204"/>
      <c r="FVF141" s="205"/>
      <c r="FVG141" s="204"/>
      <c r="FVH141" s="205"/>
      <c r="FVI141" s="204"/>
      <c r="FVJ141" s="205"/>
      <c r="FVK141" s="204"/>
      <c r="FVL141" s="205"/>
      <c r="FVM141" s="204"/>
      <c r="FVN141" s="205"/>
      <c r="FVO141" s="204"/>
      <c r="FVP141" s="205"/>
      <c r="FVQ141" s="204"/>
      <c r="FVR141" s="205"/>
      <c r="FVS141" s="204"/>
      <c r="FVT141" s="205"/>
      <c r="FVU141" s="204"/>
      <c r="FVV141" s="205"/>
      <c r="FVW141" s="204"/>
      <c r="FVX141" s="205"/>
      <c r="FVY141" s="204"/>
      <c r="FVZ141" s="205"/>
      <c r="FWA141" s="204"/>
      <c r="FWB141" s="205"/>
      <c r="FWC141" s="204"/>
      <c r="FWD141" s="205"/>
      <c r="FWE141" s="204"/>
      <c r="FWF141" s="205"/>
      <c r="FWG141" s="204"/>
      <c r="FWH141" s="205"/>
      <c r="FWI141" s="204"/>
      <c r="FWJ141" s="205"/>
      <c r="FWK141" s="204"/>
      <c r="FWL141" s="205"/>
      <c r="FWM141" s="204"/>
      <c r="FWN141" s="205"/>
      <c r="FWO141" s="204"/>
      <c r="FWP141" s="205"/>
      <c r="FWQ141" s="204"/>
      <c r="FWR141" s="205"/>
      <c r="FWS141" s="204"/>
      <c r="FWT141" s="205"/>
      <c r="FWU141" s="204"/>
      <c r="FWV141" s="205"/>
      <c r="FWW141" s="204"/>
      <c r="FWX141" s="205"/>
      <c r="FWY141" s="204"/>
      <c r="FWZ141" s="205"/>
      <c r="FXA141" s="204"/>
      <c r="FXB141" s="205"/>
      <c r="FXC141" s="204"/>
      <c r="FXD141" s="205"/>
      <c r="FXE141" s="204"/>
      <c r="FXF141" s="205"/>
      <c r="FXG141" s="204"/>
      <c r="FXH141" s="205"/>
      <c r="FXI141" s="204"/>
      <c r="FXJ141" s="205"/>
      <c r="FXK141" s="204"/>
      <c r="FXL141" s="205"/>
      <c r="FXM141" s="204"/>
      <c r="FXN141" s="205"/>
      <c r="FXO141" s="204"/>
      <c r="FXP141" s="205"/>
      <c r="FXQ141" s="204"/>
      <c r="FXR141" s="205"/>
      <c r="FXS141" s="204"/>
      <c r="FXT141" s="205"/>
      <c r="FXU141" s="204"/>
      <c r="FXV141" s="205"/>
      <c r="FXW141" s="204"/>
      <c r="FXX141" s="205"/>
      <c r="FXY141" s="204"/>
      <c r="FXZ141" s="205"/>
      <c r="FYA141" s="204"/>
      <c r="FYB141" s="205"/>
      <c r="FYC141" s="204"/>
      <c r="FYD141" s="205"/>
      <c r="FYE141" s="204"/>
      <c r="FYF141" s="205"/>
      <c r="FYG141" s="204"/>
      <c r="FYH141" s="205"/>
      <c r="FYI141" s="204"/>
      <c r="FYJ141" s="205"/>
      <c r="FYK141" s="204"/>
      <c r="FYL141" s="205"/>
      <c r="FYM141" s="204"/>
      <c r="FYN141" s="205"/>
      <c r="FYO141" s="204"/>
      <c r="FYP141" s="205"/>
      <c r="FYQ141" s="204"/>
      <c r="FYR141" s="205"/>
      <c r="FYS141" s="204"/>
      <c r="FYT141" s="205"/>
      <c r="FYU141" s="204"/>
      <c r="FYV141" s="205"/>
      <c r="FYW141" s="204"/>
      <c r="FYX141" s="205"/>
      <c r="FYY141" s="204"/>
      <c r="FYZ141" s="205"/>
      <c r="FZA141" s="204"/>
      <c r="FZB141" s="205"/>
      <c r="FZC141" s="204"/>
      <c r="FZD141" s="205"/>
      <c r="FZE141" s="204"/>
      <c r="FZF141" s="205"/>
      <c r="FZG141" s="204"/>
      <c r="FZH141" s="205"/>
      <c r="FZI141" s="204"/>
      <c r="FZJ141" s="205"/>
      <c r="FZK141" s="204"/>
      <c r="FZL141" s="205"/>
      <c r="FZM141" s="204"/>
      <c r="FZN141" s="205"/>
      <c r="FZO141" s="204"/>
      <c r="FZP141" s="205"/>
      <c r="FZQ141" s="204"/>
      <c r="FZR141" s="205"/>
      <c r="FZS141" s="204"/>
      <c r="FZT141" s="205"/>
      <c r="FZU141" s="204"/>
      <c r="FZV141" s="205"/>
      <c r="FZW141" s="204"/>
      <c r="FZX141" s="205"/>
      <c r="FZY141" s="204"/>
      <c r="FZZ141" s="205"/>
      <c r="GAA141" s="204"/>
      <c r="GAB141" s="205"/>
      <c r="GAC141" s="204"/>
      <c r="GAD141" s="205"/>
      <c r="GAE141" s="204"/>
      <c r="GAF141" s="205"/>
      <c r="GAG141" s="204"/>
      <c r="GAH141" s="205"/>
      <c r="GAI141" s="204"/>
      <c r="GAJ141" s="205"/>
      <c r="GAK141" s="204"/>
      <c r="GAL141" s="205"/>
      <c r="GAM141" s="204"/>
      <c r="GAN141" s="205"/>
      <c r="GAO141" s="204"/>
      <c r="GAP141" s="205"/>
      <c r="GAQ141" s="204"/>
      <c r="GAR141" s="205"/>
      <c r="GAS141" s="204"/>
      <c r="GAT141" s="205"/>
      <c r="GAU141" s="204"/>
      <c r="GAV141" s="205"/>
      <c r="GAW141" s="204"/>
      <c r="GAX141" s="205"/>
      <c r="GAY141" s="204"/>
      <c r="GAZ141" s="205"/>
      <c r="GBA141" s="204"/>
      <c r="GBB141" s="205"/>
      <c r="GBC141" s="204"/>
      <c r="GBD141" s="205"/>
      <c r="GBE141" s="204"/>
      <c r="GBF141" s="205"/>
      <c r="GBG141" s="204"/>
      <c r="GBH141" s="205"/>
      <c r="GBI141" s="204"/>
      <c r="GBJ141" s="205"/>
      <c r="GBK141" s="204"/>
      <c r="GBL141" s="205"/>
      <c r="GBM141" s="204"/>
      <c r="GBN141" s="205"/>
      <c r="GBO141" s="204"/>
      <c r="GBP141" s="205"/>
      <c r="GBQ141" s="204"/>
      <c r="GBR141" s="205"/>
      <c r="GBS141" s="204"/>
      <c r="GBT141" s="205"/>
      <c r="GBU141" s="204"/>
      <c r="GBV141" s="205"/>
      <c r="GBW141" s="204"/>
      <c r="GBX141" s="205"/>
      <c r="GBY141" s="204"/>
      <c r="GBZ141" s="205"/>
      <c r="GCA141" s="204"/>
      <c r="GCB141" s="205"/>
      <c r="GCC141" s="204"/>
      <c r="GCD141" s="205"/>
      <c r="GCE141" s="204"/>
      <c r="GCF141" s="205"/>
      <c r="GCG141" s="204"/>
      <c r="GCH141" s="205"/>
      <c r="GCI141" s="204"/>
      <c r="GCJ141" s="205"/>
      <c r="GCK141" s="204"/>
      <c r="GCL141" s="205"/>
      <c r="GCM141" s="204"/>
      <c r="GCN141" s="205"/>
      <c r="GCO141" s="204"/>
      <c r="GCP141" s="205"/>
      <c r="GCQ141" s="204"/>
      <c r="GCR141" s="205"/>
      <c r="GCS141" s="204"/>
      <c r="GCT141" s="205"/>
      <c r="GCU141" s="204"/>
      <c r="GCV141" s="205"/>
      <c r="GCW141" s="204"/>
      <c r="GCX141" s="205"/>
      <c r="GCY141" s="204"/>
      <c r="GCZ141" s="205"/>
      <c r="GDA141" s="204"/>
      <c r="GDB141" s="205"/>
      <c r="GDC141" s="204"/>
      <c r="GDD141" s="205"/>
      <c r="GDE141" s="204"/>
      <c r="GDF141" s="205"/>
      <c r="GDG141" s="204"/>
      <c r="GDH141" s="205"/>
      <c r="GDI141" s="204"/>
      <c r="GDJ141" s="205"/>
      <c r="GDK141" s="204"/>
      <c r="GDL141" s="205"/>
      <c r="GDM141" s="204"/>
      <c r="GDN141" s="205"/>
      <c r="GDO141" s="204"/>
      <c r="GDP141" s="205"/>
      <c r="GDQ141" s="204"/>
      <c r="GDR141" s="205"/>
      <c r="GDS141" s="204"/>
      <c r="GDT141" s="205"/>
      <c r="GDU141" s="204"/>
      <c r="GDV141" s="205"/>
      <c r="GDW141" s="204"/>
      <c r="GDX141" s="205"/>
      <c r="GDY141" s="204"/>
      <c r="GDZ141" s="205"/>
      <c r="GEA141" s="204"/>
      <c r="GEB141" s="205"/>
      <c r="GEC141" s="204"/>
      <c r="GED141" s="205"/>
      <c r="GEE141" s="204"/>
      <c r="GEF141" s="205"/>
      <c r="GEG141" s="204"/>
      <c r="GEH141" s="205"/>
      <c r="GEI141" s="204"/>
      <c r="GEJ141" s="205"/>
      <c r="GEK141" s="204"/>
      <c r="GEL141" s="205"/>
      <c r="GEM141" s="204"/>
      <c r="GEN141" s="205"/>
      <c r="GEO141" s="204"/>
      <c r="GEP141" s="205"/>
      <c r="GEQ141" s="204"/>
      <c r="GER141" s="205"/>
      <c r="GES141" s="204"/>
      <c r="GET141" s="205"/>
      <c r="GEU141" s="204"/>
      <c r="GEV141" s="205"/>
      <c r="GEW141" s="204"/>
      <c r="GEX141" s="205"/>
      <c r="GEY141" s="204"/>
      <c r="GEZ141" s="205"/>
      <c r="GFA141" s="204"/>
      <c r="GFB141" s="205"/>
      <c r="GFC141" s="204"/>
      <c r="GFD141" s="205"/>
      <c r="GFE141" s="204"/>
      <c r="GFF141" s="205"/>
      <c r="GFG141" s="204"/>
      <c r="GFH141" s="205"/>
      <c r="GFI141" s="204"/>
      <c r="GFJ141" s="205"/>
      <c r="GFK141" s="204"/>
      <c r="GFL141" s="205"/>
      <c r="GFM141" s="204"/>
      <c r="GFN141" s="205"/>
      <c r="GFO141" s="204"/>
      <c r="GFP141" s="205"/>
      <c r="GFQ141" s="204"/>
      <c r="GFR141" s="205"/>
      <c r="GFS141" s="204"/>
      <c r="GFT141" s="205"/>
      <c r="GFU141" s="204"/>
      <c r="GFV141" s="205"/>
      <c r="GFW141" s="204"/>
      <c r="GFX141" s="205"/>
      <c r="GFY141" s="204"/>
      <c r="GFZ141" s="205"/>
      <c r="GGA141" s="204"/>
      <c r="GGB141" s="205"/>
      <c r="GGC141" s="204"/>
      <c r="GGD141" s="205"/>
      <c r="GGE141" s="204"/>
      <c r="GGF141" s="205"/>
      <c r="GGG141" s="204"/>
      <c r="GGH141" s="205"/>
      <c r="GGI141" s="204"/>
      <c r="GGJ141" s="205"/>
      <c r="GGK141" s="204"/>
      <c r="GGL141" s="205"/>
      <c r="GGM141" s="204"/>
      <c r="GGN141" s="205"/>
      <c r="GGO141" s="204"/>
      <c r="GGP141" s="205"/>
      <c r="GGQ141" s="204"/>
      <c r="GGR141" s="205"/>
      <c r="GGS141" s="204"/>
      <c r="GGT141" s="205"/>
      <c r="GGU141" s="204"/>
      <c r="GGV141" s="205"/>
      <c r="GGW141" s="204"/>
      <c r="GGX141" s="205"/>
      <c r="GGY141" s="204"/>
      <c r="GGZ141" s="205"/>
      <c r="GHA141" s="204"/>
      <c r="GHB141" s="205"/>
      <c r="GHC141" s="204"/>
      <c r="GHD141" s="205"/>
      <c r="GHE141" s="204"/>
      <c r="GHF141" s="205"/>
      <c r="GHG141" s="204"/>
      <c r="GHH141" s="205"/>
      <c r="GHI141" s="204"/>
      <c r="GHJ141" s="205"/>
      <c r="GHK141" s="204"/>
      <c r="GHL141" s="205"/>
      <c r="GHM141" s="204"/>
      <c r="GHN141" s="205"/>
      <c r="GHO141" s="204"/>
      <c r="GHP141" s="205"/>
      <c r="GHQ141" s="204"/>
      <c r="GHR141" s="205"/>
      <c r="GHS141" s="204"/>
      <c r="GHT141" s="205"/>
      <c r="GHU141" s="204"/>
      <c r="GHV141" s="205"/>
      <c r="GHW141" s="204"/>
      <c r="GHX141" s="205"/>
      <c r="GHY141" s="204"/>
      <c r="GHZ141" s="205"/>
      <c r="GIA141" s="204"/>
      <c r="GIB141" s="205"/>
      <c r="GIC141" s="204"/>
      <c r="GID141" s="205"/>
      <c r="GIE141" s="204"/>
      <c r="GIF141" s="205"/>
      <c r="GIG141" s="204"/>
      <c r="GIH141" s="205"/>
      <c r="GII141" s="204"/>
      <c r="GIJ141" s="205"/>
      <c r="GIK141" s="204"/>
      <c r="GIL141" s="205"/>
      <c r="GIM141" s="204"/>
      <c r="GIN141" s="205"/>
      <c r="GIO141" s="204"/>
      <c r="GIP141" s="205"/>
      <c r="GIQ141" s="204"/>
      <c r="GIR141" s="205"/>
      <c r="GIS141" s="204"/>
      <c r="GIT141" s="205"/>
      <c r="GIU141" s="204"/>
      <c r="GIV141" s="205"/>
      <c r="GIW141" s="204"/>
      <c r="GIX141" s="205"/>
      <c r="GIY141" s="204"/>
      <c r="GIZ141" s="205"/>
      <c r="GJA141" s="204"/>
      <c r="GJB141" s="205"/>
      <c r="GJC141" s="204"/>
      <c r="GJD141" s="205"/>
      <c r="GJE141" s="204"/>
      <c r="GJF141" s="205"/>
      <c r="GJG141" s="204"/>
      <c r="GJH141" s="205"/>
      <c r="GJI141" s="204"/>
      <c r="GJJ141" s="205"/>
      <c r="GJK141" s="204"/>
      <c r="GJL141" s="205"/>
      <c r="GJM141" s="204"/>
      <c r="GJN141" s="205"/>
      <c r="GJO141" s="204"/>
      <c r="GJP141" s="205"/>
      <c r="GJQ141" s="204"/>
      <c r="GJR141" s="205"/>
      <c r="GJS141" s="204"/>
      <c r="GJT141" s="205"/>
      <c r="GJU141" s="204"/>
      <c r="GJV141" s="205"/>
      <c r="GJW141" s="204"/>
      <c r="GJX141" s="205"/>
      <c r="GJY141" s="204"/>
      <c r="GJZ141" s="205"/>
      <c r="GKA141" s="204"/>
      <c r="GKB141" s="205"/>
      <c r="GKC141" s="204"/>
      <c r="GKD141" s="205"/>
      <c r="GKE141" s="204"/>
      <c r="GKF141" s="205"/>
      <c r="GKG141" s="204"/>
      <c r="GKH141" s="205"/>
      <c r="GKI141" s="204"/>
      <c r="GKJ141" s="205"/>
      <c r="GKK141" s="204"/>
      <c r="GKL141" s="205"/>
      <c r="GKM141" s="204"/>
      <c r="GKN141" s="205"/>
      <c r="GKO141" s="204"/>
      <c r="GKP141" s="205"/>
      <c r="GKQ141" s="204"/>
      <c r="GKR141" s="205"/>
      <c r="GKS141" s="204"/>
      <c r="GKT141" s="205"/>
      <c r="GKU141" s="204"/>
      <c r="GKV141" s="205"/>
      <c r="GKW141" s="204"/>
      <c r="GKX141" s="205"/>
      <c r="GKY141" s="204"/>
      <c r="GKZ141" s="205"/>
      <c r="GLA141" s="204"/>
      <c r="GLB141" s="205"/>
      <c r="GLC141" s="204"/>
      <c r="GLD141" s="205"/>
      <c r="GLE141" s="204"/>
      <c r="GLF141" s="205"/>
      <c r="GLG141" s="204"/>
      <c r="GLH141" s="205"/>
      <c r="GLI141" s="204"/>
      <c r="GLJ141" s="205"/>
      <c r="GLK141" s="204"/>
      <c r="GLL141" s="205"/>
      <c r="GLM141" s="204"/>
      <c r="GLN141" s="205"/>
      <c r="GLO141" s="204"/>
      <c r="GLP141" s="205"/>
      <c r="GLQ141" s="204"/>
      <c r="GLR141" s="205"/>
      <c r="GLS141" s="204"/>
      <c r="GLT141" s="205"/>
      <c r="GLU141" s="204"/>
      <c r="GLV141" s="205"/>
      <c r="GLW141" s="204"/>
      <c r="GLX141" s="205"/>
      <c r="GLY141" s="204"/>
      <c r="GLZ141" s="205"/>
      <c r="GMA141" s="204"/>
      <c r="GMB141" s="205"/>
      <c r="GMC141" s="204"/>
      <c r="GMD141" s="205"/>
      <c r="GME141" s="204"/>
      <c r="GMF141" s="205"/>
      <c r="GMG141" s="204"/>
      <c r="GMH141" s="205"/>
      <c r="GMI141" s="204"/>
      <c r="GMJ141" s="205"/>
      <c r="GMK141" s="204"/>
      <c r="GML141" s="205"/>
      <c r="GMM141" s="204"/>
      <c r="GMN141" s="205"/>
      <c r="GMO141" s="204"/>
      <c r="GMP141" s="205"/>
      <c r="GMQ141" s="204"/>
      <c r="GMR141" s="205"/>
      <c r="GMS141" s="204"/>
      <c r="GMT141" s="205"/>
      <c r="GMU141" s="204"/>
      <c r="GMV141" s="205"/>
      <c r="GMW141" s="204"/>
      <c r="GMX141" s="205"/>
      <c r="GMY141" s="204"/>
      <c r="GMZ141" s="205"/>
      <c r="GNA141" s="204"/>
      <c r="GNB141" s="205"/>
      <c r="GNC141" s="204"/>
      <c r="GND141" s="205"/>
      <c r="GNE141" s="204"/>
      <c r="GNF141" s="205"/>
      <c r="GNG141" s="204"/>
      <c r="GNH141" s="205"/>
      <c r="GNI141" s="204"/>
      <c r="GNJ141" s="205"/>
      <c r="GNK141" s="204"/>
      <c r="GNL141" s="205"/>
      <c r="GNM141" s="204"/>
      <c r="GNN141" s="205"/>
      <c r="GNO141" s="204"/>
      <c r="GNP141" s="205"/>
      <c r="GNQ141" s="204"/>
      <c r="GNR141" s="205"/>
      <c r="GNS141" s="204"/>
      <c r="GNT141" s="205"/>
      <c r="GNU141" s="204"/>
      <c r="GNV141" s="205"/>
      <c r="GNW141" s="204"/>
      <c r="GNX141" s="205"/>
      <c r="GNY141" s="204"/>
      <c r="GNZ141" s="205"/>
      <c r="GOA141" s="204"/>
      <c r="GOB141" s="205"/>
      <c r="GOC141" s="204"/>
      <c r="GOD141" s="205"/>
      <c r="GOE141" s="204"/>
      <c r="GOF141" s="205"/>
      <c r="GOG141" s="204"/>
      <c r="GOH141" s="205"/>
      <c r="GOI141" s="204"/>
      <c r="GOJ141" s="205"/>
      <c r="GOK141" s="204"/>
      <c r="GOL141" s="205"/>
      <c r="GOM141" s="204"/>
      <c r="GON141" s="205"/>
      <c r="GOO141" s="204"/>
      <c r="GOP141" s="205"/>
      <c r="GOQ141" s="204"/>
      <c r="GOR141" s="205"/>
      <c r="GOS141" s="204"/>
      <c r="GOT141" s="205"/>
      <c r="GOU141" s="204"/>
      <c r="GOV141" s="205"/>
      <c r="GOW141" s="204"/>
      <c r="GOX141" s="205"/>
      <c r="GOY141" s="204"/>
      <c r="GOZ141" s="205"/>
      <c r="GPA141" s="204"/>
      <c r="GPB141" s="205"/>
      <c r="GPC141" s="204"/>
      <c r="GPD141" s="205"/>
      <c r="GPE141" s="204"/>
      <c r="GPF141" s="205"/>
      <c r="GPG141" s="204"/>
      <c r="GPH141" s="205"/>
      <c r="GPI141" s="204"/>
      <c r="GPJ141" s="205"/>
      <c r="GPK141" s="204"/>
      <c r="GPL141" s="205"/>
      <c r="GPM141" s="204"/>
      <c r="GPN141" s="205"/>
      <c r="GPO141" s="204"/>
      <c r="GPP141" s="205"/>
      <c r="GPQ141" s="204"/>
      <c r="GPR141" s="205"/>
      <c r="GPS141" s="204"/>
      <c r="GPT141" s="205"/>
      <c r="GPU141" s="204"/>
      <c r="GPV141" s="205"/>
      <c r="GPW141" s="204"/>
      <c r="GPX141" s="205"/>
      <c r="GPY141" s="204"/>
      <c r="GPZ141" s="205"/>
      <c r="GQA141" s="204"/>
      <c r="GQB141" s="205"/>
      <c r="GQC141" s="204"/>
      <c r="GQD141" s="205"/>
      <c r="GQE141" s="204"/>
      <c r="GQF141" s="205"/>
      <c r="GQG141" s="204"/>
      <c r="GQH141" s="205"/>
      <c r="GQI141" s="204"/>
      <c r="GQJ141" s="205"/>
      <c r="GQK141" s="204"/>
      <c r="GQL141" s="205"/>
      <c r="GQM141" s="204"/>
      <c r="GQN141" s="205"/>
      <c r="GQO141" s="204"/>
      <c r="GQP141" s="205"/>
      <c r="GQQ141" s="204"/>
      <c r="GQR141" s="205"/>
      <c r="GQS141" s="204"/>
      <c r="GQT141" s="205"/>
      <c r="GQU141" s="204"/>
      <c r="GQV141" s="205"/>
      <c r="GQW141" s="204"/>
      <c r="GQX141" s="205"/>
      <c r="GQY141" s="204"/>
      <c r="GQZ141" s="205"/>
      <c r="GRA141" s="204"/>
      <c r="GRB141" s="205"/>
      <c r="GRC141" s="204"/>
      <c r="GRD141" s="205"/>
      <c r="GRE141" s="204"/>
      <c r="GRF141" s="205"/>
      <c r="GRG141" s="204"/>
      <c r="GRH141" s="205"/>
      <c r="GRI141" s="204"/>
      <c r="GRJ141" s="205"/>
      <c r="GRK141" s="204"/>
      <c r="GRL141" s="205"/>
      <c r="GRM141" s="204"/>
      <c r="GRN141" s="205"/>
      <c r="GRO141" s="204"/>
      <c r="GRP141" s="205"/>
      <c r="GRQ141" s="204"/>
      <c r="GRR141" s="205"/>
      <c r="GRS141" s="204"/>
      <c r="GRT141" s="205"/>
      <c r="GRU141" s="204"/>
      <c r="GRV141" s="205"/>
      <c r="GRW141" s="204"/>
      <c r="GRX141" s="205"/>
      <c r="GRY141" s="204"/>
      <c r="GRZ141" s="205"/>
      <c r="GSA141" s="204"/>
      <c r="GSB141" s="205"/>
      <c r="GSC141" s="204"/>
      <c r="GSD141" s="205"/>
      <c r="GSE141" s="204"/>
      <c r="GSF141" s="205"/>
      <c r="GSG141" s="204"/>
      <c r="GSH141" s="205"/>
      <c r="GSI141" s="204"/>
      <c r="GSJ141" s="205"/>
      <c r="GSK141" s="204"/>
      <c r="GSL141" s="205"/>
      <c r="GSM141" s="204"/>
      <c r="GSN141" s="205"/>
      <c r="GSO141" s="204"/>
      <c r="GSP141" s="205"/>
      <c r="GSQ141" s="204"/>
      <c r="GSR141" s="205"/>
      <c r="GSS141" s="204"/>
      <c r="GST141" s="205"/>
      <c r="GSU141" s="204"/>
      <c r="GSV141" s="205"/>
      <c r="GSW141" s="204"/>
      <c r="GSX141" s="205"/>
      <c r="GSY141" s="204"/>
      <c r="GSZ141" s="205"/>
      <c r="GTA141" s="204"/>
      <c r="GTB141" s="205"/>
      <c r="GTC141" s="204"/>
      <c r="GTD141" s="205"/>
      <c r="GTE141" s="204"/>
      <c r="GTF141" s="205"/>
      <c r="GTG141" s="204"/>
      <c r="GTH141" s="205"/>
      <c r="GTI141" s="204"/>
      <c r="GTJ141" s="205"/>
      <c r="GTK141" s="204"/>
      <c r="GTL141" s="205"/>
      <c r="GTM141" s="204"/>
      <c r="GTN141" s="205"/>
      <c r="GTO141" s="204"/>
      <c r="GTP141" s="205"/>
      <c r="GTQ141" s="204"/>
      <c r="GTR141" s="205"/>
      <c r="GTS141" s="204"/>
      <c r="GTT141" s="205"/>
      <c r="GTU141" s="204"/>
      <c r="GTV141" s="205"/>
      <c r="GTW141" s="204"/>
      <c r="GTX141" s="205"/>
      <c r="GTY141" s="204"/>
      <c r="GTZ141" s="205"/>
      <c r="GUA141" s="204"/>
      <c r="GUB141" s="205"/>
      <c r="GUC141" s="204"/>
      <c r="GUD141" s="205"/>
      <c r="GUE141" s="204"/>
      <c r="GUF141" s="205"/>
      <c r="GUG141" s="204"/>
      <c r="GUH141" s="205"/>
      <c r="GUI141" s="204"/>
      <c r="GUJ141" s="205"/>
      <c r="GUK141" s="204"/>
      <c r="GUL141" s="205"/>
      <c r="GUM141" s="204"/>
      <c r="GUN141" s="205"/>
      <c r="GUO141" s="204"/>
      <c r="GUP141" s="205"/>
      <c r="GUQ141" s="204"/>
      <c r="GUR141" s="205"/>
      <c r="GUS141" s="204"/>
      <c r="GUT141" s="205"/>
      <c r="GUU141" s="204"/>
      <c r="GUV141" s="205"/>
      <c r="GUW141" s="204"/>
      <c r="GUX141" s="205"/>
      <c r="GUY141" s="204"/>
      <c r="GUZ141" s="205"/>
      <c r="GVA141" s="204"/>
      <c r="GVB141" s="205"/>
      <c r="GVC141" s="204"/>
      <c r="GVD141" s="205"/>
      <c r="GVE141" s="204"/>
      <c r="GVF141" s="205"/>
      <c r="GVG141" s="204"/>
      <c r="GVH141" s="205"/>
      <c r="GVI141" s="204"/>
      <c r="GVJ141" s="205"/>
      <c r="GVK141" s="204"/>
      <c r="GVL141" s="205"/>
      <c r="GVM141" s="204"/>
      <c r="GVN141" s="205"/>
      <c r="GVO141" s="204"/>
      <c r="GVP141" s="205"/>
      <c r="GVQ141" s="204"/>
      <c r="GVR141" s="205"/>
      <c r="GVS141" s="204"/>
      <c r="GVT141" s="205"/>
      <c r="GVU141" s="204"/>
      <c r="GVV141" s="205"/>
      <c r="GVW141" s="204"/>
      <c r="GVX141" s="205"/>
      <c r="GVY141" s="204"/>
      <c r="GVZ141" s="205"/>
      <c r="GWA141" s="204"/>
      <c r="GWB141" s="205"/>
      <c r="GWC141" s="204"/>
      <c r="GWD141" s="205"/>
      <c r="GWE141" s="204"/>
      <c r="GWF141" s="205"/>
      <c r="GWG141" s="204"/>
      <c r="GWH141" s="205"/>
      <c r="GWI141" s="204"/>
      <c r="GWJ141" s="205"/>
      <c r="GWK141" s="204"/>
      <c r="GWL141" s="205"/>
      <c r="GWM141" s="204"/>
      <c r="GWN141" s="205"/>
      <c r="GWO141" s="204"/>
      <c r="GWP141" s="205"/>
      <c r="GWQ141" s="204"/>
      <c r="GWR141" s="205"/>
      <c r="GWS141" s="204"/>
      <c r="GWT141" s="205"/>
      <c r="GWU141" s="204"/>
      <c r="GWV141" s="205"/>
      <c r="GWW141" s="204"/>
      <c r="GWX141" s="205"/>
      <c r="GWY141" s="204"/>
      <c r="GWZ141" s="205"/>
      <c r="GXA141" s="204"/>
      <c r="GXB141" s="205"/>
      <c r="GXC141" s="204"/>
      <c r="GXD141" s="205"/>
      <c r="GXE141" s="204"/>
      <c r="GXF141" s="205"/>
      <c r="GXG141" s="204"/>
      <c r="GXH141" s="205"/>
      <c r="GXI141" s="204"/>
      <c r="GXJ141" s="205"/>
      <c r="GXK141" s="204"/>
      <c r="GXL141" s="205"/>
      <c r="GXM141" s="204"/>
      <c r="GXN141" s="205"/>
      <c r="GXO141" s="204"/>
      <c r="GXP141" s="205"/>
      <c r="GXQ141" s="204"/>
      <c r="GXR141" s="205"/>
      <c r="GXS141" s="204"/>
      <c r="GXT141" s="205"/>
      <c r="GXU141" s="204"/>
      <c r="GXV141" s="205"/>
      <c r="GXW141" s="204"/>
      <c r="GXX141" s="205"/>
      <c r="GXY141" s="204"/>
      <c r="GXZ141" s="205"/>
      <c r="GYA141" s="204"/>
      <c r="GYB141" s="205"/>
      <c r="GYC141" s="204"/>
      <c r="GYD141" s="205"/>
      <c r="GYE141" s="204"/>
      <c r="GYF141" s="205"/>
      <c r="GYG141" s="204"/>
      <c r="GYH141" s="205"/>
      <c r="GYI141" s="204"/>
      <c r="GYJ141" s="205"/>
      <c r="GYK141" s="204"/>
      <c r="GYL141" s="205"/>
      <c r="GYM141" s="204"/>
      <c r="GYN141" s="205"/>
      <c r="GYO141" s="204"/>
      <c r="GYP141" s="205"/>
      <c r="GYQ141" s="204"/>
      <c r="GYR141" s="205"/>
      <c r="GYS141" s="204"/>
      <c r="GYT141" s="205"/>
      <c r="GYU141" s="204"/>
      <c r="GYV141" s="205"/>
      <c r="GYW141" s="204"/>
      <c r="GYX141" s="205"/>
      <c r="GYY141" s="204"/>
      <c r="GYZ141" s="205"/>
      <c r="GZA141" s="204"/>
      <c r="GZB141" s="205"/>
      <c r="GZC141" s="204"/>
      <c r="GZD141" s="205"/>
      <c r="GZE141" s="204"/>
      <c r="GZF141" s="205"/>
      <c r="GZG141" s="204"/>
      <c r="GZH141" s="205"/>
      <c r="GZI141" s="204"/>
      <c r="GZJ141" s="205"/>
      <c r="GZK141" s="204"/>
      <c r="GZL141" s="205"/>
      <c r="GZM141" s="204"/>
      <c r="GZN141" s="205"/>
      <c r="GZO141" s="204"/>
      <c r="GZP141" s="205"/>
      <c r="GZQ141" s="204"/>
      <c r="GZR141" s="205"/>
      <c r="GZS141" s="204"/>
      <c r="GZT141" s="205"/>
      <c r="GZU141" s="204"/>
      <c r="GZV141" s="205"/>
      <c r="GZW141" s="204"/>
      <c r="GZX141" s="205"/>
      <c r="GZY141" s="204"/>
      <c r="GZZ141" s="205"/>
      <c r="HAA141" s="204"/>
      <c r="HAB141" s="205"/>
      <c r="HAC141" s="204"/>
      <c r="HAD141" s="205"/>
      <c r="HAE141" s="204"/>
      <c r="HAF141" s="205"/>
      <c r="HAG141" s="204"/>
      <c r="HAH141" s="205"/>
      <c r="HAI141" s="204"/>
      <c r="HAJ141" s="205"/>
      <c r="HAK141" s="204"/>
      <c r="HAL141" s="205"/>
      <c r="HAM141" s="204"/>
      <c r="HAN141" s="205"/>
      <c r="HAO141" s="204"/>
      <c r="HAP141" s="205"/>
      <c r="HAQ141" s="204"/>
      <c r="HAR141" s="205"/>
      <c r="HAS141" s="204"/>
      <c r="HAT141" s="205"/>
      <c r="HAU141" s="204"/>
      <c r="HAV141" s="205"/>
      <c r="HAW141" s="204"/>
      <c r="HAX141" s="205"/>
      <c r="HAY141" s="204"/>
      <c r="HAZ141" s="205"/>
      <c r="HBA141" s="204"/>
      <c r="HBB141" s="205"/>
      <c r="HBC141" s="204"/>
      <c r="HBD141" s="205"/>
      <c r="HBE141" s="204"/>
      <c r="HBF141" s="205"/>
      <c r="HBG141" s="204"/>
      <c r="HBH141" s="205"/>
      <c r="HBI141" s="204"/>
      <c r="HBJ141" s="205"/>
      <c r="HBK141" s="204"/>
      <c r="HBL141" s="205"/>
      <c r="HBM141" s="204"/>
      <c r="HBN141" s="205"/>
      <c r="HBO141" s="204"/>
      <c r="HBP141" s="205"/>
      <c r="HBQ141" s="204"/>
      <c r="HBR141" s="205"/>
      <c r="HBS141" s="204"/>
      <c r="HBT141" s="205"/>
      <c r="HBU141" s="204"/>
      <c r="HBV141" s="205"/>
      <c r="HBW141" s="204"/>
      <c r="HBX141" s="205"/>
      <c r="HBY141" s="204"/>
      <c r="HBZ141" s="205"/>
      <c r="HCA141" s="204"/>
      <c r="HCB141" s="205"/>
      <c r="HCC141" s="204"/>
      <c r="HCD141" s="205"/>
      <c r="HCE141" s="204"/>
      <c r="HCF141" s="205"/>
      <c r="HCG141" s="204"/>
      <c r="HCH141" s="205"/>
      <c r="HCI141" s="204"/>
      <c r="HCJ141" s="205"/>
      <c r="HCK141" s="204"/>
      <c r="HCL141" s="205"/>
      <c r="HCM141" s="204"/>
      <c r="HCN141" s="205"/>
      <c r="HCO141" s="204"/>
      <c r="HCP141" s="205"/>
      <c r="HCQ141" s="204"/>
      <c r="HCR141" s="205"/>
      <c r="HCS141" s="204"/>
      <c r="HCT141" s="205"/>
      <c r="HCU141" s="204"/>
      <c r="HCV141" s="205"/>
      <c r="HCW141" s="204"/>
      <c r="HCX141" s="205"/>
      <c r="HCY141" s="204"/>
      <c r="HCZ141" s="205"/>
      <c r="HDA141" s="204"/>
      <c r="HDB141" s="205"/>
      <c r="HDC141" s="204"/>
      <c r="HDD141" s="205"/>
      <c r="HDE141" s="204"/>
      <c r="HDF141" s="205"/>
      <c r="HDG141" s="204"/>
      <c r="HDH141" s="205"/>
      <c r="HDI141" s="204"/>
      <c r="HDJ141" s="205"/>
      <c r="HDK141" s="204"/>
      <c r="HDL141" s="205"/>
      <c r="HDM141" s="204"/>
      <c r="HDN141" s="205"/>
      <c r="HDO141" s="204"/>
      <c r="HDP141" s="205"/>
      <c r="HDQ141" s="204"/>
      <c r="HDR141" s="205"/>
      <c r="HDS141" s="204"/>
      <c r="HDT141" s="205"/>
      <c r="HDU141" s="204"/>
      <c r="HDV141" s="205"/>
      <c r="HDW141" s="204"/>
      <c r="HDX141" s="205"/>
      <c r="HDY141" s="204"/>
      <c r="HDZ141" s="205"/>
      <c r="HEA141" s="204"/>
      <c r="HEB141" s="205"/>
      <c r="HEC141" s="204"/>
      <c r="HED141" s="205"/>
      <c r="HEE141" s="204"/>
      <c r="HEF141" s="205"/>
      <c r="HEG141" s="204"/>
      <c r="HEH141" s="205"/>
      <c r="HEI141" s="204"/>
      <c r="HEJ141" s="205"/>
      <c r="HEK141" s="204"/>
      <c r="HEL141" s="205"/>
      <c r="HEM141" s="204"/>
      <c r="HEN141" s="205"/>
      <c r="HEO141" s="204"/>
      <c r="HEP141" s="205"/>
      <c r="HEQ141" s="204"/>
      <c r="HER141" s="205"/>
      <c r="HES141" s="204"/>
      <c r="HET141" s="205"/>
      <c r="HEU141" s="204"/>
      <c r="HEV141" s="205"/>
      <c r="HEW141" s="204"/>
      <c r="HEX141" s="205"/>
      <c r="HEY141" s="204"/>
      <c r="HEZ141" s="205"/>
      <c r="HFA141" s="204"/>
      <c r="HFB141" s="205"/>
      <c r="HFC141" s="204"/>
      <c r="HFD141" s="205"/>
      <c r="HFE141" s="204"/>
      <c r="HFF141" s="205"/>
      <c r="HFG141" s="204"/>
      <c r="HFH141" s="205"/>
      <c r="HFI141" s="204"/>
      <c r="HFJ141" s="205"/>
      <c r="HFK141" s="204"/>
      <c r="HFL141" s="205"/>
      <c r="HFM141" s="204"/>
      <c r="HFN141" s="205"/>
      <c r="HFO141" s="204"/>
      <c r="HFP141" s="205"/>
      <c r="HFQ141" s="204"/>
      <c r="HFR141" s="205"/>
      <c r="HFS141" s="204"/>
      <c r="HFT141" s="205"/>
      <c r="HFU141" s="204"/>
      <c r="HFV141" s="205"/>
      <c r="HFW141" s="204"/>
      <c r="HFX141" s="205"/>
      <c r="HFY141" s="204"/>
      <c r="HFZ141" s="205"/>
      <c r="HGA141" s="204"/>
      <c r="HGB141" s="205"/>
      <c r="HGC141" s="204"/>
      <c r="HGD141" s="205"/>
      <c r="HGE141" s="204"/>
      <c r="HGF141" s="205"/>
      <c r="HGG141" s="204"/>
      <c r="HGH141" s="205"/>
      <c r="HGI141" s="204"/>
      <c r="HGJ141" s="205"/>
      <c r="HGK141" s="204"/>
      <c r="HGL141" s="205"/>
      <c r="HGM141" s="204"/>
      <c r="HGN141" s="205"/>
      <c r="HGO141" s="204"/>
      <c r="HGP141" s="205"/>
      <c r="HGQ141" s="204"/>
      <c r="HGR141" s="205"/>
      <c r="HGS141" s="204"/>
      <c r="HGT141" s="205"/>
      <c r="HGU141" s="204"/>
      <c r="HGV141" s="205"/>
      <c r="HGW141" s="204"/>
      <c r="HGX141" s="205"/>
      <c r="HGY141" s="204"/>
      <c r="HGZ141" s="205"/>
      <c r="HHA141" s="204"/>
      <c r="HHB141" s="205"/>
      <c r="HHC141" s="204"/>
      <c r="HHD141" s="205"/>
      <c r="HHE141" s="204"/>
      <c r="HHF141" s="205"/>
      <c r="HHG141" s="204"/>
      <c r="HHH141" s="205"/>
      <c r="HHI141" s="204"/>
      <c r="HHJ141" s="205"/>
      <c r="HHK141" s="204"/>
      <c r="HHL141" s="205"/>
      <c r="HHM141" s="204"/>
      <c r="HHN141" s="205"/>
      <c r="HHO141" s="204"/>
      <c r="HHP141" s="205"/>
      <c r="HHQ141" s="204"/>
      <c r="HHR141" s="205"/>
      <c r="HHS141" s="204"/>
      <c r="HHT141" s="205"/>
      <c r="HHU141" s="204"/>
      <c r="HHV141" s="205"/>
      <c r="HHW141" s="204"/>
      <c r="HHX141" s="205"/>
      <c r="HHY141" s="204"/>
      <c r="HHZ141" s="205"/>
      <c r="HIA141" s="204"/>
      <c r="HIB141" s="205"/>
      <c r="HIC141" s="204"/>
      <c r="HID141" s="205"/>
      <c r="HIE141" s="204"/>
      <c r="HIF141" s="205"/>
      <c r="HIG141" s="204"/>
      <c r="HIH141" s="205"/>
      <c r="HII141" s="204"/>
      <c r="HIJ141" s="205"/>
      <c r="HIK141" s="204"/>
      <c r="HIL141" s="205"/>
      <c r="HIM141" s="204"/>
      <c r="HIN141" s="205"/>
      <c r="HIO141" s="204"/>
      <c r="HIP141" s="205"/>
      <c r="HIQ141" s="204"/>
      <c r="HIR141" s="205"/>
      <c r="HIS141" s="204"/>
      <c r="HIT141" s="205"/>
      <c r="HIU141" s="204"/>
      <c r="HIV141" s="205"/>
      <c r="HIW141" s="204"/>
      <c r="HIX141" s="205"/>
      <c r="HIY141" s="204"/>
      <c r="HIZ141" s="205"/>
      <c r="HJA141" s="204"/>
      <c r="HJB141" s="205"/>
      <c r="HJC141" s="204"/>
      <c r="HJD141" s="205"/>
      <c r="HJE141" s="204"/>
      <c r="HJF141" s="205"/>
      <c r="HJG141" s="204"/>
      <c r="HJH141" s="205"/>
      <c r="HJI141" s="204"/>
      <c r="HJJ141" s="205"/>
      <c r="HJK141" s="204"/>
      <c r="HJL141" s="205"/>
      <c r="HJM141" s="204"/>
      <c r="HJN141" s="205"/>
      <c r="HJO141" s="204"/>
      <c r="HJP141" s="205"/>
      <c r="HJQ141" s="204"/>
      <c r="HJR141" s="205"/>
      <c r="HJS141" s="204"/>
      <c r="HJT141" s="205"/>
      <c r="HJU141" s="204"/>
      <c r="HJV141" s="205"/>
      <c r="HJW141" s="204"/>
      <c r="HJX141" s="205"/>
      <c r="HJY141" s="204"/>
      <c r="HJZ141" s="205"/>
      <c r="HKA141" s="204"/>
      <c r="HKB141" s="205"/>
      <c r="HKC141" s="204"/>
      <c r="HKD141" s="205"/>
      <c r="HKE141" s="204"/>
      <c r="HKF141" s="205"/>
      <c r="HKG141" s="204"/>
      <c r="HKH141" s="205"/>
      <c r="HKI141" s="204"/>
      <c r="HKJ141" s="205"/>
      <c r="HKK141" s="204"/>
      <c r="HKL141" s="205"/>
      <c r="HKM141" s="204"/>
      <c r="HKN141" s="205"/>
      <c r="HKO141" s="204"/>
      <c r="HKP141" s="205"/>
      <c r="HKQ141" s="204"/>
      <c r="HKR141" s="205"/>
      <c r="HKS141" s="204"/>
      <c r="HKT141" s="205"/>
      <c r="HKU141" s="204"/>
      <c r="HKV141" s="205"/>
      <c r="HKW141" s="204"/>
      <c r="HKX141" s="205"/>
      <c r="HKY141" s="204"/>
      <c r="HKZ141" s="205"/>
      <c r="HLA141" s="204"/>
      <c r="HLB141" s="205"/>
      <c r="HLC141" s="204"/>
      <c r="HLD141" s="205"/>
      <c r="HLE141" s="204"/>
      <c r="HLF141" s="205"/>
      <c r="HLG141" s="204"/>
      <c r="HLH141" s="205"/>
      <c r="HLI141" s="204"/>
      <c r="HLJ141" s="205"/>
      <c r="HLK141" s="204"/>
      <c r="HLL141" s="205"/>
      <c r="HLM141" s="204"/>
      <c r="HLN141" s="205"/>
      <c r="HLO141" s="204"/>
      <c r="HLP141" s="205"/>
      <c r="HLQ141" s="204"/>
      <c r="HLR141" s="205"/>
      <c r="HLS141" s="204"/>
      <c r="HLT141" s="205"/>
      <c r="HLU141" s="204"/>
      <c r="HLV141" s="205"/>
      <c r="HLW141" s="204"/>
      <c r="HLX141" s="205"/>
      <c r="HLY141" s="204"/>
      <c r="HLZ141" s="205"/>
      <c r="HMA141" s="204"/>
      <c r="HMB141" s="205"/>
      <c r="HMC141" s="204"/>
      <c r="HMD141" s="205"/>
      <c r="HME141" s="204"/>
      <c r="HMF141" s="205"/>
      <c r="HMG141" s="204"/>
      <c r="HMH141" s="205"/>
      <c r="HMI141" s="204"/>
      <c r="HMJ141" s="205"/>
      <c r="HMK141" s="204"/>
      <c r="HML141" s="205"/>
      <c r="HMM141" s="204"/>
      <c r="HMN141" s="205"/>
      <c r="HMO141" s="204"/>
      <c r="HMP141" s="205"/>
      <c r="HMQ141" s="204"/>
      <c r="HMR141" s="205"/>
      <c r="HMS141" s="204"/>
      <c r="HMT141" s="205"/>
      <c r="HMU141" s="204"/>
      <c r="HMV141" s="205"/>
      <c r="HMW141" s="204"/>
      <c r="HMX141" s="205"/>
      <c r="HMY141" s="204"/>
      <c r="HMZ141" s="205"/>
      <c r="HNA141" s="204"/>
      <c r="HNB141" s="205"/>
      <c r="HNC141" s="204"/>
      <c r="HND141" s="205"/>
      <c r="HNE141" s="204"/>
      <c r="HNF141" s="205"/>
      <c r="HNG141" s="204"/>
      <c r="HNH141" s="205"/>
      <c r="HNI141" s="204"/>
      <c r="HNJ141" s="205"/>
      <c r="HNK141" s="204"/>
      <c r="HNL141" s="205"/>
      <c r="HNM141" s="204"/>
      <c r="HNN141" s="205"/>
      <c r="HNO141" s="204"/>
      <c r="HNP141" s="205"/>
      <c r="HNQ141" s="204"/>
      <c r="HNR141" s="205"/>
      <c r="HNS141" s="204"/>
      <c r="HNT141" s="205"/>
      <c r="HNU141" s="204"/>
      <c r="HNV141" s="205"/>
      <c r="HNW141" s="204"/>
      <c r="HNX141" s="205"/>
      <c r="HNY141" s="204"/>
      <c r="HNZ141" s="205"/>
      <c r="HOA141" s="204"/>
      <c r="HOB141" s="205"/>
      <c r="HOC141" s="204"/>
      <c r="HOD141" s="205"/>
      <c r="HOE141" s="204"/>
      <c r="HOF141" s="205"/>
      <c r="HOG141" s="204"/>
      <c r="HOH141" s="205"/>
      <c r="HOI141" s="204"/>
      <c r="HOJ141" s="205"/>
      <c r="HOK141" s="204"/>
      <c r="HOL141" s="205"/>
      <c r="HOM141" s="204"/>
      <c r="HON141" s="205"/>
      <c r="HOO141" s="204"/>
      <c r="HOP141" s="205"/>
      <c r="HOQ141" s="204"/>
      <c r="HOR141" s="205"/>
      <c r="HOS141" s="204"/>
      <c r="HOT141" s="205"/>
      <c r="HOU141" s="204"/>
      <c r="HOV141" s="205"/>
      <c r="HOW141" s="204"/>
      <c r="HOX141" s="205"/>
      <c r="HOY141" s="204"/>
      <c r="HOZ141" s="205"/>
      <c r="HPA141" s="204"/>
      <c r="HPB141" s="205"/>
      <c r="HPC141" s="204"/>
      <c r="HPD141" s="205"/>
      <c r="HPE141" s="204"/>
      <c r="HPF141" s="205"/>
      <c r="HPG141" s="204"/>
      <c r="HPH141" s="205"/>
      <c r="HPI141" s="204"/>
      <c r="HPJ141" s="205"/>
      <c r="HPK141" s="204"/>
      <c r="HPL141" s="205"/>
      <c r="HPM141" s="204"/>
      <c r="HPN141" s="205"/>
      <c r="HPO141" s="204"/>
      <c r="HPP141" s="205"/>
      <c r="HPQ141" s="204"/>
      <c r="HPR141" s="205"/>
      <c r="HPS141" s="204"/>
      <c r="HPT141" s="205"/>
      <c r="HPU141" s="204"/>
      <c r="HPV141" s="205"/>
      <c r="HPW141" s="204"/>
      <c r="HPX141" s="205"/>
      <c r="HPY141" s="204"/>
      <c r="HPZ141" s="205"/>
      <c r="HQA141" s="204"/>
      <c r="HQB141" s="205"/>
      <c r="HQC141" s="204"/>
      <c r="HQD141" s="205"/>
      <c r="HQE141" s="204"/>
      <c r="HQF141" s="205"/>
      <c r="HQG141" s="204"/>
      <c r="HQH141" s="205"/>
      <c r="HQI141" s="204"/>
      <c r="HQJ141" s="205"/>
      <c r="HQK141" s="204"/>
      <c r="HQL141" s="205"/>
      <c r="HQM141" s="204"/>
      <c r="HQN141" s="205"/>
      <c r="HQO141" s="204"/>
      <c r="HQP141" s="205"/>
      <c r="HQQ141" s="204"/>
      <c r="HQR141" s="205"/>
      <c r="HQS141" s="204"/>
      <c r="HQT141" s="205"/>
      <c r="HQU141" s="204"/>
      <c r="HQV141" s="205"/>
      <c r="HQW141" s="204"/>
      <c r="HQX141" s="205"/>
      <c r="HQY141" s="204"/>
      <c r="HQZ141" s="205"/>
      <c r="HRA141" s="204"/>
      <c r="HRB141" s="205"/>
      <c r="HRC141" s="204"/>
      <c r="HRD141" s="205"/>
      <c r="HRE141" s="204"/>
      <c r="HRF141" s="205"/>
      <c r="HRG141" s="204"/>
      <c r="HRH141" s="205"/>
      <c r="HRI141" s="204"/>
      <c r="HRJ141" s="205"/>
      <c r="HRK141" s="204"/>
      <c r="HRL141" s="205"/>
      <c r="HRM141" s="204"/>
      <c r="HRN141" s="205"/>
      <c r="HRO141" s="204"/>
      <c r="HRP141" s="205"/>
      <c r="HRQ141" s="204"/>
      <c r="HRR141" s="205"/>
      <c r="HRS141" s="204"/>
      <c r="HRT141" s="205"/>
      <c r="HRU141" s="204"/>
      <c r="HRV141" s="205"/>
      <c r="HRW141" s="204"/>
      <c r="HRX141" s="205"/>
      <c r="HRY141" s="204"/>
      <c r="HRZ141" s="205"/>
      <c r="HSA141" s="204"/>
      <c r="HSB141" s="205"/>
      <c r="HSC141" s="204"/>
      <c r="HSD141" s="205"/>
      <c r="HSE141" s="204"/>
      <c r="HSF141" s="205"/>
      <c r="HSG141" s="204"/>
      <c r="HSH141" s="205"/>
      <c r="HSI141" s="204"/>
      <c r="HSJ141" s="205"/>
      <c r="HSK141" s="204"/>
      <c r="HSL141" s="205"/>
      <c r="HSM141" s="204"/>
      <c r="HSN141" s="205"/>
      <c r="HSO141" s="204"/>
      <c r="HSP141" s="205"/>
      <c r="HSQ141" s="204"/>
      <c r="HSR141" s="205"/>
      <c r="HSS141" s="204"/>
      <c r="HST141" s="205"/>
      <c r="HSU141" s="204"/>
      <c r="HSV141" s="205"/>
      <c r="HSW141" s="204"/>
      <c r="HSX141" s="205"/>
      <c r="HSY141" s="204"/>
      <c r="HSZ141" s="205"/>
      <c r="HTA141" s="204"/>
      <c r="HTB141" s="205"/>
      <c r="HTC141" s="204"/>
      <c r="HTD141" s="205"/>
      <c r="HTE141" s="204"/>
      <c r="HTF141" s="205"/>
      <c r="HTG141" s="204"/>
      <c r="HTH141" s="205"/>
      <c r="HTI141" s="204"/>
      <c r="HTJ141" s="205"/>
      <c r="HTK141" s="204"/>
      <c r="HTL141" s="205"/>
      <c r="HTM141" s="204"/>
      <c r="HTN141" s="205"/>
      <c r="HTO141" s="204"/>
      <c r="HTP141" s="205"/>
      <c r="HTQ141" s="204"/>
      <c r="HTR141" s="205"/>
      <c r="HTS141" s="204"/>
      <c r="HTT141" s="205"/>
      <c r="HTU141" s="204"/>
      <c r="HTV141" s="205"/>
      <c r="HTW141" s="204"/>
      <c r="HTX141" s="205"/>
      <c r="HTY141" s="204"/>
      <c r="HTZ141" s="205"/>
      <c r="HUA141" s="204"/>
      <c r="HUB141" s="205"/>
      <c r="HUC141" s="204"/>
      <c r="HUD141" s="205"/>
      <c r="HUE141" s="204"/>
      <c r="HUF141" s="205"/>
      <c r="HUG141" s="204"/>
      <c r="HUH141" s="205"/>
      <c r="HUI141" s="204"/>
      <c r="HUJ141" s="205"/>
      <c r="HUK141" s="204"/>
      <c r="HUL141" s="205"/>
      <c r="HUM141" s="204"/>
      <c r="HUN141" s="205"/>
      <c r="HUO141" s="204"/>
      <c r="HUP141" s="205"/>
      <c r="HUQ141" s="204"/>
      <c r="HUR141" s="205"/>
      <c r="HUS141" s="204"/>
      <c r="HUT141" s="205"/>
      <c r="HUU141" s="204"/>
      <c r="HUV141" s="205"/>
      <c r="HUW141" s="204"/>
      <c r="HUX141" s="205"/>
      <c r="HUY141" s="204"/>
      <c r="HUZ141" s="205"/>
      <c r="HVA141" s="204"/>
      <c r="HVB141" s="205"/>
      <c r="HVC141" s="204"/>
      <c r="HVD141" s="205"/>
      <c r="HVE141" s="204"/>
      <c r="HVF141" s="205"/>
      <c r="HVG141" s="204"/>
      <c r="HVH141" s="205"/>
      <c r="HVI141" s="204"/>
      <c r="HVJ141" s="205"/>
      <c r="HVK141" s="204"/>
      <c r="HVL141" s="205"/>
      <c r="HVM141" s="204"/>
      <c r="HVN141" s="205"/>
      <c r="HVO141" s="204"/>
      <c r="HVP141" s="205"/>
      <c r="HVQ141" s="204"/>
      <c r="HVR141" s="205"/>
      <c r="HVS141" s="204"/>
      <c r="HVT141" s="205"/>
      <c r="HVU141" s="204"/>
      <c r="HVV141" s="205"/>
      <c r="HVW141" s="204"/>
      <c r="HVX141" s="205"/>
      <c r="HVY141" s="204"/>
      <c r="HVZ141" s="205"/>
      <c r="HWA141" s="204"/>
      <c r="HWB141" s="205"/>
      <c r="HWC141" s="204"/>
      <c r="HWD141" s="205"/>
      <c r="HWE141" s="204"/>
      <c r="HWF141" s="205"/>
      <c r="HWG141" s="204"/>
      <c r="HWH141" s="205"/>
      <c r="HWI141" s="204"/>
      <c r="HWJ141" s="205"/>
      <c r="HWK141" s="204"/>
      <c r="HWL141" s="205"/>
      <c r="HWM141" s="204"/>
      <c r="HWN141" s="205"/>
      <c r="HWO141" s="204"/>
      <c r="HWP141" s="205"/>
      <c r="HWQ141" s="204"/>
      <c r="HWR141" s="205"/>
      <c r="HWS141" s="204"/>
      <c r="HWT141" s="205"/>
      <c r="HWU141" s="204"/>
      <c r="HWV141" s="205"/>
      <c r="HWW141" s="204"/>
      <c r="HWX141" s="205"/>
      <c r="HWY141" s="204"/>
      <c r="HWZ141" s="205"/>
      <c r="HXA141" s="204"/>
      <c r="HXB141" s="205"/>
      <c r="HXC141" s="204"/>
      <c r="HXD141" s="205"/>
      <c r="HXE141" s="204"/>
      <c r="HXF141" s="205"/>
      <c r="HXG141" s="204"/>
      <c r="HXH141" s="205"/>
      <c r="HXI141" s="204"/>
      <c r="HXJ141" s="205"/>
      <c r="HXK141" s="204"/>
      <c r="HXL141" s="205"/>
      <c r="HXM141" s="204"/>
      <c r="HXN141" s="205"/>
      <c r="HXO141" s="204"/>
      <c r="HXP141" s="205"/>
      <c r="HXQ141" s="204"/>
      <c r="HXR141" s="205"/>
      <c r="HXS141" s="204"/>
      <c r="HXT141" s="205"/>
      <c r="HXU141" s="204"/>
      <c r="HXV141" s="205"/>
      <c r="HXW141" s="204"/>
      <c r="HXX141" s="205"/>
      <c r="HXY141" s="204"/>
      <c r="HXZ141" s="205"/>
      <c r="HYA141" s="204"/>
      <c r="HYB141" s="205"/>
      <c r="HYC141" s="204"/>
      <c r="HYD141" s="205"/>
      <c r="HYE141" s="204"/>
      <c r="HYF141" s="205"/>
      <c r="HYG141" s="204"/>
      <c r="HYH141" s="205"/>
      <c r="HYI141" s="204"/>
      <c r="HYJ141" s="205"/>
      <c r="HYK141" s="204"/>
      <c r="HYL141" s="205"/>
      <c r="HYM141" s="204"/>
      <c r="HYN141" s="205"/>
      <c r="HYO141" s="204"/>
      <c r="HYP141" s="205"/>
      <c r="HYQ141" s="204"/>
      <c r="HYR141" s="205"/>
      <c r="HYS141" s="204"/>
      <c r="HYT141" s="205"/>
      <c r="HYU141" s="204"/>
      <c r="HYV141" s="205"/>
      <c r="HYW141" s="204"/>
      <c r="HYX141" s="205"/>
      <c r="HYY141" s="204"/>
      <c r="HYZ141" s="205"/>
      <c r="HZA141" s="204"/>
      <c r="HZB141" s="205"/>
      <c r="HZC141" s="204"/>
      <c r="HZD141" s="205"/>
      <c r="HZE141" s="204"/>
      <c r="HZF141" s="205"/>
      <c r="HZG141" s="204"/>
      <c r="HZH141" s="205"/>
      <c r="HZI141" s="204"/>
      <c r="HZJ141" s="205"/>
      <c r="HZK141" s="204"/>
      <c r="HZL141" s="205"/>
      <c r="HZM141" s="204"/>
      <c r="HZN141" s="205"/>
      <c r="HZO141" s="204"/>
      <c r="HZP141" s="205"/>
      <c r="HZQ141" s="204"/>
      <c r="HZR141" s="205"/>
      <c r="HZS141" s="204"/>
      <c r="HZT141" s="205"/>
      <c r="HZU141" s="204"/>
      <c r="HZV141" s="205"/>
      <c r="HZW141" s="204"/>
      <c r="HZX141" s="205"/>
      <c r="HZY141" s="204"/>
      <c r="HZZ141" s="205"/>
      <c r="IAA141" s="204"/>
      <c r="IAB141" s="205"/>
      <c r="IAC141" s="204"/>
      <c r="IAD141" s="205"/>
      <c r="IAE141" s="204"/>
      <c r="IAF141" s="205"/>
      <c r="IAG141" s="204"/>
      <c r="IAH141" s="205"/>
      <c r="IAI141" s="204"/>
      <c r="IAJ141" s="205"/>
      <c r="IAK141" s="204"/>
      <c r="IAL141" s="205"/>
      <c r="IAM141" s="204"/>
      <c r="IAN141" s="205"/>
      <c r="IAO141" s="204"/>
      <c r="IAP141" s="205"/>
      <c r="IAQ141" s="204"/>
      <c r="IAR141" s="205"/>
      <c r="IAS141" s="204"/>
      <c r="IAT141" s="205"/>
      <c r="IAU141" s="204"/>
      <c r="IAV141" s="205"/>
      <c r="IAW141" s="204"/>
      <c r="IAX141" s="205"/>
      <c r="IAY141" s="204"/>
      <c r="IAZ141" s="205"/>
      <c r="IBA141" s="204"/>
      <c r="IBB141" s="205"/>
      <c r="IBC141" s="204"/>
      <c r="IBD141" s="205"/>
      <c r="IBE141" s="204"/>
      <c r="IBF141" s="205"/>
      <c r="IBG141" s="204"/>
      <c r="IBH141" s="205"/>
      <c r="IBI141" s="204"/>
      <c r="IBJ141" s="205"/>
      <c r="IBK141" s="204"/>
      <c r="IBL141" s="205"/>
      <c r="IBM141" s="204"/>
      <c r="IBN141" s="205"/>
      <c r="IBO141" s="204"/>
      <c r="IBP141" s="205"/>
      <c r="IBQ141" s="204"/>
      <c r="IBR141" s="205"/>
      <c r="IBS141" s="204"/>
      <c r="IBT141" s="205"/>
      <c r="IBU141" s="204"/>
      <c r="IBV141" s="205"/>
      <c r="IBW141" s="204"/>
      <c r="IBX141" s="205"/>
      <c r="IBY141" s="204"/>
      <c r="IBZ141" s="205"/>
      <c r="ICA141" s="204"/>
      <c r="ICB141" s="205"/>
      <c r="ICC141" s="204"/>
      <c r="ICD141" s="205"/>
      <c r="ICE141" s="204"/>
      <c r="ICF141" s="205"/>
      <c r="ICG141" s="204"/>
      <c r="ICH141" s="205"/>
      <c r="ICI141" s="204"/>
      <c r="ICJ141" s="205"/>
      <c r="ICK141" s="204"/>
      <c r="ICL141" s="205"/>
      <c r="ICM141" s="204"/>
      <c r="ICN141" s="205"/>
      <c r="ICO141" s="204"/>
      <c r="ICP141" s="205"/>
      <c r="ICQ141" s="204"/>
      <c r="ICR141" s="205"/>
      <c r="ICS141" s="204"/>
      <c r="ICT141" s="205"/>
      <c r="ICU141" s="204"/>
      <c r="ICV141" s="205"/>
      <c r="ICW141" s="204"/>
      <c r="ICX141" s="205"/>
      <c r="ICY141" s="204"/>
      <c r="ICZ141" s="205"/>
      <c r="IDA141" s="204"/>
      <c r="IDB141" s="205"/>
      <c r="IDC141" s="204"/>
      <c r="IDD141" s="205"/>
      <c r="IDE141" s="204"/>
      <c r="IDF141" s="205"/>
      <c r="IDG141" s="204"/>
      <c r="IDH141" s="205"/>
      <c r="IDI141" s="204"/>
      <c r="IDJ141" s="205"/>
      <c r="IDK141" s="204"/>
      <c r="IDL141" s="205"/>
      <c r="IDM141" s="204"/>
      <c r="IDN141" s="205"/>
      <c r="IDO141" s="204"/>
      <c r="IDP141" s="205"/>
      <c r="IDQ141" s="204"/>
      <c r="IDR141" s="205"/>
      <c r="IDS141" s="204"/>
      <c r="IDT141" s="205"/>
      <c r="IDU141" s="204"/>
      <c r="IDV141" s="205"/>
      <c r="IDW141" s="204"/>
      <c r="IDX141" s="205"/>
      <c r="IDY141" s="204"/>
      <c r="IDZ141" s="205"/>
      <c r="IEA141" s="204"/>
      <c r="IEB141" s="205"/>
      <c r="IEC141" s="204"/>
      <c r="IED141" s="205"/>
      <c r="IEE141" s="204"/>
      <c r="IEF141" s="205"/>
      <c r="IEG141" s="204"/>
      <c r="IEH141" s="205"/>
      <c r="IEI141" s="204"/>
      <c r="IEJ141" s="205"/>
      <c r="IEK141" s="204"/>
      <c r="IEL141" s="205"/>
      <c r="IEM141" s="204"/>
      <c r="IEN141" s="205"/>
      <c r="IEO141" s="204"/>
      <c r="IEP141" s="205"/>
      <c r="IEQ141" s="204"/>
      <c r="IER141" s="205"/>
      <c r="IES141" s="204"/>
      <c r="IET141" s="205"/>
      <c r="IEU141" s="204"/>
      <c r="IEV141" s="205"/>
      <c r="IEW141" s="204"/>
      <c r="IEX141" s="205"/>
      <c r="IEY141" s="204"/>
      <c r="IEZ141" s="205"/>
      <c r="IFA141" s="204"/>
      <c r="IFB141" s="205"/>
      <c r="IFC141" s="204"/>
      <c r="IFD141" s="205"/>
      <c r="IFE141" s="204"/>
      <c r="IFF141" s="205"/>
      <c r="IFG141" s="204"/>
      <c r="IFH141" s="205"/>
      <c r="IFI141" s="204"/>
      <c r="IFJ141" s="205"/>
      <c r="IFK141" s="204"/>
      <c r="IFL141" s="205"/>
      <c r="IFM141" s="204"/>
      <c r="IFN141" s="205"/>
      <c r="IFO141" s="204"/>
      <c r="IFP141" s="205"/>
      <c r="IFQ141" s="204"/>
      <c r="IFR141" s="205"/>
      <c r="IFS141" s="204"/>
      <c r="IFT141" s="205"/>
      <c r="IFU141" s="204"/>
      <c r="IFV141" s="205"/>
      <c r="IFW141" s="204"/>
      <c r="IFX141" s="205"/>
      <c r="IFY141" s="204"/>
      <c r="IFZ141" s="205"/>
      <c r="IGA141" s="204"/>
      <c r="IGB141" s="205"/>
      <c r="IGC141" s="204"/>
      <c r="IGD141" s="205"/>
      <c r="IGE141" s="204"/>
      <c r="IGF141" s="205"/>
      <c r="IGG141" s="204"/>
      <c r="IGH141" s="205"/>
      <c r="IGI141" s="204"/>
      <c r="IGJ141" s="205"/>
      <c r="IGK141" s="204"/>
      <c r="IGL141" s="205"/>
      <c r="IGM141" s="204"/>
      <c r="IGN141" s="205"/>
      <c r="IGO141" s="204"/>
      <c r="IGP141" s="205"/>
      <c r="IGQ141" s="204"/>
      <c r="IGR141" s="205"/>
      <c r="IGS141" s="204"/>
      <c r="IGT141" s="205"/>
      <c r="IGU141" s="204"/>
      <c r="IGV141" s="205"/>
      <c r="IGW141" s="204"/>
      <c r="IGX141" s="205"/>
      <c r="IGY141" s="204"/>
      <c r="IGZ141" s="205"/>
      <c r="IHA141" s="204"/>
      <c r="IHB141" s="205"/>
      <c r="IHC141" s="204"/>
      <c r="IHD141" s="205"/>
      <c r="IHE141" s="204"/>
      <c r="IHF141" s="205"/>
      <c r="IHG141" s="204"/>
      <c r="IHH141" s="205"/>
      <c r="IHI141" s="204"/>
      <c r="IHJ141" s="205"/>
      <c r="IHK141" s="204"/>
      <c r="IHL141" s="205"/>
      <c r="IHM141" s="204"/>
      <c r="IHN141" s="205"/>
      <c r="IHO141" s="204"/>
      <c r="IHP141" s="205"/>
      <c r="IHQ141" s="204"/>
      <c r="IHR141" s="205"/>
      <c r="IHS141" s="204"/>
      <c r="IHT141" s="205"/>
      <c r="IHU141" s="204"/>
      <c r="IHV141" s="205"/>
      <c r="IHW141" s="204"/>
      <c r="IHX141" s="205"/>
      <c r="IHY141" s="204"/>
      <c r="IHZ141" s="205"/>
      <c r="IIA141" s="204"/>
      <c r="IIB141" s="205"/>
      <c r="IIC141" s="204"/>
      <c r="IID141" s="205"/>
      <c r="IIE141" s="204"/>
      <c r="IIF141" s="205"/>
      <c r="IIG141" s="204"/>
      <c r="IIH141" s="205"/>
      <c r="III141" s="204"/>
      <c r="IIJ141" s="205"/>
      <c r="IIK141" s="204"/>
      <c r="IIL141" s="205"/>
      <c r="IIM141" s="204"/>
      <c r="IIN141" s="205"/>
      <c r="IIO141" s="204"/>
      <c r="IIP141" s="205"/>
      <c r="IIQ141" s="204"/>
      <c r="IIR141" s="205"/>
      <c r="IIS141" s="204"/>
      <c r="IIT141" s="205"/>
      <c r="IIU141" s="204"/>
      <c r="IIV141" s="205"/>
      <c r="IIW141" s="204"/>
      <c r="IIX141" s="205"/>
      <c r="IIY141" s="204"/>
      <c r="IIZ141" s="205"/>
      <c r="IJA141" s="204"/>
      <c r="IJB141" s="205"/>
      <c r="IJC141" s="204"/>
      <c r="IJD141" s="205"/>
      <c r="IJE141" s="204"/>
      <c r="IJF141" s="205"/>
      <c r="IJG141" s="204"/>
      <c r="IJH141" s="205"/>
      <c r="IJI141" s="204"/>
      <c r="IJJ141" s="205"/>
      <c r="IJK141" s="204"/>
      <c r="IJL141" s="205"/>
      <c r="IJM141" s="204"/>
      <c r="IJN141" s="205"/>
      <c r="IJO141" s="204"/>
      <c r="IJP141" s="205"/>
      <c r="IJQ141" s="204"/>
      <c r="IJR141" s="205"/>
      <c r="IJS141" s="204"/>
      <c r="IJT141" s="205"/>
      <c r="IJU141" s="204"/>
      <c r="IJV141" s="205"/>
      <c r="IJW141" s="204"/>
      <c r="IJX141" s="205"/>
      <c r="IJY141" s="204"/>
      <c r="IJZ141" s="205"/>
      <c r="IKA141" s="204"/>
      <c r="IKB141" s="205"/>
      <c r="IKC141" s="204"/>
      <c r="IKD141" s="205"/>
      <c r="IKE141" s="204"/>
      <c r="IKF141" s="205"/>
      <c r="IKG141" s="204"/>
      <c r="IKH141" s="205"/>
      <c r="IKI141" s="204"/>
      <c r="IKJ141" s="205"/>
      <c r="IKK141" s="204"/>
      <c r="IKL141" s="205"/>
      <c r="IKM141" s="204"/>
      <c r="IKN141" s="205"/>
      <c r="IKO141" s="204"/>
      <c r="IKP141" s="205"/>
      <c r="IKQ141" s="204"/>
      <c r="IKR141" s="205"/>
      <c r="IKS141" s="204"/>
      <c r="IKT141" s="205"/>
      <c r="IKU141" s="204"/>
      <c r="IKV141" s="205"/>
      <c r="IKW141" s="204"/>
      <c r="IKX141" s="205"/>
      <c r="IKY141" s="204"/>
      <c r="IKZ141" s="205"/>
      <c r="ILA141" s="204"/>
      <c r="ILB141" s="205"/>
      <c r="ILC141" s="204"/>
      <c r="ILD141" s="205"/>
      <c r="ILE141" s="204"/>
      <c r="ILF141" s="205"/>
      <c r="ILG141" s="204"/>
      <c r="ILH141" s="205"/>
      <c r="ILI141" s="204"/>
      <c r="ILJ141" s="205"/>
      <c r="ILK141" s="204"/>
      <c r="ILL141" s="205"/>
      <c r="ILM141" s="204"/>
      <c r="ILN141" s="205"/>
      <c r="ILO141" s="204"/>
      <c r="ILP141" s="205"/>
      <c r="ILQ141" s="204"/>
      <c r="ILR141" s="205"/>
      <c r="ILS141" s="204"/>
      <c r="ILT141" s="205"/>
      <c r="ILU141" s="204"/>
      <c r="ILV141" s="205"/>
      <c r="ILW141" s="204"/>
      <c r="ILX141" s="205"/>
      <c r="ILY141" s="204"/>
      <c r="ILZ141" s="205"/>
      <c r="IMA141" s="204"/>
      <c r="IMB141" s="205"/>
      <c r="IMC141" s="204"/>
      <c r="IMD141" s="205"/>
      <c r="IME141" s="204"/>
      <c r="IMF141" s="205"/>
      <c r="IMG141" s="204"/>
      <c r="IMH141" s="205"/>
      <c r="IMI141" s="204"/>
      <c r="IMJ141" s="205"/>
      <c r="IMK141" s="204"/>
      <c r="IML141" s="205"/>
      <c r="IMM141" s="204"/>
      <c r="IMN141" s="205"/>
      <c r="IMO141" s="204"/>
      <c r="IMP141" s="205"/>
      <c r="IMQ141" s="204"/>
      <c r="IMR141" s="205"/>
      <c r="IMS141" s="204"/>
      <c r="IMT141" s="205"/>
      <c r="IMU141" s="204"/>
      <c r="IMV141" s="205"/>
      <c r="IMW141" s="204"/>
      <c r="IMX141" s="205"/>
      <c r="IMY141" s="204"/>
      <c r="IMZ141" s="205"/>
      <c r="INA141" s="204"/>
      <c r="INB141" s="205"/>
      <c r="INC141" s="204"/>
      <c r="IND141" s="205"/>
      <c r="INE141" s="204"/>
      <c r="INF141" s="205"/>
      <c r="ING141" s="204"/>
      <c r="INH141" s="205"/>
      <c r="INI141" s="204"/>
      <c r="INJ141" s="205"/>
      <c r="INK141" s="204"/>
      <c r="INL141" s="205"/>
      <c r="INM141" s="204"/>
      <c r="INN141" s="205"/>
      <c r="INO141" s="204"/>
      <c r="INP141" s="205"/>
      <c r="INQ141" s="204"/>
      <c r="INR141" s="205"/>
      <c r="INS141" s="204"/>
      <c r="INT141" s="205"/>
      <c r="INU141" s="204"/>
      <c r="INV141" s="205"/>
      <c r="INW141" s="204"/>
      <c r="INX141" s="205"/>
      <c r="INY141" s="204"/>
      <c r="INZ141" s="205"/>
      <c r="IOA141" s="204"/>
      <c r="IOB141" s="205"/>
      <c r="IOC141" s="204"/>
      <c r="IOD141" s="205"/>
      <c r="IOE141" s="204"/>
      <c r="IOF141" s="205"/>
      <c r="IOG141" s="204"/>
      <c r="IOH141" s="205"/>
      <c r="IOI141" s="204"/>
      <c r="IOJ141" s="205"/>
      <c r="IOK141" s="204"/>
      <c r="IOL141" s="205"/>
      <c r="IOM141" s="204"/>
      <c r="ION141" s="205"/>
      <c r="IOO141" s="204"/>
      <c r="IOP141" s="205"/>
      <c r="IOQ141" s="204"/>
      <c r="IOR141" s="205"/>
      <c r="IOS141" s="204"/>
      <c r="IOT141" s="205"/>
      <c r="IOU141" s="204"/>
      <c r="IOV141" s="205"/>
      <c r="IOW141" s="204"/>
      <c r="IOX141" s="205"/>
      <c r="IOY141" s="204"/>
      <c r="IOZ141" s="205"/>
      <c r="IPA141" s="204"/>
      <c r="IPB141" s="205"/>
      <c r="IPC141" s="204"/>
      <c r="IPD141" s="205"/>
      <c r="IPE141" s="204"/>
      <c r="IPF141" s="205"/>
      <c r="IPG141" s="204"/>
      <c r="IPH141" s="205"/>
      <c r="IPI141" s="204"/>
      <c r="IPJ141" s="205"/>
      <c r="IPK141" s="204"/>
      <c r="IPL141" s="205"/>
      <c r="IPM141" s="204"/>
      <c r="IPN141" s="205"/>
      <c r="IPO141" s="204"/>
      <c r="IPP141" s="205"/>
      <c r="IPQ141" s="204"/>
      <c r="IPR141" s="205"/>
      <c r="IPS141" s="204"/>
      <c r="IPT141" s="205"/>
      <c r="IPU141" s="204"/>
      <c r="IPV141" s="205"/>
      <c r="IPW141" s="204"/>
      <c r="IPX141" s="205"/>
      <c r="IPY141" s="204"/>
      <c r="IPZ141" s="205"/>
      <c r="IQA141" s="204"/>
      <c r="IQB141" s="205"/>
      <c r="IQC141" s="204"/>
      <c r="IQD141" s="205"/>
      <c r="IQE141" s="204"/>
      <c r="IQF141" s="205"/>
      <c r="IQG141" s="204"/>
      <c r="IQH141" s="205"/>
      <c r="IQI141" s="204"/>
      <c r="IQJ141" s="205"/>
      <c r="IQK141" s="204"/>
      <c r="IQL141" s="205"/>
      <c r="IQM141" s="204"/>
      <c r="IQN141" s="205"/>
      <c r="IQO141" s="204"/>
      <c r="IQP141" s="205"/>
      <c r="IQQ141" s="204"/>
      <c r="IQR141" s="205"/>
      <c r="IQS141" s="204"/>
      <c r="IQT141" s="205"/>
      <c r="IQU141" s="204"/>
      <c r="IQV141" s="205"/>
      <c r="IQW141" s="204"/>
      <c r="IQX141" s="205"/>
      <c r="IQY141" s="204"/>
      <c r="IQZ141" s="205"/>
      <c r="IRA141" s="204"/>
      <c r="IRB141" s="205"/>
      <c r="IRC141" s="204"/>
      <c r="IRD141" s="205"/>
      <c r="IRE141" s="204"/>
      <c r="IRF141" s="205"/>
      <c r="IRG141" s="204"/>
      <c r="IRH141" s="205"/>
      <c r="IRI141" s="204"/>
      <c r="IRJ141" s="205"/>
      <c r="IRK141" s="204"/>
      <c r="IRL141" s="205"/>
      <c r="IRM141" s="204"/>
      <c r="IRN141" s="205"/>
      <c r="IRO141" s="204"/>
      <c r="IRP141" s="205"/>
      <c r="IRQ141" s="204"/>
      <c r="IRR141" s="205"/>
      <c r="IRS141" s="204"/>
      <c r="IRT141" s="205"/>
      <c r="IRU141" s="204"/>
      <c r="IRV141" s="205"/>
      <c r="IRW141" s="204"/>
      <c r="IRX141" s="205"/>
      <c r="IRY141" s="204"/>
      <c r="IRZ141" s="205"/>
      <c r="ISA141" s="204"/>
      <c r="ISB141" s="205"/>
      <c r="ISC141" s="204"/>
      <c r="ISD141" s="205"/>
      <c r="ISE141" s="204"/>
      <c r="ISF141" s="205"/>
      <c r="ISG141" s="204"/>
      <c r="ISH141" s="205"/>
      <c r="ISI141" s="204"/>
      <c r="ISJ141" s="205"/>
      <c r="ISK141" s="204"/>
      <c r="ISL141" s="205"/>
      <c r="ISM141" s="204"/>
      <c r="ISN141" s="205"/>
      <c r="ISO141" s="204"/>
      <c r="ISP141" s="205"/>
      <c r="ISQ141" s="204"/>
      <c r="ISR141" s="205"/>
      <c r="ISS141" s="204"/>
      <c r="IST141" s="205"/>
      <c r="ISU141" s="204"/>
      <c r="ISV141" s="205"/>
      <c r="ISW141" s="204"/>
      <c r="ISX141" s="205"/>
      <c r="ISY141" s="204"/>
      <c r="ISZ141" s="205"/>
      <c r="ITA141" s="204"/>
      <c r="ITB141" s="205"/>
      <c r="ITC141" s="204"/>
      <c r="ITD141" s="205"/>
      <c r="ITE141" s="204"/>
      <c r="ITF141" s="205"/>
      <c r="ITG141" s="204"/>
      <c r="ITH141" s="205"/>
      <c r="ITI141" s="204"/>
      <c r="ITJ141" s="205"/>
      <c r="ITK141" s="204"/>
      <c r="ITL141" s="205"/>
      <c r="ITM141" s="204"/>
      <c r="ITN141" s="205"/>
      <c r="ITO141" s="204"/>
      <c r="ITP141" s="205"/>
      <c r="ITQ141" s="204"/>
      <c r="ITR141" s="205"/>
      <c r="ITS141" s="204"/>
      <c r="ITT141" s="205"/>
      <c r="ITU141" s="204"/>
      <c r="ITV141" s="205"/>
      <c r="ITW141" s="204"/>
      <c r="ITX141" s="205"/>
      <c r="ITY141" s="204"/>
      <c r="ITZ141" s="205"/>
      <c r="IUA141" s="204"/>
      <c r="IUB141" s="205"/>
      <c r="IUC141" s="204"/>
      <c r="IUD141" s="205"/>
      <c r="IUE141" s="204"/>
      <c r="IUF141" s="205"/>
      <c r="IUG141" s="204"/>
      <c r="IUH141" s="205"/>
      <c r="IUI141" s="204"/>
      <c r="IUJ141" s="205"/>
      <c r="IUK141" s="204"/>
      <c r="IUL141" s="205"/>
      <c r="IUM141" s="204"/>
      <c r="IUN141" s="205"/>
      <c r="IUO141" s="204"/>
      <c r="IUP141" s="205"/>
      <c r="IUQ141" s="204"/>
      <c r="IUR141" s="205"/>
      <c r="IUS141" s="204"/>
      <c r="IUT141" s="205"/>
      <c r="IUU141" s="204"/>
      <c r="IUV141" s="205"/>
      <c r="IUW141" s="204"/>
      <c r="IUX141" s="205"/>
      <c r="IUY141" s="204"/>
      <c r="IUZ141" s="205"/>
      <c r="IVA141" s="204"/>
      <c r="IVB141" s="205"/>
      <c r="IVC141" s="204"/>
      <c r="IVD141" s="205"/>
      <c r="IVE141" s="204"/>
      <c r="IVF141" s="205"/>
      <c r="IVG141" s="204"/>
      <c r="IVH141" s="205"/>
      <c r="IVI141" s="204"/>
      <c r="IVJ141" s="205"/>
      <c r="IVK141" s="204"/>
      <c r="IVL141" s="205"/>
      <c r="IVM141" s="204"/>
      <c r="IVN141" s="205"/>
      <c r="IVO141" s="204"/>
      <c r="IVP141" s="205"/>
      <c r="IVQ141" s="204"/>
      <c r="IVR141" s="205"/>
      <c r="IVS141" s="204"/>
      <c r="IVT141" s="205"/>
      <c r="IVU141" s="204"/>
      <c r="IVV141" s="205"/>
      <c r="IVW141" s="204"/>
      <c r="IVX141" s="205"/>
      <c r="IVY141" s="204"/>
      <c r="IVZ141" s="205"/>
      <c r="IWA141" s="204"/>
      <c r="IWB141" s="205"/>
      <c r="IWC141" s="204"/>
      <c r="IWD141" s="205"/>
      <c r="IWE141" s="204"/>
      <c r="IWF141" s="205"/>
      <c r="IWG141" s="204"/>
      <c r="IWH141" s="205"/>
      <c r="IWI141" s="204"/>
      <c r="IWJ141" s="205"/>
      <c r="IWK141" s="204"/>
      <c r="IWL141" s="205"/>
      <c r="IWM141" s="204"/>
      <c r="IWN141" s="205"/>
      <c r="IWO141" s="204"/>
      <c r="IWP141" s="205"/>
      <c r="IWQ141" s="204"/>
      <c r="IWR141" s="205"/>
      <c r="IWS141" s="204"/>
      <c r="IWT141" s="205"/>
      <c r="IWU141" s="204"/>
      <c r="IWV141" s="205"/>
      <c r="IWW141" s="204"/>
      <c r="IWX141" s="205"/>
      <c r="IWY141" s="204"/>
      <c r="IWZ141" s="205"/>
      <c r="IXA141" s="204"/>
      <c r="IXB141" s="205"/>
      <c r="IXC141" s="204"/>
      <c r="IXD141" s="205"/>
      <c r="IXE141" s="204"/>
      <c r="IXF141" s="205"/>
      <c r="IXG141" s="204"/>
      <c r="IXH141" s="205"/>
      <c r="IXI141" s="204"/>
      <c r="IXJ141" s="205"/>
      <c r="IXK141" s="204"/>
      <c r="IXL141" s="205"/>
      <c r="IXM141" s="204"/>
      <c r="IXN141" s="205"/>
      <c r="IXO141" s="204"/>
      <c r="IXP141" s="205"/>
      <c r="IXQ141" s="204"/>
      <c r="IXR141" s="205"/>
      <c r="IXS141" s="204"/>
      <c r="IXT141" s="205"/>
      <c r="IXU141" s="204"/>
      <c r="IXV141" s="205"/>
      <c r="IXW141" s="204"/>
      <c r="IXX141" s="205"/>
      <c r="IXY141" s="204"/>
      <c r="IXZ141" s="205"/>
      <c r="IYA141" s="204"/>
      <c r="IYB141" s="205"/>
      <c r="IYC141" s="204"/>
      <c r="IYD141" s="205"/>
      <c r="IYE141" s="204"/>
      <c r="IYF141" s="205"/>
      <c r="IYG141" s="204"/>
      <c r="IYH141" s="205"/>
      <c r="IYI141" s="204"/>
      <c r="IYJ141" s="205"/>
      <c r="IYK141" s="204"/>
      <c r="IYL141" s="205"/>
      <c r="IYM141" s="204"/>
      <c r="IYN141" s="205"/>
      <c r="IYO141" s="204"/>
      <c r="IYP141" s="205"/>
      <c r="IYQ141" s="204"/>
      <c r="IYR141" s="205"/>
      <c r="IYS141" s="204"/>
      <c r="IYT141" s="205"/>
      <c r="IYU141" s="204"/>
      <c r="IYV141" s="205"/>
      <c r="IYW141" s="204"/>
      <c r="IYX141" s="205"/>
      <c r="IYY141" s="204"/>
      <c r="IYZ141" s="205"/>
      <c r="IZA141" s="204"/>
      <c r="IZB141" s="205"/>
      <c r="IZC141" s="204"/>
      <c r="IZD141" s="205"/>
      <c r="IZE141" s="204"/>
      <c r="IZF141" s="205"/>
      <c r="IZG141" s="204"/>
      <c r="IZH141" s="205"/>
      <c r="IZI141" s="204"/>
      <c r="IZJ141" s="205"/>
      <c r="IZK141" s="204"/>
      <c r="IZL141" s="205"/>
      <c r="IZM141" s="204"/>
      <c r="IZN141" s="205"/>
      <c r="IZO141" s="204"/>
      <c r="IZP141" s="205"/>
      <c r="IZQ141" s="204"/>
      <c r="IZR141" s="205"/>
      <c r="IZS141" s="204"/>
      <c r="IZT141" s="205"/>
      <c r="IZU141" s="204"/>
      <c r="IZV141" s="205"/>
      <c r="IZW141" s="204"/>
      <c r="IZX141" s="205"/>
      <c r="IZY141" s="204"/>
      <c r="IZZ141" s="205"/>
      <c r="JAA141" s="204"/>
      <c r="JAB141" s="205"/>
      <c r="JAC141" s="204"/>
      <c r="JAD141" s="205"/>
      <c r="JAE141" s="204"/>
      <c r="JAF141" s="205"/>
      <c r="JAG141" s="204"/>
      <c r="JAH141" s="205"/>
      <c r="JAI141" s="204"/>
      <c r="JAJ141" s="205"/>
      <c r="JAK141" s="204"/>
      <c r="JAL141" s="205"/>
      <c r="JAM141" s="204"/>
      <c r="JAN141" s="205"/>
      <c r="JAO141" s="204"/>
      <c r="JAP141" s="205"/>
      <c r="JAQ141" s="204"/>
      <c r="JAR141" s="205"/>
      <c r="JAS141" s="204"/>
      <c r="JAT141" s="205"/>
      <c r="JAU141" s="204"/>
      <c r="JAV141" s="205"/>
      <c r="JAW141" s="204"/>
      <c r="JAX141" s="205"/>
      <c r="JAY141" s="204"/>
      <c r="JAZ141" s="205"/>
      <c r="JBA141" s="204"/>
      <c r="JBB141" s="205"/>
      <c r="JBC141" s="204"/>
      <c r="JBD141" s="205"/>
      <c r="JBE141" s="204"/>
      <c r="JBF141" s="205"/>
      <c r="JBG141" s="204"/>
      <c r="JBH141" s="205"/>
      <c r="JBI141" s="204"/>
      <c r="JBJ141" s="205"/>
      <c r="JBK141" s="204"/>
      <c r="JBL141" s="205"/>
      <c r="JBM141" s="204"/>
      <c r="JBN141" s="205"/>
      <c r="JBO141" s="204"/>
      <c r="JBP141" s="205"/>
      <c r="JBQ141" s="204"/>
      <c r="JBR141" s="205"/>
      <c r="JBS141" s="204"/>
      <c r="JBT141" s="205"/>
      <c r="JBU141" s="204"/>
      <c r="JBV141" s="205"/>
      <c r="JBW141" s="204"/>
      <c r="JBX141" s="205"/>
      <c r="JBY141" s="204"/>
      <c r="JBZ141" s="205"/>
      <c r="JCA141" s="204"/>
      <c r="JCB141" s="205"/>
      <c r="JCC141" s="204"/>
      <c r="JCD141" s="205"/>
      <c r="JCE141" s="204"/>
      <c r="JCF141" s="205"/>
      <c r="JCG141" s="204"/>
      <c r="JCH141" s="205"/>
      <c r="JCI141" s="204"/>
      <c r="JCJ141" s="205"/>
      <c r="JCK141" s="204"/>
      <c r="JCL141" s="205"/>
      <c r="JCM141" s="204"/>
      <c r="JCN141" s="205"/>
      <c r="JCO141" s="204"/>
      <c r="JCP141" s="205"/>
      <c r="JCQ141" s="204"/>
      <c r="JCR141" s="205"/>
      <c r="JCS141" s="204"/>
      <c r="JCT141" s="205"/>
      <c r="JCU141" s="204"/>
      <c r="JCV141" s="205"/>
      <c r="JCW141" s="204"/>
      <c r="JCX141" s="205"/>
      <c r="JCY141" s="204"/>
      <c r="JCZ141" s="205"/>
      <c r="JDA141" s="204"/>
      <c r="JDB141" s="205"/>
      <c r="JDC141" s="204"/>
      <c r="JDD141" s="205"/>
      <c r="JDE141" s="204"/>
      <c r="JDF141" s="205"/>
      <c r="JDG141" s="204"/>
      <c r="JDH141" s="205"/>
      <c r="JDI141" s="204"/>
      <c r="JDJ141" s="205"/>
      <c r="JDK141" s="204"/>
      <c r="JDL141" s="205"/>
      <c r="JDM141" s="204"/>
      <c r="JDN141" s="205"/>
      <c r="JDO141" s="204"/>
      <c r="JDP141" s="205"/>
      <c r="JDQ141" s="204"/>
      <c r="JDR141" s="205"/>
      <c r="JDS141" s="204"/>
      <c r="JDT141" s="205"/>
      <c r="JDU141" s="204"/>
      <c r="JDV141" s="205"/>
      <c r="JDW141" s="204"/>
      <c r="JDX141" s="205"/>
      <c r="JDY141" s="204"/>
      <c r="JDZ141" s="205"/>
      <c r="JEA141" s="204"/>
      <c r="JEB141" s="205"/>
      <c r="JEC141" s="204"/>
      <c r="JED141" s="205"/>
      <c r="JEE141" s="204"/>
      <c r="JEF141" s="205"/>
      <c r="JEG141" s="204"/>
      <c r="JEH141" s="205"/>
      <c r="JEI141" s="204"/>
      <c r="JEJ141" s="205"/>
      <c r="JEK141" s="204"/>
      <c r="JEL141" s="205"/>
      <c r="JEM141" s="204"/>
      <c r="JEN141" s="205"/>
      <c r="JEO141" s="204"/>
      <c r="JEP141" s="205"/>
      <c r="JEQ141" s="204"/>
      <c r="JER141" s="205"/>
      <c r="JES141" s="204"/>
      <c r="JET141" s="205"/>
      <c r="JEU141" s="204"/>
      <c r="JEV141" s="205"/>
      <c r="JEW141" s="204"/>
      <c r="JEX141" s="205"/>
      <c r="JEY141" s="204"/>
      <c r="JEZ141" s="205"/>
      <c r="JFA141" s="204"/>
      <c r="JFB141" s="205"/>
      <c r="JFC141" s="204"/>
      <c r="JFD141" s="205"/>
      <c r="JFE141" s="204"/>
      <c r="JFF141" s="205"/>
      <c r="JFG141" s="204"/>
      <c r="JFH141" s="205"/>
      <c r="JFI141" s="204"/>
      <c r="JFJ141" s="205"/>
      <c r="JFK141" s="204"/>
      <c r="JFL141" s="205"/>
      <c r="JFM141" s="204"/>
      <c r="JFN141" s="205"/>
      <c r="JFO141" s="204"/>
      <c r="JFP141" s="205"/>
      <c r="JFQ141" s="204"/>
      <c r="JFR141" s="205"/>
      <c r="JFS141" s="204"/>
      <c r="JFT141" s="205"/>
      <c r="JFU141" s="204"/>
      <c r="JFV141" s="205"/>
      <c r="JFW141" s="204"/>
      <c r="JFX141" s="205"/>
      <c r="JFY141" s="204"/>
      <c r="JFZ141" s="205"/>
      <c r="JGA141" s="204"/>
      <c r="JGB141" s="205"/>
      <c r="JGC141" s="204"/>
      <c r="JGD141" s="205"/>
      <c r="JGE141" s="204"/>
      <c r="JGF141" s="205"/>
      <c r="JGG141" s="204"/>
      <c r="JGH141" s="205"/>
      <c r="JGI141" s="204"/>
      <c r="JGJ141" s="205"/>
      <c r="JGK141" s="204"/>
      <c r="JGL141" s="205"/>
      <c r="JGM141" s="204"/>
      <c r="JGN141" s="205"/>
      <c r="JGO141" s="204"/>
      <c r="JGP141" s="205"/>
      <c r="JGQ141" s="204"/>
      <c r="JGR141" s="205"/>
      <c r="JGS141" s="204"/>
      <c r="JGT141" s="205"/>
      <c r="JGU141" s="204"/>
      <c r="JGV141" s="205"/>
      <c r="JGW141" s="204"/>
      <c r="JGX141" s="205"/>
      <c r="JGY141" s="204"/>
      <c r="JGZ141" s="205"/>
      <c r="JHA141" s="204"/>
      <c r="JHB141" s="205"/>
      <c r="JHC141" s="204"/>
      <c r="JHD141" s="205"/>
      <c r="JHE141" s="204"/>
      <c r="JHF141" s="205"/>
      <c r="JHG141" s="204"/>
      <c r="JHH141" s="205"/>
      <c r="JHI141" s="204"/>
      <c r="JHJ141" s="205"/>
      <c r="JHK141" s="204"/>
      <c r="JHL141" s="205"/>
      <c r="JHM141" s="204"/>
      <c r="JHN141" s="205"/>
      <c r="JHO141" s="204"/>
      <c r="JHP141" s="205"/>
      <c r="JHQ141" s="204"/>
      <c r="JHR141" s="205"/>
      <c r="JHS141" s="204"/>
      <c r="JHT141" s="205"/>
      <c r="JHU141" s="204"/>
      <c r="JHV141" s="205"/>
      <c r="JHW141" s="204"/>
      <c r="JHX141" s="205"/>
      <c r="JHY141" s="204"/>
      <c r="JHZ141" s="205"/>
      <c r="JIA141" s="204"/>
      <c r="JIB141" s="205"/>
      <c r="JIC141" s="204"/>
      <c r="JID141" s="205"/>
      <c r="JIE141" s="204"/>
      <c r="JIF141" s="205"/>
      <c r="JIG141" s="204"/>
      <c r="JIH141" s="205"/>
      <c r="JII141" s="204"/>
      <c r="JIJ141" s="205"/>
      <c r="JIK141" s="204"/>
      <c r="JIL141" s="205"/>
      <c r="JIM141" s="204"/>
      <c r="JIN141" s="205"/>
      <c r="JIO141" s="204"/>
      <c r="JIP141" s="205"/>
      <c r="JIQ141" s="204"/>
      <c r="JIR141" s="205"/>
      <c r="JIS141" s="204"/>
      <c r="JIT141" s="205"/>
      <c r="JIU141" s="204"/>
      <c r="JIV141" s="205"/>
      <c r="JIW141" s="204"/>
      <c r="JIX141" s="205"/>
      <c r="JIY141" s="204"/>
      <c r="JIZ141" s="205"/>
      <c r="JJA141" s="204"/>
      <c r="JJB141" s="205"/>
      <c r="JJC141" s="204"/>
      <c r="JJD141" s="205"/>
      <c r="JJE141" s="204"/>
      <c r="JJF141" s="205"/>
      <c r="JJG141" s="204"/>
      <c r="JJH141" s="205"/>
      <c r="JJI141" s="204"/>
      <c r="JJJ141" s="205"/>
      <c r="JJK141" s="204"/>
      <c r="JJL141" s="205"/>
      <c r="JJM141" s="204"/>
      <c r="JJN141" s="205"/>
      <c r="JJO141" s="204"/>
      <c r="JJP141" s="205"/>
      <c r="JJQ141" s="204"/>
      <c r="JJR141" s="205"/>
      <c r="JJS141" s="204"/>
      <c r="JJT141" s="205"/>
      <c r="JJU141" s="204"/>
      <c r="JJV141" s="205"/>
      <c r="JJW141" s="204"/>
      <c r="JJX141" s="205"/>
      <c r="JJY141" s="204"/>
      <c r="JJZ141" s="205"/>
      <c r="JKA141" s="204"/>
      <c r="JKB141" s="205"/>
      <c r="JKC141" s="204"/>
      <c r="JKD141" s="205"/>
      <c r="JKE141" s="204"/>
      <c r="JKF141" s="205"/>
      <c r="JKG141" s="204"/>
      <c r="JKH141" s="205"/>
      <c r="JKI141" s="204"/>
      <c r="JKJ141" s="205"/>
      <c r="JKK141" s="204"/>
      <c r="JKL141" s="205"/>
      <c r="JKM141" s="204"/>
      <c r="JKN141" s="205"/>
      <c r="JKO141" s="204"/>
      <c r="JKP141" s="205"/>
      <c r="JKQ141" s="204"/>
      <c r="JKR141" s="205"/>
      <c r="JKS141" s="204"/>
      <c r="JKT141" s="205"/>
      <c r="JKU141" s="204"/>
      <c r="JKV141" s="205"/>
      <c r="JKW141" s="204"/>
      <c r="JKX141" s="205"/>
      <c r="JKY141" s="204"/>
      <c r="JKZ141" s="205"/>
      <c r="JLA141" s="204"/>
      <c r="JLB141" s="205"/>
      <c r="JLC141" s="204"/>
      <c r="JLD141" s="205"/>
      <c r="JLE141" s="204"/>
      <c r="JLF141" s="205"/>
      <c r="JLG141" s="204"/>
      <c r="JLH141" s="205"/>
      <c r="JLI141" s="204"/>
      <c r="JLJ141" s="205"/>
      <c r="JLK141" s="204"/>
      <c r="JLL141" s="205"/>
      <c r="JLM141" s="204"/>
      <c r="JLN141" s="205"/>
      <c r="JLO141" s="204"/>
      <c r="JLP141" s="205"/>
      <c r="JLQ141" s="204"/>
      <c r="JLR141" s="205"/>
      <c r="JLS141" s="204"/>
      <c r="JLT141" s="205"/>
      <c r="JLU141" s="204"/>
      <c r="JLV141" s="205"/>
      <c r="JLW141" s="204"/>
      <c r="JLX141" s="205"/>
      <c r="JLY141" s="204"/>
      <c r="JLZ141" s="205"/>
      <c r="JMA141" s="204"/>
      <c r="JMB141" s="205"/>
      <c r="JMC141" s="204"/>
      <c r="JMD141" s="205"/>
      <c r="JME141" s="204"/>
      <c r="JMF141" s="205"/>
      <c r="JMG141" s="204"/>
      <c r="JMH141" s="205"/>
      <c r="JMI141" s="204"/>
      <c r="JMJ141" s="205"/>
      <c r="JMK141" s="204"/>
      <c r="JML141" s="205"/>
      <c r="JMM141" s="204"/>
      <c r="JMN141" s="205"/>
      <c r="JMO141" s="204"/>
      <c r="JMP141" s="205"/>
      <c r="JMQ141" s="204"/>
      <c r="JMR141" s="205"/>
      <c r="JMS141" s="204"/>
      <c r="JMT141" s="205"/>
      <c r="JMU141" s="204"/>
      <c r="JMV141" s="205"/>
      <c r="JMW141" s="204"/>
      <c r="JMX141" s="205"/>
      <c r="JMY141" s="204"/>
      <c r="JMZ141" s="205"/>
      <c r="JNA141" s="204"/>
      <c r="JNB141" s="205"/>
      <c r="JNC141" s="204"/>
      <c r="JND141" s="205"/>
      <c r="JNE141" s="204"/>
      <c r="JNF141" s="205"/>
      <c r="JNG141" s="204"/>
      <c r="JNH141" s="205"/>
      <c r="JNI141" s="204"/>
      <c r="JNJ141" s="205"/>
      <c r="JNK141" s="204"/>
      <c r="JNL141" s="205"/>
      <c r="JNM141" s="204"/>
      <c r="JNN141" s="205"/>
      <c r="JNO141" s="204"/>
      <c r="JNP141" s="205"/>
      <c r="JNQ141" s="204"/>
      <c r="JNR141" s="205"/>
      <c r="JNS141" s="204"/>
      <c r="JNT141" s="205"/>
      <c r="JNU141" s="204"/>
      <c r="JNV141" s="205"/>
      <c r="JNW141" s="204"/>
      <c r="JNX141" s="205"/>
      <c r="JNY141" s="204"/>
      <c r="JNZ141" s="205"/>
      <c r="JOA141" s="204"/>
      <c r="JOB141" s="205"/>
      <c r="JOC141" s="204"/>
      <c r="JOD141" s="205"/>
      <c r="JOE141" s="204"/>
      <c r="JOF141" s="205"/>
      <c r="JOG141" s="204"/>
      <c r="JOH141" s="205"/>
      <c r="JOI141" s="204"/>
      <c r="JOJ141" s="205"/>
      <c r="JOK141" s="204"/>
      <c r="JOL141" s="205"/>
      <c r="JOM141" s="204"/>
      <c r="JON141" s="205"/>
      <c r="JOO141" s="204"/>
      <c r="JOP141" s="205"/>
      <c r="JOQ141" s="204"/>
      <c r="JOR141" s="205"/>
      <c r="JOS141" s="204"/>
      <c r="JOT141" s="205"/>
      <c r="JOU141" s="204"/>
      <c r="JOV141" s="205"/>
      <c r="JOW141" s="204"/>
      <c r="JOX141" s="205"/>
      <c r="JOY141" s="204"/>
      <c r="JOZ141" s="205"/>
      <c r="JPA141" s="204"/>
      <c r="JPB141" s="205"/>
      <c r="JPC141" s="204"/>
      <c r="JPD141" s="205"/>
      <c r="JPE141" s="204"/>
      <c r="JPF141" s="205"/>
      <c r="JPG141" s="204"/>
      <c r="JPH141" s="205"/>
      <c r="JPI141" s="204"/>
      <c r="JPJ141" s="205"/>
      <c r="JPK141" s="204"/>
      <c r="JPL141" s="205"/>
      <c r="JPM141" s="204"/>
      <c r="JPN141" s="205"/>
      <c r="JPO141" s="204"/>
      <c r="JPP141" s="205"/>
      <c r="JPQ141" s="204"/>
      <c r="JPR141" s="205"/>
      <c r="JPS141" s="204"/>
      <c r="JPT141" s="205"/>
      <c r="JPU141" s="204"/>
      <c r="JPV141" s="205"/>
      <c r="JPW141" s="204"/>
      <c r="JPX141" s="205"/>
      <c r="JPY141" s="204"/>
      <c r="JPZ141" s="205"/>
      <c r="JQA141" s="204"/>
      <c r="JQB141" s="205"/>
      <c r="JQC141" s="204"/>
      <c r="JQD141" s="205"/>
      <c r="JQE141" s="204"/>
      <c r="JQF141" s="205"/>
      <c r="JQG141" s="204"/>
      <c r="JQH141" s="205"/>
      <c r="JQI141" s="204"/>
      <c r="JQJ141" s="205"/>
      <c r="JQK141" s="204"/>
      <c r="JQL141" s="205"/>
      <c r="JQM141" s="204"/>
      <c r="JQN141" s="205"/>
      <c r="JQO141" s="204"/>
      <c r="JQP141" s="205"/>
      <c r="JQQ141" s="204"/>
      <c r="JQR141" s="205"/>
      <c r="JQS141" s="204"/>
      <c r="JQT141" s="205"/>
      <c r="JQU141" s="204"/>
      <c r="JQV141" s="205"/>
      <c r="JQW141" s="204"/>
      <c r="JQX141" s="205"/>
      <c r="JQY141" s="204"/>
      <c r="JQZ141" s="205"/>
      <c r="JRA141" s="204"/>
      <c r="JRB141" s="205"/>
      <c r="JRC141" s="204"/>
      <c r="JRD141" s="205"/>
      <c r="JRE141" s="204"/>
      <c r="JRF141" s="205"/>
      <c r="JRG141" s="204"/>
      <c r="JRH141" s="205"/>
      <c r="JRI141" s="204"/>
      <c r="JRJ141" s="205"/>
      <c r="JRK141" s="204"/>
      <c r="JRL141" s="205"/>
      <c r="JRM141" s="204"/>
      <c r="JRN141" s="205"/>
      <c r="JRO141" s="204"/>
      <c r="JRP141" s="205"/>
      <c r="JRQ141" s="204"/>
      <c r="JRR141" s="205"/>
      <c r="JRS141" s="204"/>
      <c r="JRT141" s="205"/>
      <c r="JRU141" s="204"/>
      <c r="JRV141" s="205"/>
      <c r="JRW141" s="204"/>
      <c r="JRX141" s="205"/>
      <c r="JRY141" s="204"/>
      <c r="JRZ141" s="205"/>
      <c r="JSA141" s="204"/>
      <c r="JSB141" s="205"/>
      <c r="JSC141" s="204"/>
      <c r="JSD141" s="205"/>
      <c r="JSE141" s="204"/>
      <c r="JSF141" s="205"/>
      <c r="JSG141" s="204"/>
      <c r="JSH141" s="205"/>
      <c r="JSI141" s="204"/>
      <c r="JSJ141" s="205"/>
      <c r="JSK141" s="204"/>
      <c r="JSL141" s="205"/>
      <c r="JSM141" s="204"/>
      <c r="JSN141" s="205"/>
      <c r="JSO141" s="204"/>
      <c r="JSP141" s="205"/>
      <c r="JSQ141" s="204"/>
      <c r="JSR141" s="205"/>
      <c r="JSS141" s="204"/>
      <c r="JST141" s="205"/>
      <c r="JSU141" s="204"/>
      <c r="JSV141" s="205"/>
      <c r="JSW141" s="204"/>
      <c r="JSX141" s="205"/>
      <c r="JSY141" s="204"/>
      <c r="JSZ141" s="205"/>
      <c r="JTA141" s="204"/>
      <c r="JTB141" s="205"/>
      <c r="JTC141" s="204"/>
      <c r="JTD141" s="205"/>
      <c r="JTE141" s="204"/>
      <c r="JTF141" s="205"/>
      <c r="JTG141" s="204"/>
      <c r="JTH141" s="205"/>
      <c r="JTI141" s="204"/>
      <c r="JTJ141" s="205"/>
      <c r="JTK141" s="204"/>
      <c r="JTL141" s="205"/>
      <c r="JTM141" s="204"/>
      <c r="JTN141" s="205"/>
      <c r="JTO141" s="204"/>
      <c r="JTP141" s="205"/>
      <c r="JTQ141" s="204"/>
      <c r="JTR141" s="205"/>
      <c r="JTS141" s="204"/>
      <c r="JTT141" s="205"/>
      <c r="JTU141" s="204"/>
      <c r="JTV141" s="205"/>
      <c r="JTW141" s="204"/>
      <c r="JTX141" s="205"/>
      <c r="JTY141" s="204"/>
      <c r="JTZ141" s="205"/>
      <c r="JUA141" s="204"/>
      <c r="JUB141" s="205"/>
      <c r="JUC141" s="204"/>
      <c r="JUD141" s="205"/>
      <c r="JUE141" s="204"/>
      <c r="JUF141" s="205"/>
      <c r="JUG141" s="204"/>
      <c r="JUH141" s="205"/>
      <c r="JUI141" s="204"/>
      <c r="JUJ141" s="205"/>
      <c r="JUK141" s="204"/>
      <c r="JUL141" s="205"/>
      <c r="JUM141" s="204"/>
      <c r="JUN141" s="205"/>
      <c r="JUO141" s="204"/>
      <c r="JUP141" s="205"/>
      <c r="JUQ141" s="204"/>
      <c r="JUR141" s="205"/>
      <c r="JUS141" s="204"/>
      <c r="JUT141" s="205"/>
      <c r="JUU141" s="204"/>
      <c r="JUV141" s="205"/>
      <c r="JUW141" s="204"/>
      <c r="JUX141" s="205"/>
      <c r="JUY141" s="204"/>
      <c r="JUZ141" s="205"/>
      <c r="JVA141" s="204"/>
      <c r="JVB141" s="205"/>
      <c r="JVC141" s="204"/>
      <c r="JVD141" s="205"/>
      <c r="JVE141" s="204"/>
      <c r="JVF141" s="205"/>
      <c r="JVG141" s="204"/>
      <c r="JVH141" s="205"/>
      <c r="JVI141" s="204"/>
      <c r="JVJ141" s="205"/>
      <c r="JVK141" s="204"/>
      <c r="JVL141" s="205"/>
      <c r="JVM141" s="204"/>
      <c r="JVN141" s="205"/>
      <c r="JVO141" s="204"/>
      <c r="JVP141" s="205"/>
      <c r="JVQ141" s="204"/>
      <c r="JVR141" s="205"/>
      <c r="JVS141" s="204"/>
      <c r="JVT141" s="205"/>
      <c r="JVU141" s="204"/>
      <c r="JVV141" s="205"/>
      <c r="JVW141" s="204"/>
      <c r="JVX141" s="205"/>
      <c r="JVY141" s="204"/>
      <c r="JVZ141" s="205"/>
      <c r="JWA141" s="204"/>
      <c r="JWB141" s="205"/>
      <c r="JWC141" s="204"/>
      <c r="JWD141" s="205"/>
      <c r="JWE141" s="204"/>
      <c r="JWF141" s="205"/>
      <c r="JWG141" s="204"/>
      <c r="JWH141" s="205"/>
      <c r="JWI141" s="204"/>
      <c r="JWJ141" s="205"/>
      <c r="JWK141" s="204"/>
      <c r="JWL141" s="205"/>
      <c r="JWM141" s="204"/>
      <c r="JWN141" s="205"/>
      <c r="JWO141" s="204"/>
      <c r="JWP141" s="205"/>
      <c r="JWQ141" s="204"/>
      <c r="JWR141" s="205"/>
      <c r="JWS141" s="204"/>
      <c r="JWT141" s="205"/>
      <c r="JWU141" s="204"/>
      <c r="JWV141" s="205"/>
      <c r="JWW141" s="204"/>
      <c r="JWX141" s="205"/>
      <c r="JWY141" s="204"/>
      <c r="JWZ141" s="205"/>
      <c r="JXA141" s="204"/>
      <c r="JXB141" s="205"/>
      <c r="JXC141" s="204"/>
      <c r="JXD141" s="205"/>
      <c r="JXE141" s="204"/>
      <c r="JXF141" s="205"/>
      <c r="JXG141" s="204"/>
      <c r="JXH141" s="205"/>
      <c r="JXI141" s="204"/>
      <c r="JXJ141" s="205"/>
      <c r="JXK141" s="204"/>
      <c r="JXL141" s="205"/>
      <c r="JXM141" s="204"/>
      <c r="JXN141" s="205"/>
      <c r="JXO141" s="204"/>
      <c r="JXP141" s="205"/>
      <c r="JXQ141" s="204"/>
      <c r="JXR141" s="205"/>
      <c r="JXS141" s="204"/>
      <c r="JXT141" s="205"/>
      <c r="JXU141" s="204"/>
      <c r="JXV141" s="205"/>
      <c r="JXW141" s="204"/>
      <c r="JXX141" s="205"/>
      <c r="JXY141" s="204"/>
      <c r="JXZ141" s="205"/>
      <c r="JYA141" s="204"/>
      <c r="JYB141" s="205"/>
      <c r="JYC141" s="204"/>
      <c r="JYD141" s="205"/>
      <c r="JYE141" s="204"/>
      <c r="JYF141" s="205"/>
      <c r="JYG141" s="204"/>
      <c r="JYH141" s="205"/>
      <c r="JYI141" s="204"/>
      <c r="JYJ141" s="205"/>
      <c r="JYK141" s="204"/>
      <c r="JYL141" s="205"/>
      <c r="JYM141" s="204"/>
      <c r="JYN141" s="205"/>
      <c r="JYO141" s="204"/>
      <c r="JYP141" s="205"/>
      <c r="JYQ141" s="204"/>
      <c r="JYR141" s="205"/>
      <c r="JYS141" s="204"/>
      <c r="JYT141" s="205"/>
      <c r="JYU141" s="204"/>
      <c r="JYV141" s="205"/>
      <c r="JYW141" s="204"/>
      <c r="JYX141" s="205"/>
      <c r="JYY141" s="204"/>
      <c r="JYZ141" s="205"/>
      <c r="JZA141" s="204"/>
      <c r="JZB141" s="205"/>
      <c r="JZC141" s="204"/>
      <c r="JZD141" s="205"/>
      <c r="JZE141" s="204"/>
      <c r="JZF141" s="205"/>
      <c r="JZG141" s="204"/>
      <c r="JZH141" s="205"/>
      <c r="JZI141" s="204"/>
      <c r="JZJ141" s="205"/>
      <c r="JZK141" s="204"/>
      <c r="JZL141" s="205"/>
      <c r="JZM141" s="204"/>
      <c r="JZN141" s="205"/>
      <c r="JZO141" s="204"/>
      <c r="JZP141" s="205"/>
      <c r="JZQ141" s="204"/>
      <c r="JZR141" s="205"/>
      <c r="JZS141" s="204"/>
      <c r="JZT141" s="205"/>
      <c r="JZU141" s="204"/>
      <c r="JZV141" s="205"/>
      <c r="JZW141" s="204"/>
      <c r="JZX141" s="205"/>
      <c r="JZY141" s="204"/>
      <c r="JZZ141" s="205"/>
      <c r="KAA141" s="204"/>
      <c r="KAB141" s="205"/>
      <c r="KAC141" s="204"/>
      <c r="KAD141" s="205"/>
      <c r="KAE141" s="204"/>
      <c r="KAF141" s="205"/>
      <c r="KAG141" s="204"/>
      <c r="KAH141" s="205"/>
      <c r="KAI141" s="204"/>
      <c r="KAJ141" s="205"/>
      <c r="KAK141" s="204"/>
      <c r="KAL141" s="205"/>
      <c r="KAM141" s="204"/>
      <c r="KAN141" s="205"/>
      <c r="KAO141" s="204"/>
      <c r="KAP141" s="205"/>
      <c r="KAQ141" s="204"/>
      <c r="KAR141" s="205"/>
      <c r="KAS141" s="204"/>
      <c r="KAT141" s="205"/>
      <c r="KAU141" s="204"/>
      <c r="KAV141" s="205"/>
      <c r="KAW141" s="204"/>
      <c r="KAX141" s="205"/>
      <c r="KAY141" s="204"/>
      <c r="KAZ141" s="205"/>
      <c r="KBA141" s="204"/>
      <c r="KBB141" s="205"/>
      <c r="KBC141" s="204"/>
      <c r="KBD141" s="205"/>
      <c r="KBE141" s="204"/>
      <c r="KBF141" s="205"/>
      <c r="KBG141" s="204"/>
      <c r="KBH141" s="205"/>
      <c r="KBI141" s="204"/>
      <c r="KBJ141" s="205"/>
      <c r="KBK141" s="204"/>
      <c r="KBL141" s="205"/>
      <c r="KBM141" s="204"/>
      <c r="KBN141" s="205"/>
      <c r="KBO141" s="204"/>
      <c r="KBP141" s="205"/>
      <c r="KBQ141" s="204"/>
      <c r="KBR141" s="205"/>
      <c r="KBS141" s="204"/>
      <c r="KBT141" s="205"/>
      <c r="KBU141" s="204"/>
      <c r="KBV141" s="205"/>
      <c r="KBW141" s="204"/>
      <c r="KBX141" s="205"/>
      <c r="KBY141" s="204"/>
      <c r="KBZ141" s="205"/>
      <c r="KCA141" s="204"/>
      <c r="KCB141" s="205"/>
      <c r="KCC141" s="204"/>
      <c r="KCD141" s="205"/>
      <c r="KCE141" s="204"/>
      <c r="KCF141" s="205"/>
      <c r="KCG141" s="204"/>
      <c r="KCH141" s="205"/>
      <c r="KCI141" s="204"/>
      <c r="KCJ141" s="205"/>
      <c r="KCK141" s="204"/>
      <c r="KCL141" s="205"/>
      <c r="KCM141" s="204"/>
      <c r="KCN141" s="205"/>
      <c r="KCO141" s="204"/>
      <c r="KCP141" s="205"/>
      <c r="KCQ141" s="204"/>
      <c r="KCR141" s="205"/>
      <c r="KCS141" s="204"/>
      <c r="KCT141" s="205"/>
      <c r="KCU141" s="204"/>
      <c r="KCV141" s="205"/>
      <c r="KCW141" s="204"/>
      <c r="KCX141" s="205"/>
      <c r="KCY141" s="204"/>
      <c r="KCZ141" s="205"/>
      <c r="KDA141" s="204"/>
      <c r="KDB141" s="205"/>
      <c r="KDC141" s="204"/>
      <c r="KDD141" s="205"/>
      <c r="KDE141" s="204"/>
      <c r="KDF141" s="205"/>
      <c r="KDG141" s="204"/>
      <c r="KDH141" s="205"/>
      <c r="KDI141" s="204"/>
      <c r="KDJ141" s="205"/>
      <c r="KDK141" s="204"/>
      <c r="KDL141" s="205"/>
      <c r="KDM141" s="204"/>
      <c r="KDN141" s="205"/>
      <c r="KDO141" s="204"/>
      <c r="KDP141" s="205"/>
      <c r="KDQ141" s="204"/>
      <c r="KDR141" s="205"/>
      <c r="KDS141" s="204"/>
      <c r="KDT141" s="205"/>
      <c r="KDU141" s="204"/>
      <c r="KDV141" s="205"/>
      <c r="KDW141" s="204"/>
      <c r="KDX141" s="205"/>
      <c r="KDY141" s="204"/>
      <c r="KDZ141" s="205"/>
      <c r="KEA141" s="204"/>
      <c r="KEB141" s="205"/>
      <c r="KEC141" s="204"/>
      <c r="KED141" s="205"/>
      <c r="KEE141" s="204"/>
      <c r="KEF141" s="205"/>
      <c r="KEG141" s="204"/>
      <c r="KEH141" s="205"/>
      <c r="KEI141" s="204"/>
      <c r="KEJ141" s="205"/>
      <c r="KEK141" s="204"/>
      <c r="KEL141" s="205"/>
      <c r="KEM141" s="204"/>
      <c r="KEN141" s="205"/>
      <c r="KEO141" s="204"/>
      <c r="KEP141" s="205"/>
      <c r="KEQ141" s="204"/>
      <c r="KER141" s="205"/>
      <c r="KES141" s="204"/>
      <c r="KET141" s="205"/>
      <c r="KEU141" s="204"/>
      <c r="KEV141" s="205"/>
      <c r="KEW141" s="204"/>
      <c r="KEX141" s="205"/>
      <c r="KEY141" s="204"/>
      <c r="KEZ141" s="205"/>
      <c r="KFA141" s="204"/>
      <c r="KFB141" s="205"/>
      <c r="KFC141" s="204"/>
      <c r="KFD141" s="205"/>
      <c r="KFE141" s="204"/>
      <c r="KFF141" s="205"/>
      <c r="KFG141" s="204"/>
      <c r="KFH141" s="205"/>
      <c r="KFI141" s="204"/>
      <c r="KFJ141" s="205"/>
      <c r="KFK141" s="204"/>
      <c r="KFL141" s="205"/>
      <c r="KFM141" s="204"/>
      <c r="KFN141" s="205"/>
      <c r="KFO141" s="204"/>
      <c r="KFP141" s="205"/>
      <c r="KFQ141" s="204"/>
      <c r="KFR141" s="205"/>
      <c r="KFS141" s="204"/>
      <c r="KFT141" s="205"/>
      <c r="KFU141" s="204"/>
      <c r="KFV141" s="205"/>
      <c r="KFW141" s="204"/>
      <c r="KFX141" s="205"/>
      <c r="KFY141" s="204"/>
      <c r="KFZ141" s="205"/>
      <c r="KGA141" s="204"/>
      <c r="KGB141" s="205"/>
      <c r="KGC141" s="204"/>
      <c r="KGD141" s="205"/>
      <c r="KGE141" s="204"/>
      <c r="KGF141" s="205"/>
      <c r="KGG141" s="204"/>
      <c r="KGH141" s="205"/>
      <c r="KGI141" s="204"/>
      <c r="KGJ141" s="205"/>
      <c r="KGK141" s="204"/>
      <c r="KGL141" s="205"/>
      <c r="KGM141" s="204"/>
      <c r="KGN141" s="205"/>
      <c r="KGO141" s="204"/>
      <c r="KGP141" s="205"/>
      <c r="KGQ141" s="204"/>
      <c r="KGR141" s="205"/>
      <c r="KGS141" s="204"/>
      <c r="KGT141" s="205"/>
      <c r="KGU141" s="204"/>
      <c r="KGV141" s="205"/>
      <c r="KGW141" s="204"/>
      <c r="KGX141" s="205"/>
      <c r="KGY141" s="204"/>
      <c r="KGZ141" s="205"/>
      <c r="KHA141" s="204"/>
      <c r="KHB141" s="205"/>
      <c r="KHC141" s="204"/>
      <c r="KHD141" s="205"/>
      <c r="KHE141" s="204"/>
      <c r="KHF141" s="205"/>
      <c r="KHG141" s="204"/>
      <c r="KHH141" s="205"/>
      <c r="KHI141" s="204"/>
      <c r="KHJ141" s="205"/>
      <c r="KHK141" s="204"/>
      <c r="KHL141" s="205"/>
      <c r="KHM141" s="204"/>
      <c r="KHN141" s="205"/>
      <c r="KHO141" s="204"/>
      <c r="KHP141" s="205"/>
      <c r="KHQ141" s="204"/>
      <c r="KHR141" s="205"/>
      <c r="KHS141" s="204"/>
      <c r="KHT141" s="205"/>
      <c r="KHU141" s="204"/>
      <c r="KHV141" s="205"/>
      <c r="KHW141" s="204"/>
      <c r="KHX141" s="205"/>
      <c r="KHY141" s="204"/>
      <c r="KHZ141" s="205"/>
      <c r="KIA141" s="204"/>
      <c r="KIB141" s="205"/>
      <c r="KIC141" s="204"/>
      <c r="KID141" s="205"/>
      <c r="KIE141" s="204"/>
      <c r="KIF141" s="205"/>
      <c r="KIG141" s="204"/>
      <c r="KIH141" s="205"/>
      <c r="KII141" s="204"/>
      <c r="KIJ141" s="205"/>
      <c r="KIK141" s="204"/>
      <c r="KIL141" s="205"/>
      <c r="KIM141" s="204"/>
      <c r="KIN141" s="205"/>
      <c r="KIO141" s="204"/>
      <c r="KIP141" s="205"/>
      <c r="KIQ141" s="204"/>
      <c r="KIR141" s="205"/>
      <c r="KIS141" s="204"/>
      <c r="KIT141" s="205"/>
      <c r="KIU141" s="204"/>
      <c r="KIV141" s="205"/>
      <c r="KIW141" s="204"/>
      <c r="KIX141" s="205"/>
      <c r="KIY141" s="204"/>
      <c r="KIZ141" s="205"/>
      <c r="KJA141" s="204"/>
      <c r="KJB141" s="205"/>
      <c r="KJC141" s="204"/>
      <c r="KJD141" s="205"/>
      <c r="KJE141" s="204"/>
      <c r="KJF141" s="205"/>
      <c r="KJG141" s="204"/>
      <c r="KJH141" s="205"/>
      <c r="KJI141" s="204"/>
      <c r="KJJ141" s="205"/>
      <c r="KJK141" s="204"/>
      <c r="KJL141" s="205"/>
      <c r="KJM141" s="204"/>
      <c r="KJN141" s="205"/>
      <c r="KJO141" s="204"/>
      <c r="KJP141" s="205"/>
      <c r="KJQ141" s="204"/>
      <c r="KJR141" s="205"/>
      <c r="KJS141" s="204"/>
      <c r="KJT141" s="205"/>
      <c r="KJU141" s="204"/>
      <c r="KJV141" s="205"/>
      <c r="KJW141" s="204"/>
      <c r="KJX141" s="205"/>
      <c r="KJY141" s="204"/>
      <c r="KJZ141" s="205"/>
      <c r="KKA141" s="204"/>
      <c r="KKB141" s="205"/>
      <c r="KKC141" s="204"/>
      <c r="KKD141" s="205"/>
      <c r="KKE141" s="204"/>
      <c r="KKF141" s="205"/>
      <c r="KKG141" s="204"/>
      <c r="KKH141" s="205"/>
      <c r="KKI141" s="204"/>
      <c r="KKJ141" s="205"/>
      <c r="KKK141" s="204"/>
      <c r="KKL141" s="205"/>
      <c r="KKM141" s="204"/>
      <c r="KKN141" s="205"/>
      <c r="KKO141" s="204"/>
      <c r="KKP141" s="205"/>
      <c r="KKQ141" s="204"/>
      <c r="KKR141" s="205"/>
      <c r="KKS141" s="204"/>
      <c r="KKT141" s="205"/>
      <c r="KKU141" s="204"/>
      <c r="KKV141" s="205"/>
      <c r="KKW141" s="204"/>
      <c r="KKX141" s="205"/>
      <c r="KKY141" s="204"/>
      <c r="KKZ141" s="205"/>
      <c r="KLA141" s="204"/>
      <c r="KLB141" s="205"/>
      <c r="KLC141" s="204"/>
      <c r="KLD141" s="205"/>
      <c r="KLE141" s="204"/>
      <c r="KLF141" s="205"/>
      <c r="KLG141" s="204"/>
      <c r="KLH141" s="205"/>
      <c r="KLI141" s="204"/>
      <c r="KLJ141" s="205"/>
      <c r="KLK141" s="204"/>
      <c r="KLL141" s="205"/>
      <c r="KLM141" s="204"/>
      <c r="KLN141" s="205"/>
      <c r="KLO141" s="204"/>
      <c r="KLP141" s="205"/>
      <c r="KLQ141" s="204"/>
      <c r="KLR141" s="205"/>
      <c r="KLS141" s="204"/>
      <c r="KLT141" s="205"/>
      <c r="KLU141" s="204"/>
      <c r="KLV141" s="205"/>
      <c r="KLW141" s="204"/>
      <c r="KLX141" s="205"/>
      <c r="KLY141" s="204"/>
      <c r="KLZ141" s="205"/>
      <c r="KMA141" s="204"/>
      <c r="KMB141" s="205"/>
      <c r="KMC141" s="204"/>
      <c r="KMD141" s="205"/>
      <c r="KME141" s="204"/>
      <c r="KMF141" s="205"/>
      <c r="KMG141" s="204"/>
      <c r="KMH141" s="205"/>
      <c r="KMI141" s="204"/>
      <c r="KMJ141" s="205"/>
      <c r="KMK141" s="204"/>
      <c r="KML141" s="205"/>
      <c r="KMM141" s="204"/>
      <c r="KMN141" s="205"/>
      <c r="KMO141" s="204"/>
      <c r="KMP141" s="205"/>
      <c r="KMQ141" s="204"/>
      <c r="KMR141" s="205"/>
      <c r="KMS141" s="204"/>
      <c r="KMT141" s="205"/>
      <c r="KMU141" s="204"/>
      <c r="KMV141" s="205"/>
      <c r="KMW141" s="204"/>
      <c r="KMX141" s="205"/>
      <c r="KMY141" s="204"/>
      <c r="KMZ141" s="205"/>
      <c r="KNA141" s="204"/>
      <c r="KNB141" s="205"/>
      <c r="KNC141" s="204"/>
      <c r="KND141" s="205"/>
      <c r="KNE141" s="204"/>
      <c r="KNF141" s="205"/>
      <c r="KNG141" s="204"/>
      <c r="KNH141" s="205"/>
      <c r="KNI141" s="204"/>
      <c r="KNJ141" s="205"/>
      <c r="KNK141" s="204"/>
      <c r="KNL141" s="205"/>
      <c r="KNM141" s="204"/>
      <c r="KNN141" s="205"/>
      <c r="KNO141" s="204"/>
      <c r="KNP141" s="205"/>
      <c r="KNQ141" s="204"/>
      <c r="KNR141" s="205"/>
      <c r="KNS141" s="204"/>
      <c r="KNT141" s="205"/>
      <c r="KNU141" s="204"/>
      <c r="KNV141" s="205"/>
      <c r="KNW141" s="204"/>
      <c r="KNX141" s="205"/>
      <c r="KNY141" s="204"/>
      <c r="KNZ141" s="205"/>
      <c r="KOA141" s="204"/>
      <c r="KOB141" s="205"/>
      <c r="KOC141" s="204"/>
      <c r="KOD141" s="205"/>
      <c r="KOE141" s="204"/>
      <c r="KOF141" s="205"/>
      <c r="KOG141" s="204"/>
      <c r="KOH141" s="205"/>
      <c r="KOI141" s="204"/>
      <c r="KOJ141" s="205"/>
      <c r="KOK141" s="204"/>
      <c r="KOL141" s="205"/>
      <c r="KOM141" s="204"/>
      <c r="KON141" s="205"/>
      <c r="KOO141" s="204"/>
      <c r="KOP141" s="205"/>
      <c r="KOQ141" s="204"/>
      <c r="KOR141" s="205"/>
      <c r="KOS141" s="204"/>
      <c r="KOT141" s="205"/>
      <c r="KOU141" s="204"/>
      <c r="KOV141" s="205"/>
      <c r="KOW141" s="204"/>
      <c r="KOX141" s="205"/>
      <c r="KOY141" s="204"/>
      <c r="KOZ141" s="205"/>
      <c r="KPA141" s="204"/>
      <c r="KPB141" s="205"/>
      <c r="KPC141" s="204"/>
      <c r="KPD141" s="205"/>
      <c r="KPE141" s="204"/>
      <c r="KPF141" s="205"/>
      <c r="KPG141" s="204"/>
      <c r="KPH141" s="205"/>
      <c r="KPI141" s="204"/>
      <c r="KPJ141" s="205"/>
      <c r="KPK141" s="204"/>
      <c r="KPL141" s="205"/>
      <c r="KPM141" s="204"/>
      <c r="KPN141" s="205"/>
      <c r="KPO141" s="204"/>
      <c r="KPP141" s="205"/>
      <c r="KPQ141" s="204"/>
      <c r="KPR141" s="205"/>
      <c r="KPS141" s="204"/>
      <c r="KPT141" s="205"/>
      <c r="KPU141" s="204"/>
      <c r="KPV141" s="205"/>
      <c r="KPW141" s="204"/>
      <c r="KPX141" s="205"/>
      <c r="KPY141" s="204"/>
      <c r="KPZ141" s="205"/>
      <c r="KQA141" s="204"/>
      <c r="KQB141" s="205"/>
      <c r="KQC141" s="204"/>
      <c r="KQD141" s="205"/>
      <c r="KQE141" s="204"/>
      <c r="KQF141" s="205"/>
      <c r="KQG141" s="204"/>
      <c r="KQH141" s="205"/>
      <c r="KQI141" s="204"/>
      <c r="KQJ141" s="205"/>
      <c r="KQK141" s="204"/>
      <c r="KQL141" s="205"/>
      <c r="KQM141" s="204"/>
      <c r="KQN141" s="205"/>
      <c r="KQO141" s="204"/>
      <c r="KQP141" s="205"/>
      <c r="KQQ141" s="204"/>
      <c r="KQR141" s="205"/>
      <c r="KQS141" s="204"/>
      <c r="KQT141" s="205"/>
      <c r="KQU141" s="204"/>
      <c r="KQV141" s="205"/>
      <c r="KQW141" s="204"/>
      <c r="KQX141" s="205"/>
      <c r="KQY141" s="204"/>
      <c r="KQZ141" s="205"/>
      <c r="KRA141" s="204"/>
      <c r="KRB141" s="205"/>
      <c r="KRC141" s="204"/>
      <c r="KRD141" s="205"/>
      <c r="KRE141" s="204"/>
      <c r="KRF141" s="205"/>
      <c r="KRG141" s="204"/>
      <c r="KRH141" s="205"/>
      <c r="KRI141" s="204"/>
      <c r="KRJ141" s="205"/>
      <c r="KRK141" s="204"/>
      <c r="KRL141" s="205"/>
      <c r="KRM141" s="204"/>
      <c r="KRN141" s="205"/>
      <c r="KRO141" s="204"/>
      <c r="KRP141" s="205"/>
      <c r="KRQ141" s="204"/>
      <c r="KRR141" s="205"/>
      <c r="KRS141" s="204"/>
      <c r="KRT141" s="205"/>
      <c r="KRU141" s="204"/>
      <c r="KRV141" s="205"/>
      <c r="KRW141" s="204"/>
      <c r="KRX141" s="205"/>
      <c r="KRY141" s="204"/>
      <c r="KRZ141" s="205"/>
      <c r="KSA141" s="204"/>
      <c r="KSB141" s="205"/>
      <c r="KSC141" s="204"/>
      <c r="KSD141" s="205"/>
      <c r="KSE141" s="204"/>
      <c r="KSF141" s="205"/>
      <c r="KSG141" s="204"/>
      <c r="KSH141" s="205"/>
      <c r="KSI141" s="204"/>
      <c r="KSJ141" s="205"/>
      <c r="KSK141" s="204"/>
      <c r="KSL141" s="205"/>
      <c r="KSM141" s="204"/>
      <c r="KSN141" s="205"/>
      <c r="KSO141" s="204"/>
      <c r="KSP141" s="205"/>
      <c r="KSQ141" s="204"/>
      <c r="KSR141" s="205"/>
      <c r="KSS141" s="204"/>
      <c r="KST141" s="205"/>
      <c r="KSU141" s="204"/>
      <c r="KSV141" s="205"/>
      <c r="KSW141" s="204"/>
      <c r="KSX141" s="205"/>
      <c r="KSY141" s="204"/>
      <c r="KSZ141" s="205"/>
      <c r="KTA141" s="204"/>
      <c r="KTB141" s="205"/>
      <c r="KTC141" s="204"/>
      <c r="KTD141" s="205"/>
      <c r="KTE141" s="204"/>
      <c r="KTF141" s="205"/>
      <c r="KTG141" s="204"/>
      <c r="KTH141" s="205"/>
      <c r="KTI141" s="204"/>
      <c r="KTJ141" s="205"/>
      <c r="KTK141" s="204"/>
      <c r="KTL141" s="205"/>
      <c r="KTM141" s="204"/>
      <c r="KTN141" s="205"/>
      <c r="KTO141" s="204"/>
      <c r="KTP141" s="205"/>
      <c r="KTQ141" s="204"/>
      <c r="KTR141" s="205"/>
      <c r="KTS141" s="204"/>
      <c r="KTT141" s="205"/>
      <c r="KTU141" s="204"/>
      <c r="KTV141" s="205"/>
      <c r="KTW141" s="204"/>
      <c r="KTX141" s="205"/>
      <c r="KTY141" s="204"/>
      <c r="KTZ141" s="205"/>
      <c r="KUA141" s="204"/>
      <c r="KUB141" s="205"/>
      <c r="KUC141" s="204"/>
      <c r="KUD141" s="205"/>
      <c r="KUE141" s="204"/>
      <c r="KUF141" s="205"/>
      <c r="KUG141" s="204"/>
      <c r="KUH141" s="205"/>
      <c r="KUI141" s="204"/>
      <c r="KUJ141" s="205"/>
      <c r="KUK141" s="204"/>
      <c r="KUL141" s="205"/>
      <c r="KUM141" s="204"/>
      <c r="KUN141" s="205"/>
      <c r="KUO141" s="204"/>
      <c r="KUP141" s="205"/>
      <c r="KUQ141" s="204"/>
      <c r="KUR141" s="205"/>
      <c r="KUS141" s="204"/>
      <c r="KUT141" s="205"/>
      <c r="KUU141" s="204"/>
      <c r="KUV141" s="205"/>
      <c r="KUW141" s="204"/>
      <c r="KUX141" s="205"/>
      <c r="KUY141" s="204"/>
      <c r="KUZ141" s="205"/>
      <c r="KVA141" s="204"/>
      <c r="KVB141" s="205"/>
      <c r="KVC141" s="204"/>
      <c r="KVD141" s="205"/>
      <c r="KVE141" s="204"/>
      <c r="KVF141" s="205"/>
      <c r="KVG141" s="204"/>
      <c r="KVH141" s="205"/>
      <c r="KVI141" s="204"/>
      <c r="KVJ141" s="205"/>
      <c r="KVK141" s="204"/>
      <c r="KVL141" s="205"/>
      <c r="KVM141" s="204"/>
      <c r="KVN141" s="205"/>
      <c r="KVO141" s="204"/>
      <c r="KVP141" s="205"/>
      <c r="KVQ141" s="204"/>
      <c r="KVR141" s="205"/>
      <c r="KVS141" s="204"/>
      <c r="KVT141" s="205"/>
      <c r="KVU141" s="204"/>
      <c r="KVV141" s="205"/>
      <c r="KVW141" s="204"/>
      <c r="KVX141" s="205"/>
      <c r="KVY141" s="204"/>
      <c r="KVZ141" s="205"/>
      <c r="KWA141" s="204"/>
      <c r="KWB141" s="205"/>
      <c r="KWC141" s="204"/>
      <c r="KWD141" s="205"/>
      <c r="KWE141" s="204"/>
      <c r="KWF141" s="205"/>
      <c r="KWG141" s="204"/>
      <c r="KWH141" s="205"/>
      <c r="KWI141" s="204"/>
      <c r="KWJ141" s="205"/>
      <c r="KWK141" s="204"/>
      <c r="KWL141" s="205"/>
      <c r="KWM141" s="204"/>
      <c r="KWN141" s="205"/>
      <c r="KWO141" s="204"/>
      <c r="KWP141" s="205"/>
      <c r="KWQ141" s="204"/>
      <c r="KWR141" s="205"/>
      <c r="KWS141" s="204"/>
      <c r="KWT141" s="205"/>
      <c r="KWU141" s="204"/>
      <c r="KWV141" s="205"/>
      <c r="KWW141" s="204"/>
      <c r="KWX141" s="205"/>
      <c r="KWY141" s="204"/>
      <c r="KWZ141" s="205"/>
      <c r="KXA141" s="204"/>
      <c r="KXB141" s="205"/>
      <c r="KXC141" s="204"/>
      <c r="KXD141" s="205"/>
      <c r="KXE141" s="204"/>
      <c r="KXF141" s="205"/>
      <c r="KXG141" s="204"/>
      <c r="KXH141" s="205"/>
      <c r="KXI141" s="204"/>
      <c r="KXJ141" s="205"/>
      <c r="KXK141" s="204"/>
      <c r="KXL141" s="205"/>
      <c r="KXM141" s="204"/>
      <c r="KXN141" s="205"/>
      <c r="KXO141" s="204"/>
      <c r="KXP141" s="205"/>
      <c r="KXQ141" s="204"/>
      <c r="KXR141" s="205"/>
      <c r="KXS141" s="204"/>
      <c r="KXT141" s="205"/>
      <c r="KXU141" s="204"/>
      <c r="KXV141" s="205"/>
      <c r="KXW141" s="204"/>
      <c r="KXX141" s="205"/>
      <c r="KXY141" s="204"/>
      <c r="KXZ141" s="205"/>
      <c r="KYA141" s="204"/>
      <c r="KYB141" s="205"/>
      <c r="KYC141" s="204"/>
      <c r="KYD141" s="205"/>
      <c r="KYE141" s="204"/>
      <c r="KYF141" s="205"/>
      <c r="KYG141" s="204"/>
      <c r="KYH141" s="205"/>
      <c r="KYI141" s="204"/>
      <c r="KYJ141" s="205"/>
      <c r="KYK141" s="204"/>
      <c r="KYL141" s="205"/>
      <c r="KYM141" s="204"/>
      <c r="KYN141" s="205"/>
      <c r="KYO141" s="204"/>
      <c r="KYP141" s="205"/>
      <c r="KYQ141" s="204"/>
      <c r="KYR141" s="205"/>
      <c r="KYS141" s="204"/>
      <c r="KYT141" s="205"/>
      <c r="KYU141" s="204"/>
      <c r="KYV141" s="205"/>
      <c r="KYW141" s="204"/>
      <c r="KYX141" s="205"/>
      <c r="KYY141" s="204"/>
      <c r="KYZ141" s="205"/>
      <c r="KZA141" s="204"/>
      <c r="KZB141" s="205"/>
      <c r="KZC141" s="204"/>
      <c r="KZD141" s="205"/>
      <c r="KZE141" s="204"/>
      <c r="KZF141" s="205"/>
      <c r="KZG141" s="204"/>
      <c r="KZH141" s="205"/>
      <c r="KZI141" s="204"/>
      <c r="KZJ141" s="205"/>
      <c r="KZK141" s="204"/>
      <c r="KZL141" s="205"/>
      <c r="KZM141" s="204"/>
      <c r="KZN141" s="205"/>
      <c r="KZO141" s="204"/>
      <c r="KZP141" s="205"/>
      <c r="KZQ141" s="204"/>
      <c r="KZR141" s="205"/>
      <c r="KZS141" s="204"/>
      <c r="KZT141" s="205"/>
      <c r="KZU141" s="204"/>
      <c r="KZV141" s="205"/>
      <c r="KZW141" s="204"/>
      <c r="KZX141" s="205"/>
      <c r="KZY141" s="204"/>
      <c r="KZZ141" s="205"/>
      <c r="LAA141" s="204"/>
      <c r="LAB141" s="205"/>
      <c r="LAC141" s="204"/>
      <c r="LAD141" s="205"/>
      <c r="LAE141" s="204"/>
      <c r="LAF141" s="205"/>
      <c r="LAG141" s="204"/>
      <c r="LAH141" s="205"/>
      <c r="LAI141" s="204"/>
      <c r="LAJ141" s="205"/>
      <c r="LAK141" s="204"/>
      <c r="LAL141" s="205"/>
      <c r="LAM141" s="204"/>
      <c r="LAN141" s="205"/>
      <c r="LAO141" s="204"/>
      <c r="LAP141" s="205"/>
      <c r="LAQ141" s="204"/>
      <c r="LAR141" s="205"/>
      <c r="LAS141" s="204"/>
      <c r="LAT141" s="205"/>
      <c r="LAU141" s="204"/>
      <c r="LAV141" s="205"/>
      <c r="LAW141" s="204"/>
      <c r="LAX141" s="205"/>
      <c r="LAY141" s="204"/>
      <c r="LAZ141" s="205"/>
      <c r="LBA141" s="204"/>
      <c r="LBB141" s="205"/>
      <c r="LBC141" s="204"/>
      <c r="LBD141" s="205"/>
      <c r="LBE141" s="204"/>
      <c r="LBF141" s="205"/>
      <c r="LBG141" s="204"/>
      <c r="LBH141" s="205"/>
      <c r="LBI141" s="204"/>
      <c r="LBJ141" s="205"/>
      <c r="LBK141" s="204"/>
      <c r="LBL141" s="205"/>
      <c r="LBM141" s="204"/>
      <c r="LBN141" s="205"/>
      <c r="LBO141" s="204"/>
      <c r="LBP141" s="205"/>
      <c r="LBQ141" s="204"/>
      <c r="LBR141" s="205"/>
      <c r="LBS141" s="204"/>
      <c r="LBT141" s="205"/>
      <c r="LBU141" s="204"/>
      <c r="LBV141" s="205"/>
      <c r="LBW141" s="204"/>
      <c r="LBX141" s="205"/>
      <c r="LBY141" s="204"/>
      <c r="LBZ141" s="205"/>
      <c r="LCA141" s="204"/>
      <c r="LCB141" s="205"/>
      <c r="LCC141" s="204"/>
      <c r="LCD141" s="205"/>
      <c r="LCE141" s="204"/>
      <c r="LCF141" s="205"/>
      <c r="LCG141" s="204"/>
      <c r="LCH141" s="205"/>
      <c r="LCI141" s="204"/>
      <c r="LCJ141" s="205"/>
      <c r="LCK141" s="204"/>
      <c r="LCL141" s="205"/>
      <c r="LCM141" s="204"/>
      <c r="LCN141" s="205"/>
      <c r="LCO141" s="204"/>
      <c r="LCP141" s="205"/>
      <c r="LCQ141" s="204"/>
      <c r="LCR141" s="205"/>
      <c r="LCS141" s="204"/>
      <c r="LCT141" s="205"/>
      <c r="LCU141" s="204"/>
      <c r="LCV141" s="205"/>
      <c r="LCW141" s="204"/>
      <c r="LCX141" s="205"/>
      <c r="LCY141" s="204"/>
      <c r="LCZ141" s="205"/>
      <c r="LDA141" s="204"/>
      <c r="LDB141" s="205"/>
      <c r="LDC141" s="204"/>
      <c r="LDD141" s="205"/>
      <c r="LDE141" s="204"/>
      <c r="LDF141" s="205"/>
      <c r="LDG141" s="204"/>
      <c r="LDH141" s="205"/>
      <c r="LDI141" s="204"/>
      <c r="LDJ141" s="205"/>
      <c r="LDK141" s="204"/>
      <c r="LDL141" s="205"/>
      <c r="LDM141" s="204"/>
      <c r="LDN141" s="205"/>
      <c r="LDO141" s="204"/>
      <c r="LDP141" s="205"/>
      <c r="LDQ141" s="204"/>
      <c r="LDR141" s="205"/>
      <c r="LDS141" s="204"/>
      <c r="LDT141" s="205"/>
      <c r="LDU141" s="204"/>
      <c r="LDV141" s="205"/>
      <c r="LDW141" s="204"/>
      <c r="LDX141" s="205"/>
      <c r="LDY141" s="204"/>
      <c r="LDZ141" s="205"/>
      <c r="LEA141" s="204"/>
      <c r="LEB141" s="205"/>
      <c r="LEC141" s="204"/>
      <c r="LED141" s="205"/>
      <c r="LEE141" s="204"/>
      <c r="LEF141" s="205"/>
      <c r="LEG141" s="204"/>
      <c r="LEH141" s="205"/>
      <c r="LEI141" s="204"/>
      <c r="LEJ141" s="205"/>
      <c r="LEK141" s="204"/>
      <c r="LEL141" s="205"/>
      <c r="LEM141" s="204"/>
      <c r="LEN141" s="205"/>
      <c r="LEO141" s="204"/>
      <c r="LEP141" s="205"/>
      <c r="LEQ141" s="204"/>
      <c r="LER141" s="205"/>
      <c r="LES141" s="204"/>
      <c r="LET141" s="205"/>
      <c r="LEU141" s="204"/>
      <c r="LEV141" s="205"/>
      <c r="LEW141" s="204"/>
      <c r="LEX141" s="205"/>
      <c r="LEY141" s="204"/>
      <c r="LEZ141" s="205"/>
      <c r="LFA141" s="204"/>
      <c r="LFB141" s="205"/>
      <c r="LFC141" s="204"/>
      <c r="LFD141" s="205"/>
      <c r="LFE141" s="204"/>
      <c r="LFF141" s="205"/>
      <c r="LFG141" s="204"/>
      <c r="LFH141" s="205"/>
      <c r="LFI141" s="204"/>
      <c r="LFJ141" s="205"/>
      <c r="LFK141" s="204"/>
      <c r="LFL141" s="205"/>
      <c r="LFM141" s="204"/>
      <c r="LFN141" s="205"/>
      <c r="LFO141" s="204"/>
      <c r="LFP141" s="205"/>
      <c r="LFQ141" s="204"/>
      <c r="LFR141" s="205"/>
      <c r="LFS141" s="204"/>
      <c r="LFT141" s="205"/>
      <c r="LFU141" s="204"/>
      <c r="LFV141" s="205"/>
      <c r="LFW141" s="204"/>
      <c r="LFX141" s="205"/>
      <c r="LFY141" s="204"/>
      <c r="LFZ141" s="205"/>
      <c r="LGA141" s="204"/>
      <c r="LGB141" s="205"/>
      <c r="LGC141" s="204"/>
      <c r="LGD141" s="205"/>
      <c r="LGE141" s="204"/>
      <c r="LGF141" s="205"/>
      <c r="LGG141" s="204"/>
      <c r="LGH141" s="205"/>
      <c r="LGI141" s="204"/>
      <c r="LGJ141" s="205"/>
      <c r="LGK141" s="204"/>
      <c r="LGL141" s="205"/>
      <c r="LGM141" s="204"/>
      <c r="LGN141" s="205"/>
      <c r="LGO141" s="204"/>
      <c r="LGP141" s="205"/>
      <c r="LGQ141" s="204"/>
      <c r="LGR141" s="205"/>
      <c r="LGS141" s="204"/>
      <c r="LGT141" s="205"/>
      <c r="LGU141" s="204"/>
      <c r="LGV141" s="205"/>
      <c r="LGW141" s="204"/>
      <c r="LGX141" s="205"/>
      <c r="LGY141" s="204"/>
      <c r="LGZ141" s="205"/>
      <c r="LHA141" s="204"/>
      <c r="LHB141" s="205"/>
      <c r="LHC141" s="204"/>
      <c r="LHD141" s="205"/>
      <c r="LHE141" s="204"/>
      <c r="LHF141" s="205"/>
      <c r="LHG141" s="204"/>
      <c r="LHH141" s="205"/>
      <c r="LHI141" s="204"/>
      <c r="LHJ141" s="205"/>
      <c r="LHK141" s="204"/>
      <c r="LHL141" s="205"/>
      <c r="LHM141" s="204"/>
      <c r="LHN141" s="205"/>
      <c r="LHO141" s="204"/>
      <c r="LHP141" s="205"/>
      <c r="LHQ141" s="204"/>
      <c r="LHR141" s="205"/>
      <c r="LHS141" s="204"/>
      <c r="LHT141" s="205"/>
      <c r="LHU141" s="204"/>
      <c r="LHV141" s="205"/>
      <c r="LHW141" s="204"/>
      <c r="LHX141" s="205"/>
      <c r="LHY141" s="204"/>
      <c r="LHZ141" s="205"/>
      <c r="LIA141" s="204"/>
      <c r="LIB141" s="205"/>
      <c r="LIC141" s="204"/>
      <c r="LID141" s="205"/>
      <c r="LIE141" s="204"/>
      <c r="LIF141" s="205"/>
      <c r="LIG141" s="204"/>
      <c r="LIH141" s="205"/>
      <c r="LII141" s="204"/>
      <c r="LIJ141" s="205"/>
      <c r="LIK141" s="204"/>
      <c r="LIL141" s="205"/>
      <c r="LIM141" s="204"/>
      <c r="LIN141" s="205"/>
      <c r="LIO141" s="204"/>
      <c r="LIP141" s="205"/>
      <c r="LIQ141" s="204"/>
      <c r="LIR141" s="205"/>
      <c r="LIS141" s="204"/>
      <c r="LIT141" s="205"/>
      <c r="LIU141" s="204"/>
      <c r="LIV141" s="205"/>
      <c r="LIW141" s="204"/>
      <c r="LIX141" s="205"/>
      <c r="LIY141" s="204"/>
      <c r="LIZ141" s="205"/>
      <c r="LJA141" s="204"/>
      <c r="LJB141" s="205"/>
      <c r="LJC141" s="204"/>
      <c r="LJD141" s="205"/>
      <c r="LJE141" s="204"/>
      <c r="LJF141" s="205"/>
      <c r="LJG141" s="204"/>
      <c r="LJH141" s="205"/>
      <c r="LJI141" s="204"/>
      <c r="LJJ141" s="205"/>
      <c r="LJK141" s="204"/>
      <c r="LJL141" s="205"/>
      <c r="LJM141" s="204"/>
      <c r="LJN141" s="205"/>
      <c r="LJO141" s="204"/>
      <c r="LJP141" s="205"/>
      <c r="LJQ141" s="204"/>
      <c r="LJR141" s="205"/>
      <c r="LJS141" s="204"/>
      <c r="LJT141" s="205"/>
      <c r="LJU141" s="204"/>
      <c r="LJV141" s="205"/>
      <c r="LJW141" s="204"/>
      <c r="LJX141" s="205"/>
      <c r="LJY141" s="204"/>
      <c r="LJZ141" s="205"/>
      <c r="LKA141" s="204"/>
      <c r="LKB141" s="205"/>
      <c r="LKC141" s="204"/>
      <c r="LKD141" s="205"/>
      <c r="LKE141" s="204"/>
      <c r="LKF141" s="205"/>
      <c r="LKG141" s="204"/>
      <c r="LKH141" s="205"/>
      <c r="LKI141" s="204"/>
      <c r="LKJ141" s="205"/>
      <c r="LKK141" s="204"/>
      <c r="LKL141" s="205"/>
      <c r="LKM141" s="204"/>
      <c r="LKN141" s="205"/>
      <c r="LKO141" s="204"/>
      <c r="LKP141" s="205"/>
      <c r="LKQ141" s="204"/>
      <c r="LKR141" s="205"/>
      <c r="LKS141" s="204"/>
      <c r="LKT141" s="205"/>
      <c r="LKU141" s="204"/>
      <c r="LKV141" s="205"/>
      <c r="LKW141" s="204"/>
      <c r="LKX141" s="205"/>
      <c r="LKY141" s="204"/>
      <c r="LKZ141" s="205"/>
      <c r="LLA141" s="204"/>
      <c r="LLB141" s="205"/>
      <c r="LLC141" s="204"/>
      <c r="LLD141" s="205"/>
      <c r="LLE141" s="204"/>
      <c r="LLF141" s="205"/>
      <c r="LLG141" s="204"/>
      <c r="LLH141" s="205"/>
      <c r="LLI141" s="204"/>
      <c r="LLJ141" s="205"/>
      <c r="LLK141" s="204"/>
      <c r="LLL141" s="205"/>
      <c r="LLM141" s="204"/>
      <c r="LLN141" s="205"/>
      <c r="LLO141" s="204"/>
      <c r="LLP141" s="205"/>
      <c r="LLQ141" s="204"/>
      <c r="LLR141" s="205"/>
      <c r="LLS141" s="204"/>
      <c r="LLT141" s="205"/>
      <c r="LLU141" s="204"/>
      <c r="LLV141" s="205"/>
      <c r="LLW141" s="204"/>
      <c r="LLX141" s="205"/>
      <c r="LLY141" s="204"/>
      <c r="LLZ141" s="205"/>
      <c r="LMA141" s="204"/>
      <c r="LMB141" s="205"/>
      <c r="LMC141" s="204"/>
      <c r="LMD141" s="205"/>
      <c r="LME141" s="204"/>
      <c r="LMF141" s="205"/>
      <c r="LMG141" s="204"/>
      <c r="LMH141" s="205"/>
      <c r="LMI141" s="204"/>
      <c r="LMJ141" s="205"/>
      <c r="LMK141" s="204"/>
      <c r="LML141" s="205"/>
      <c r="LMM141" s="204"/>
      <c r="LMN141" s="205"/>
      <c r="LMO141" s="204"/>
      <c r="LMP141" s="205"/>
      <c r="LMQ141" s="204"/>
      <c r="LMR141" s="205"/>
      <c r="LMS141" s="204"/>
      <c r="LMT141" s="205"/>
      <c r="LMU141" s="204"/>
      <c r="LMV141" s="205"/>
      <c r="LMW141" s="204"/>
      <c r="LMX141" s="205"/>
      <c r="LMY141" s="204"/>
      <c r="LMZ141" s="205"/>
      <c r="LNA141" s="204"/>
      <c r="LNB141" s="205"/>
      <c r="LNC141" s="204"/>
      <c r="LND141" s="205"/>
      <c r="LNE141" s="204"/>
      <c r="LNF141" s="205"/>
      <c r="LNG141" s="204"/>
      <c r="LNH141" s="205"/>
      <c r="LNI141" s="204"/>
      <c r="LNJ141" s="205"/>
      <c r="LNK141" s="204"/>
      <c r="LNL141" s="205"/>
      <c r="LNM141" s="204"/>
      <c r="LNN141" s="205"/>
      <c r="LNO141" s="204"/>
      <c r="LNP141" s="205"/>
      <c r="LNQ141" s="204"/>
      <c r="LNR141" s="205"/>
      <c r="LNS141" s="204"/>
      <c r="LNT141" s="205"/>
      <c r="LNU141" s="204"/>
      <c r="LNV141" s="205"/>
      <c r="LNW141" s="204"/>
      <c r="LNX141" s="205"/>
      <c r="LNY141" s="204"/>
      <c r="LNZ141" s="205"/>
      <c r="LOA141" s="204"/>
      <c r="LOB141" s="205"/>
      <c r="LOC141" s="204"/>
      <c r="LOD141" s="205"/>
      <c r="LOE141" s="204"/>
      <c r="LOF141" s="205"/>
      <c r="LOG141" s="204"/>
      <c r="LOH141" s="205"/>
      <c r="LOI141" s="204"/>
      <c r="LOJ141" s="205"/>
      <c r="LOK141" s="204"/>
      <c r="LOL141" s="205"/>
      <c r="LOM141" s="204"/>
      <c r="LON141" s="205"/>
      <c r="LOO141" s="204"/>
      <c r="LOP141" s="205"/>
      <c r="LOQ141" s="204"/>
      <c r="LOR141" s="205"/>
      <c r="LOS141" s="204"/>
      <c r="LOT141" s="205"/>
      <c r="LOU141" s="204"/>
      <c r="LOV141" s="205"/>
      <c r="LOW141" s="204"/>
      <c r="LOX141" s="205"/>
      <c r="LOY141" s="204"/>
      <c r="LOZ141" s="205"/>
      <c r="LPA141" s="204"/>
      <c r="LPB141" s="205"/>
      <c r="LPC141" s="204"/>
      <c r="LPD141" s="205"/>
      <c r="LPE141" s="204"/>
      <c r="LPF141" s="205"/>
      <c r="LPG141" s="204"/>
      <c r="LPH141" s="205"/>
      <c r="LPI141" s="204"/>
      <c r="LPJ141" s="205"/>
      <c r="LPK141" s="204"/>
      <c r="LPL141" s="205"/>
      <c r="LPM141" s="204"/>
      <c r="LPN141" s="205"/>
      <c r="LPO141" s="204"/>
      <c r="LPP141" s="205"/>
      <c r="LPQ141" s="204"/>
      <c r="LPR141" s="205"/>
      <c r="LPS141" s="204"/>
      <c r="LPT141" s="205"/>
      <c r="LPU141" s="204"/>
      <c r="LPV141" s="205"/>
      <c r="LPW141" s="204"/>
      <c r="LPX141" s="205"/>
      <c r="LPY141" s="204"/>
      <c r="LPZ141" s="205"/>
      <c r="LQA141" s="204"/>
      <c r="LQB141" s="205"/>
      <c r="LQC141" s="204"/>
      <c r="LQD141" s="205"/>
      <c r="LQE141" s="204"/>
      <c r="LQF141" s="205"/>
      <c r="LQG141" s="204"/>
      <c r="LQH141" s="205"/>
      <c r="LQI141" s="204"/>
      <c r="LQJ141" s="205"/>
      <c r="LQK141" s="204"/>
      <c r="LQL141" s="205"/>
      <c r="LQM141" s="204"/>
      <c r="LQN141" s="205"/>
      <c r="LQO141" s="204"/>
      <c r="LQP141" s="205"/>
      <c r="LQQ141" s="204"/>
      <c r="LQR141" s="205"/>
      <c r="LQS141" s="204"/>
      <c r="LQT141" s="205"/>
      <c r="LQU141" s="204"/>
      <c r="LQV141" s="205"/>
      <c r="LQW141" s="204"/>
      <c r="LQX141" s="205"/>
      <c r="LQY141" s="204"/>
      <c r="LQZ141" s="205"/>
      <c r="LRA141" s="204"/>
      <c r="LRB141" s="205"/>
      <c r="LRC141" s="204"/>
      <c r="LRD141" s="205"/>
      <c r="LRE141" s="204"/>
      <c r="LRF141" s="205"/>
      <c r="LRG141" s="204"/>
      <c r="LRH141" s="205"/>
      <c r="LRI141" s="204"/>
      <c r="LRJ141" s="205"/>
      <c r="LRK141" s="204"/>
      <c r="LRL141" s="205"/>
      <c r="LRM141" s="204"/>
      <c r="LRN141" s="205"/>
      <c r="LRO141" s="204"/>
      <c r="LRP141" s="205"/>
      <c r="LRQ141" s="204"/>
      <c r="LRR141" s="205"/>
      <c r="LRS141" s="204"/>
      <c r="LRT141" s="205"/>
      <c r="LRU141" s="204"/>
      <c r="LRV141" s="205"/>
      <c r="LRW141" s="204"/>
      <c r="LRX141" s="205"/>
      <c r="LRY141" s="204"/>
      <c r="LRZ141" s="205"/>
      <c r="LSA141" s="204"/>
      <c r="LSB141" s="205"/>
      <c r="LSC141" s="204"/>
      <c r="LSD141" s="205"/>
      <c r="LSE141" s="204"/>
      <c r="LSF141" s="205"/>
      <c r="LSG141" s="204"/>
      <c r="LSH141" s="205"/>
      <c r="LSI141" s="204"/>
      <c r="LSJ141" s="205"/>
      <c r="LSK141" s="204"/>
      <c r="LSL141" s="205"/>
      <c r="LSM141" s="204"/>
      <c r="LSN141" s="205"/>
      <c r="LSO141" s="204"/>
      <c r="LSP141" s="205"/>
      <c r="LSQ141" s="204"/>
      <c r="LSR141" s="205"/>
      <c r="LSS141" s="204"/>
      <c r="LST141" s="205"/>
      <c r="LSU141" s="204"/>
      <c r="LSV141" s="205"/>
      <c r="LSW141" s="204"/>
      <c r="LSX141" s="205"/>
      <c r="LSY141" s="204"/>
      <c r="LSZ141" s="205"/>
      <c r="LTA141" s="204"/>
      <c r="LTB141" s="205"/>
      <c r="LTC141" s="204"/>
      <c r="LTD141" s="205"/>
      <c r="LTE141" s="204"/>
      <c r="LTF141" s="205"/>
      <c r="LTG141" s="204"/>
      <c r="LTH141" s="205"/>
      <c r="LTI141" s="204"/>
      <c r="LTJ141" s="205"/>
      <c r="LTK141" s="204"/>
      <c r="LTL141" s="205"/>
      <c r="LTM141" s="204"/>
      <c r="LTN141" s="205"/>
      <c r="LTO141" s="204"/>
      <c r="LTP141" s="205"/>
      <c r="LTQ141" s="204"/>
      <c r="LTR141" s="205"/>
      <c r="LTS141" s="204"/>
      <c r="LTT141" s="205"/>
      <c r="LTU141" s="204"/>
      <c r="LTV141" s="205"/>
      <c r="LTW141" s="204"/>
      <c r="LTX141" s="205"/>
      <c r="LTY141" s="204"/>
      <c r="LTZ141" s="205"/>
      <c r="LUA141" s="204"/>
      <c r="LUB141" s="205"/>
      <c r="LUC141" s="204"/>
      <c r="LUD141" s="205"/>
      <c r="LUE141" s="204"/>
      <c r="LUF141" s="205"/>
      <c r="LUG141" s="204"/>
      <c r="LUH141" s="205"/>
      <c r="LUI141" s="204"/>
      <c r="LUJ141" s="205"/>
      <c r="LUK141" s="204"/>
      <c r="LUL141" s="205"/>
      <c r="LUM141" s="204"/>
      <c r="LUN141" s="205"/>
      <c r="LUO141" s="204"/>
      <c r="LUP141" s="205"/>
      <c r="LUQ141" s="204"/>
      <c r="LUR141" s="205"/>
      <c r="LUS141" s="204"/>
      <c r="LUT141" s="205"/>
      <c r="LUU141" s="204"/>
      <c r="LUV141" s="205"/>
      <c r="LUW141" s="204"/>
      <c r="LUX141" s="205"/>
      <c r="LUY141" s="204"/>
      <c r="LUZ141" s="205"/>
      <c r="LVA141" s="204"/>
      <c r="LVB141" s="205"/>
      <c r="LVC141" s="204"/>
      <c r="LVD141" s="205"/>
      <c r="LVE141" s="204"/>
      <c r="LVF141" s="205"/>
      <c r="LVG141" s="204"/>
      <c r="LVH141" s="205"/>
      <c r="LVI141" s="204"/>
      <c r="LVJ141" s="205"/>
      <c r="LVK141" s="204"/>
      <c r="LVL141" s="205"/>
      <c r="LVM141" s="204"/>
      <c r="LVN141" s="205"/>
      <c r="LVO141" s="204"/>
      <c r="LVP141" s="205"/>
      <c r="LVQ141" s="204"/>
      <c r="LVR141" s="205"/>
      <c r="LVS141" s="204"/>
      <c r="LVT141" s="205"/>
      <c r="LVU141" s="204"/>
      <c r="LVV141" s="205"/>
      <c r="LVW141" s="204"/>
      <c r="LVX141" s="205"/>
      <c r="LVY141" s="204"/>
      <c r="LVZ141" s="205"/>
      <c r="LWA141" s="204"/>
      <c r="LWB141" s="205"/>
      <c r="LWC141" s="204"/>
      <c r="LWD141" s="205"/>
      <c r="LWE141" s="204"/>
      <c r="LWF141" s="205"/>
      <c r="LWG141" s="204"/>
      <c r="LWH141" s="205"/>
      <c r="LWI141" s="204"/>
      <c r="LWJ141" s="205"/>
      <c r="LWK141" s="204"/>
      <c r="LWL141" s="205"/>
      <c r="LWM141" s="204"/>
      <c r="LWN141" s="205"/>
      <c r="LWO141" s="204"/>
      <c r="LWP141" s="205"/>
      <c r="LWQ141" s="204"/>
      <c r="LWR141" s="205"/>
      <c r="LWS141" s="204"/>
      <c r="LWT141" s="205"/>
      <c r="LWU141" s="204"/>
      <c r="LWV141" s="205"/>
      <c r="LWW141" s="204"/>
      <c r="LWX141" s="205"/>
      <c r="LWY141" s="204"/>
      <c r="LWZ141" s="205"/>
      <c r="LXA141" s="204"/>
      <c r="LXB141" s="205"/>
      <c r="LXC141" s="204"/>
      <c r="LXD141" s="205"/>
      <c r="LXE141" s="204"/>
      <c r="LXF141" s="205"/>
      <c r="LXG141" s="204"/>
      <c r="LXH141" s="205"/>
      <c r="LXI141" s="204"/>
      <c r="LXJ141" s="205"/>
      <c r="LXK141" s="204"/>
      <c r="LXL141" s="205"/>
      <c r="LXM141" s="204"/>
      <c r="LXN141" s="205"/>
      <c r="LXO141" s="204"/>
      <c r="LXP141" s="205"/>
      <c r="LXQ141" s="204"/>
      <c r="LXR141" s="205"/>
      <c r="LXS141" s="204"/>
      <c r="LXT141" s="205"/>
      <c r="LXU141" s="204"/>
      <c r="LXV141" s="205"/>
      <c r="LXW141" s="204"/>
      <c r="LXX141" s="205"/>
      <c r="LXY141" s="204"/>
      <c r="LXZ141" s="205"/>
      <c r="LYA141" s="204"/>
      <c r="LYB141" s="205"/>
      <c r="LYC141" s="204"/>
      <c r="LYD141" s="205"/>
      <c r="LYE141" s="204"/>
      <c r="LYF141" s="205"/>
      <c r="LYG141" s="204"/>
      <c r="LYH141" s="205"/>
      <c r="LYI141" s="204"/>
      <c r="LYJ141" s="205"/>
      <c r="LYK141" s="204"/>
      <c r="LYL141" s="205"/>
      <c r="LYM141" s="204"/>
      <c r="LYN141" s="205"/>
      <c r="LYO141" s="204"/>
      <c r="LYP141" s="205"/>
      <c r="LYQ141" s="204"/>
      <c r="LYR141" s="205"/>
      <c r="LYS141" s="204"/>
      <c r="LYT141" s="205"/>
      <c r="LYU141" s="204"/>
      <c r="LYV141" s="205"/>
      <c r="LYW141" s="204"/>
      <c r="LYX141" s="205"/>
      <c r="LYY141" s="204"/>
      <c r="LYZ141" s="205"/>
      <c r="LZA141" s="204"/>
      <c r="LZB141" s="205"/>
      <c r="LZC141" s="204"/>
      <c r="LZD141" s="205"/>
      <c r="LZE141" s="204"/>
      <c r="LZF141" s="205"/>
      <c r="LZG141" s="204"/>
      <c r="LZH141" s="205"/>
      <c r="LZI141" s="204"/>
      <c r="LZJ141" s="205"/>
      <c r="LZK141" s="204"/>
      <c r="LZL141" s="205"/>
      <c r="LZM141" s="204"/>
      <c r="LZN141" s="205"/>
      <c r="LZO141" s="204"/>
      <c r="LZP141" s="205"/>
      <c r="LZQ141" s="204"/>
      <c r="LZR141" s="205"/>
      <c r="LZS141" s="204"/>
      <c r="LZT141" s="205"/>
      <c r="LZU141" s="204"/>
      <c r="LZV141" s="205"/>
      <c r="LZW141" s="204"/>
      <c r="LZX141" s="205"/>
      <c r="LZY141" s="204"/>
      <c r="LZZ141" s="205"/>
      <c r="MAA141" s="204"/>
      <c r="MAB141" s="205"/>
      <c r="MAC141" s="204"/>
      <c r="MAD141" s="205"/>
      <c r="MAE141" s="204"/>
      <c r="MAF141" s="205"/>
      <c r="MAG141" s="204"/>
      <c r="MAH141" s="205"/>
      <c r="MAI141" s="204"/>
      <c r="MAJ141" s="205"/>
      <c r="MAK141" s="204"/>
      <c r="MAL141" s="205"/>
      <c r="MAM141" s="204"/>
      <c r="MAN141" s="205"/>
      <c r="MAO141" s="204"/>
      <c r="MAP141" s="205"/>
      <c r="MAQ141" s="204"/>
      <c r="MAR141" s="205"/>
      <c r="MAS141" s="204"/>
      <c r="MAT141" s="205"/>
      <c r="MAU141" s="204"/>
      <c r="MAV141" s="205"/>
      <c r="MAW141" s="204"/>
      <c r="MAX141" s="205"/>
      <c r="MAY141" s="204"/>
      <c r="MAZ141" s="205"/>
      <c r="MBA141" s="204"/>
      <c r="MBB141" s="205"/>
      <c r="MBC141" s="204"/>
      <c r="MBD141" s="205"/>
      <c r="MBE141" s="204"/>
      <c r="MBF141" s="205"/>
      <c r="MBG141" s="204"/>
      <c r="MBH141" s="205"/>
      <c r="MBI141" s="204"/>
      <c r="MBJ141" s="205"/>
      <c r="MBK141" s="204"/>
      <c r="MBL141" s="205"/>
      <c r="MBM141" s="204"/>
      <c r="MBN141" s="205"/>
      <c r="MBO141" s="204"/>
      <c r="MBP141" s="205"/>
      <c r="MBQ141" s="204"/>
      <c r="MBR141" s="205"/>
      <c r="MBS141" s="204"/>
      <c r="MBT141" s="205"/>
      <c r="MBU141" s="204"/>
      <c r="MBV141" s="205"/>
      <c r="MBW141" s="204"/>
      <c r="MBX141" s="205"/>
      <c r="MBY141" s="204"/>
      <c r="MBZ141" s="205"/>
      <c r="MCA141" s="204"/>
      <c r="MCB141" s="205"/>
      <c r="MCC141" s="204"/>
      <c r="MCD141" s="205"/>
      <c r="MCE141" s="204"/>
      <c r="MCF141" s="205"/>
      <c r="MCG141" s="204"/>
      <c r="MCH141" s="205"/>
      <c r="MCI141" s="204"/>
      <c r="MCJ141" s="205"/>
      <c r="MCK141" s="204"/>
      <c r="MCL141" s="205"/>
      <c r="MCM141" s="204"/>
      <c r="MCN141" s="205"/>
      <c r="MCO141" s="204"/>
      <c r="MCP141" s="205"/>
      <c r="MCQ141" s="204"/>
      <c r="MCR141" s="205"/>
      <c r="MCS141" s="204"/>
      <c r="MCT141" s="205"/>
      <c r="MCU141" s="204"/>
      <c r="MCV141" s="205"/>
      <c r="MCW141" s="204"/>
      <c r="MCX141" s="205"/>
      <c r="MCY141" s="204"/>
      <c r="MCZ141" s="205"/>
      <c r="MDA141" s="204"/>
      <c r="MDB141" s="205"/>
      <c r="MDC141" s="204"/>
      <c r="MDD141" s="205"/>
      <c r="MDE141" s="204"/>
      <c r="MDF141" s="205"/>
      <c r="MDG141" s="204"/>
      <c r="MDH141" s="205"/>
      <c r="MDI141" s="204"/>
      <c r="MDJ141" s="205"/>
      <c r="MDK141" s="204"/>
      <c r="MDL141" s="205"/>
      <c r="MDM141" s="204"/>
      <c r="MDN141" s="205"/>
      <c r="MDO141" s="204"/>
      <c r="MDP141" s="205"/>
      <c r="MDQ141" s="204"/>
      <c r="MDR141" s="205"/>
      <c r="MDS141" s="204"/>
      <c r="MDT141" s="205"/>
      <c r="MDU141" s="204"/>
      <c r="MDV141" s="205"/>
      <c r="MDW141" s="204"/>
      <c r="MDX141" s="205"/>
      <c r="MDY141" s="204"/>
      <c r="MDZ141" s="205"/>
      <c r="MEA141" s="204"/>
      <c r="MEB141" s="205"/>
      <c r="MEC141" s="204"/>
      <c r="MED141" s="205"/>
      <c r="MEE141" s="204"/>
      <c r="MEF141" s="205"/>
      <c r="MEG141" s="204"/>
      <c r="MEH141" s="205"/>
      <c r="MEI141" s="204"/>
      <c r="MEJ141" s="205"/>
      <c r="MEK141" s="204"/>
      <c r="MEL141" s="205"/>
      <c r="MEM141" s="204"/>
      <c r="MEN141" s="205"/>
      <c r="MEO141" s="204"/>
      <c r="MEP141" s="205"/>
      <c r="MEQ141" s="204"/>
      <c r="MER141" s="205"/>
      <c r="MES141" s="204"/>
      <c r="MET141" s="205"/>
      <c r="MEU141" s="204"/>
      <c r="MEV141" s="205"/>
      <c r="MEW141" s="204"/>
      <c r="MEX141" s="205"/>
      <c r="MEY141" s="204"/>
      <c r="MEZ141" s="205"/>
      <c r="MFA141" s="204"/>
      <c r="MFB141" s="205"/>
      <c r="MFC141" s="204"/>
      <c r="MFD141" s="205"/>
      <c r="MFE141" s="204"/>
      <c r="MFF141" s="205"/>
      <c r="MFG141" s="204"/>
      <c r="MFH141" s="205"/>
      <c r="MFI141" s="204"/>
      <c r="MFJ141" s="205"/>
      <c r="MFK141" s="204"/>
      <c r="MFL141" s="205"/>
      <c r="MFM141" s="204"/>
      <c r="MFN141" s="205"/>
      <c r="MFO141" s="204"/>
      <c r="MFP141" s="205"/>
      <c r="MFQ141" s="204"/>
      <c r="MFR141" s="205"/>
      <c r="MFS141" s="204"/>
      <c r="MFT141" s="205"/>
      <c r="MFU141" s="204"/>
      <c r="MFV141" s="205"/>
      <c r="MFW141" s="204"/>
      <c r="MFX141" s="205"/>
      <c r="MFY141" s="204"/>
      <c r="MFZ141" s="205"/>
      <c r="MGA141" s="204"/>
      <c r="MGB141" s="205"/>
      <c r="MGC141" s="204"/>
      <c r="MGD141" s="205"/>
      <c r="MGE141" s="204"/>
      <c r="MGF141" s="205"/>
      <c r="MGG141" s="204"/>
      <c r="MGH141" s="205"/>
      <c r="MGI141" s="204"/>
      <c r="MGJ141" s="205"/>
      <c r="MGK141" s="204"/>
      <c r="MGL141" s="205"/>
      <c r="MGM141" s="204"/>
      <c r="MGN141" s="205"/>
      <c r="MGO141" s="204"/>
      <c r="MGP141" s="205"/>
      <c r="MGQ141" s="204"/>
      <c r="MGR141" s="205"/>
      <c r="MGS141" s="204"/>
      <c r="MGT141" s="205"/>
      <c r="MGU141" s="204"/>
      <c r="MGV141" s="205"/>
      <c r="MGW141" s="204"/>
      <c r="MGX141" s="205"/>
      <c r="MGY141" s="204"/>
      <c r="MGZ141" s="205"/>
      <c r="MHA141" s="204"/>
      <c r="MHB141" s="205"/>
      <c r="MHC141" s="204"/>
      <c r="MHD141" s="205"/>
      <c r="MHE141" s="204"/>
      <c r="MHF141" s="205"/>
      <c r="MHG141" s="204"/>
      <c r="MHH141" s="205"/>
      <c r="MHI141" s="204"/>
      <c r="MHJ141" s="205"/>
      <c r="MHK141" s="204"/>
      <c r="MHL141" s="205"/>
      <c r="MHM141" s="204"/>
      <c r="MHN141" s="205"/>
      <c r="MHO141" s="204"/>
      <c r="MHP141" s="205"/>
      <c r="MHQ141" s="204"/>
      <c r="MHR141" s="205"/>
      <c r="MHS141" s="204"/>
      <c r="MHT141" s="205"/>
      <c r="MHU141" s="204"/>
      <c r="MHV141" s="205"/>
      <c r="MHW141" s="204"/>
      <c r="MHX141" s="205"/>
      <c r="MHY141" s="204"/>
      <c r="MHZ141" s="205"/>
      <c r="MIA141" s="204"/>
      <c r="MIB141" s="205"/>
      <c r="MIC141" s="204"/>
      <c r="MID141" s="205"/>
      <c r="MIE141" s="204"/>
      <c r="MIF141" s="205"/>
      <c r="MIG141" s="204"/>
      <c r="MIH141" s="205"/>
      <c r="MII141" s="204"/>
      <c r="MIJ141" s="205"/>
      <c r="MIK141" s="204"/>
      <c r="MIL141" s="205"/>
      <c r="MIM141" s="204"/>
      <c r="MIN141" s="205"/>
      <c r="MIO141" s="204"/>
      <c r="MIP141" s="205"/>
      <c r="MIQ141" s="204"/>
      <c r="MIR141" s="205"/>
      <c r="MIS141" s="204"/>
      <c r="MIT141" s="205"/>
      <c r="MIU141" s="204"/>
      <c r="MIV141" s="205"/>
      <c r="MIW141" s="204"/>
      <c r="MIX141" s="205"/>
      <c r="MIY141" s="204"/>
      <c r="MIZ141" s="205"/>
      <c r="MJA141" s="204"/>
      <c r="MJB141" s="205"/>
      <c r="MJC141" s="204"/>
      <c r="MJD141" s="205"/>
      <c r="MJE141" s="204"/>
      <c r="MJF141" s="205"/>
      <c r="MJG141" s="204"/>
      <c r="MJH141" s="205"/>
      <c r="MJI141" s="204"/>
      <c r="MJJ141" s="205"/>
      <c r="MJK141" s="204"/>
      <c r="MJL141" s="205"/>
      <c r="MJM141" s="204"/>
      <c r="MJN141" s="205"/>
      <c r="MJO141" s="204"/>
      <c r="MJP141" s="205"/>
      <c r="MJQ141" s="204"/>
      <c r="MJR141" s="205"/>
      <c r="MJS141" s="204"/>
      <c r="MJT141" s="205"/>
      <c r="MJU141" s="204"/>
      <c r="MJV141" s="205"/>
      <c r="MJW141" s="204"/>
      <c r="MJX141" s="205"/>
      <c r="MJY141" s="204"/>
      <c r="MJZ141" s="205"/>
      <c r="MKA141" s="204"/>
      <c r="MKB141" s="205"/>
      <c r="MKC141" s="204"/>
      <c r="MKD141" s="205"/>
      <c r="MKE141" s="204"/>
      <c r="MKF141" s="205"/>
      <c r="MKG141" s="204"/>
      <c r="MKH141" s="205"/>
      <c r="MKI141" s="204"/>
      <c r="MKJ141" s="205"/>
      <c r="MKK141" s="204"/>
      <c r="MKL141" s="205"/>
      <c r="MKM141" s="204"/>
      <c r="MKN141" s="205"/>
      <c r="MKO141" s="204"/>
      <c r="MKP141" s="205"/>
      <c r="MKQ141" s="204"/>
      <c r="MKR141" s="205"/>
      <c r="MKS141" s="204"/>
      <c r="MKT141" s="205"/>
      <c r="MKU141" s="204"/>
      <c r="MKV141" s="205"/>
      <c r="MKW141" s="204"/>
      <c r="MKX141" s="205"/>
      <c r="MKY141" s="204"/>
      <c r="MKZ141" s="205"/>
      <c r="MLA141" s="204"/>
      <c r="MLB141" s="205"/>
      <c r="MLC141" s="204"/>
      <c r="MLD141" s="205"/>
      <c r="MLE141" s="204"/>
      <c r="MLF141" s="205"/>
      <c r="MLG141" s="204"/>
      <c r="MLH141" s="205"/>
      <c r="MLI141" s="204"/>
      <c r="MLJ141" s="205"/>
      <c r="MLK141" s="204"/>
      <c r="MLL141" s="205"/>
      <c r="MLM141" s="204"/>
      <c r="MLN141" s="205"/>
      <c r="MLO141" s="204"/>
      <c r="MLP141" s="205"/>
      <c r="MLQ141" s="204"/>
      <c r="MLR141" s="205"/>
      <c r="MLS141" s="204"/>
      <c r="MLT141" s="205"/>
      <c r="MLU141" s="204"/>
      <c r="MLV141" s="205"/>
      <c r="MLW141" s="204"/>
      <c r="MLX141" s="205"/>
      <c r="MLY141" s="204"/>
      <c r="MLZ141" s="205"/>
      <c r="MMA141" s="204"/>
      <c r="MMB141" s="205"/>
      <c r="MMC141" s="204"/>
      <c r="MMD141" s="205"/>
      <c r="MME141" s="204"/>
      <c r="MMF141" s="205"/>
      <c r="MMG141" s="204"/>
      <c r="MMH141" s="205"/>
      <c r="MMI141" s="204"/>
      <c r="MMJ141" s="205"/>
      <c r="MMK141" s="204"/>
      <c r="MML141" s="205"/>
      <c r="MMM141" s="204"/>
      <c r="MMN141" s="205"/>
      <c r="MMO141" s="204"/>
      <c r="MMP141" s="205"/>
      <c r="MMQ141" s="204"/>
      <c r="MMR141" s="205"/>
      <c r="MMS141" s="204"/>
      <c r="MMT141" s="205"/>
      <c r="MMU141" s="204"/>
      <c r="MMV141" s="205"/>
      <c r="MMW141" s="204"/>
      <c r="MMX141" s="205"/>
      <c r="MMY141" s="204"/>
      <c r="MMZ141" s="205"/>
      <c r="MNA141" s="204"/>
      <c r="MNB141" s="205"/>
      <c r="MNC141" s="204"/>
      <c r="MND141" s="205"/>
      <c r="MNE141" s="204"/>
      <c r="MNF141" s="205"/>
      <c r="MNG141" s="204"/>
      <c r="MNH141" s="205"/>
      <c r="MNI141" s="204"/>
      <c r="MNJ141" s="205"/>
      <c r="MNK141" s="204"/>
      <c r="MNL141" s="205"/>
      <c r="MNM141" s="204"/>
      <c r="MNN141" s="205"/>
      <c r="MNO141" s="204"/>
      <c r="MNP141" s="205"/>
      <c r="MNQ141" s="204"/>
      <c r="MNR141" s="205"/>
      <c r="MNS141" s="204"/>
      <c r="MNT141" s="205"/>
      <c r="MNU141" s="204"/>
      <c r="MNV141" s="205"/>
      <c r="MNW141" s="204"/>
      <c r="MNX141" s="205"/>
      <c r="MNY141" s="204"/>
      <c r="MNZ141" s="205"/>
      <c r="MOA141" s="204"/>
      <c r="MOB141" s="205"/>
      <c r="MOC141" s="204"/>
      <c r="MOD141" s="205"/>
      <c r="MOE141" s="204"/>
      <c r="MOF141" s="205"/>
      <c r="MOG141" s="204"/>
      <c r="MOH141" s="205"/>
      <c r="MOI141" s="204"/>
      <c r="MOJ141" s="205"/>
      <c r="MOK141" s="204"/>
      <c r="MOL141" s="205"/>
      <c r="MOM141" s="204"/>
      <c r="MON141" s="205"/>
      <c r="MOO141" s="204"/>
      <c r="MOP141" s="205"/>
      <c r="MOQ141" s="204"/>
      <c r="MOR141" s="205"/>
      <c r="MOS141" s="204"/>
      <c r="MOT141" s="205"/>
      <c r="MOU141" s="204"/>
      <c r="MOV141" s="205"/>
      <c r="MOW141" s="204"/>
      <c r="MOX141" s="205"/>
      <c r="MOY141" s="204"/>
      <c r="MOZ141" s="205"/>
      <c r="MPA141" s="204"/>
      <c r="MPB141" s="205"/>
      <c r="MPC141" s="204"/>
      <c r="MPD141" s="205"/>
      <c r="MPE141" s="204"/>
      <c r="MPF141" s="205"/>
      <c r="MPG141" s="204"/>
      <c r="MPH141" s="205"/>
      <c r="MPI141" s="204"/>
      <c r="MPJ141" s="205"/>
      <c r="MPK141" s="204"/>
      <c r="MPL141" s="205"/>
      <c r="MPM141" s="204"/>
      <c r="MPN141" s="205"/>
      <c r="MPO141" s="204"/>
      <c r="MPP141" s="205"/>
      <c r="MPQ141" s="204"/>
      <c r="MPR141" s="205"/>
      <c r="MPS141" s="204"/>
      <c r="MPT141" s="205"/>
      <c r="MPU141" s="204"/>
      <c r="MPV141" s="205"/>
      <c r="MPW141" s="204"/>
      <c r="MPX141" s="205"/>
      <c r="MPY141" s="204"/>
      <c r="MPZ141" s="205"/>
      <c r="MQA141" s="204"/>
      <c r="MQB141" s="205"/>
      <c r="MQC141" s="204"/>
      <c r="MQD141" s="205"/>
      <c r="MQE141" s="204"/>
      <c r="MQF141" s="205"/>
      <c r="MQG141" s="204"/>
      <c r="MQH141" s="205"/>
      <c r="MQI141" s="204"/>
      <c r="MQJ141" s="205"/>
      <c r="MQK141" s="204"/>
      <c r="MQL141" s="205"/>
      <c r="MQM141" s="204"/>
      <c r="MQN141" s="205"/>
      <c r="MQO141" s="204"/>
      <c r="MQP141" s="205"/>
      <c r="MQQ141" s="204"/>
      <c r="MQR141" s="205"/>
      <c r="MQS141" s="204"/>
      <c r="MQT141" s="205"/>
      <c r="MQU141" s="204"/>
      <c r="MQV141" s="205"/>
      <c r="MQW141" s="204"/>
      <c r="MQX141" s="205"/>
      <c r="MQY141" s="204"/>
      <c r="MQZ141" s="205"/>
      <c r="MRA141" s="204"/>
      <c r="MRB141" s="205"/>
      <c r="MRC141" s="204"/>
      <c r="MRD141" s="205"/>
      <c r="MRE141" s="204"/>
      <c r="MRF141" s="205"/>
      <c r="MRG141" s="204"/>
      <c r="MRH141" s="205"/>
      <c r="MRI141" s="204"/>
      <c r="MRJ141" s="205"/>
      <c r="MRK141" s="204"/>
      <c r="MRL141" s="205"/>
      <c r="MRM141" s="204"/>
      <c r="MRN141" s="205"/>
      <c r="MRO141" s="204"/>
      <c r="MRP141" s="205"/>
      <c r="MRQ141" s="204"/>
      <c r="MRR141" s="205"/>
      <c r="MRS141" s="204"/>
      <c r="MRT141" s="205"/>
      <c r="MRU141" s="204"/>
      <c r="MRV141" s="205"/>
      <c r="MRW141" s="204"/>
      <c r="MRX141" s="205"/>
      <c r="MRY141" s="204"/>
      <c r="MRZ141" s="205"/>
      <c r="MSA141" s="204"/>
      <c r="MSB141" s="205"/>
      <c r="MSC141" s="204"/>
      <c r="MSD141" s="205"/>
      <c r="MSE141" s="204"/>
      <c r="MSF141" s="205"/>
      <c r="MSG141" s="204"/>
      <c r="MSH141" s="205"/>
      <c r="MSI141" s="204"/>
      <c r="MSJ141" s="205"/>
      <c r="MSK141" s="204"/>
      <c r="MSL141" s="205"/>
      <c r="MSM141" s="204"/>
      <c r="MSN141" s="205"/>
      <c r="MSO141" s="204"/>
      <c r="MSP141" s="205"/>
      <c r="MSQ141" s="204"/>
      <c r="MSR141" s="205"/>
      <c r="MSS141" s="204"/>
      <c r="MST141" s="205"/>
      <c r="MSU141" s="204"/>
      <c r="MSV141" s="205"/>
      <c r="MSW141" s="204"/>
      <c r="MSX141" s="205"/>
      <c r="MSY141" s="204"/>
      <c r="MSZ141" s="205"/>
      <c r="MTA141" s="204"/>
      <c r="MTB141" s="205"/>
      <c r="MTC141" s="204"/>
      <c r="MTD141" s="205"/>
      <c r="MTE141" s="204"/>
      <c r="MTF141" s="205"/>
      <c r="MTG141" s="204"/>
      <c r="MTH141" s="205"/>
      <c r="MTI141" s="204"/>
      <c r="MTJ141" s="205"/>
      <c r="MTK141" s="204"/>
      <c r="MTL141" s="205"/>
      <c r="MTM141" s="204"/>
      <c r="MTN141" s="205"/>
      <c r="MTO141" s="204"/>
      <c r="MTP141" s="205"/>
      <c r="MTQ141" s="204"/>
      <c r="MTR141" s="205"/>
      <c r="MTS141" s="204"/>
      <c r="MTT141" s="205"/>
      <c r="MTU141" s="204"/>
      <c r="MTV141" s="205"/>
      <c r="MTW141" s="204"/>
      <c r="MTX141" s="205"/>
      <c r="MTY141" s="204"/>
      <c r="MTZ141" s="205"/>
      <c r="MUA141" s="204"/>
      <c r="MUB141" s="205"/>
      <c r="MUC141" s="204"/>
      <c r="MUD141" s="205"/>
      <c r="MUE141" s="204"/>
      <c r="MUF141" s="205"/>
      <c r="MUG141" s="204"/>
      <c r="MUH141" s="205"/>
      <c r="MUI141" s="204"/>
      <c r="MUJ141" s="205"/>
      <c r="MUK141" s="204"/>
      <c r="MUL141" s="205"/>
      <c r="MUM141" s="204"/>
      <c r="MUN141" s="205"/>
      <c r="MUO141" s="204"/>
      <c r="MUP141" s="205"/>
      <c r="MUQ141" s="204"/>
      <c r="MUR141" s="205"/>
      <c r="MUS141" s="204"/>
      <c r="MUT141" s="205"/>
      <c r="MUU141" s="204"/>
      <c r="MUV141" s="205"/>
      <c r="MUW141" s="204"/>
      <c r="MUX141" s="205"/>
      <c r="MUY141" s="204"/>
      <c r="MUZ141" s="205"/>
      <c r="MVA141" s="204"/>
      <c r="MVB141" s="205"/>
      <c r="MVC141" s="204"/>
      <c r="MVD141" s="205"/>
      <c r="MVE141" s="204"/>
      <c r="MVF141" s="205"/>
      <c r="MVG141" s="204"/>
      <c r="MVH141" s="205"/>
      <c r="MVI141" s="204"/>
      <c r="MVJ141" s="205"/>
      <c r="MVK141" s="204"/>
      <c r="MVL141" s="205"/>
      <c r="MVM141" s="204"/>
      <c r="MVN141" s="205"/>
      <c r="MVO141" s="204"/>
      <c r="MVP141" s="205"/>
      <c r="MVQ141" s="204"/>
      <c r="MVR141" s="205"/>
      <c r="MVS141" s="204"/>
      <c r="MVT141" s="205"/>
      <c r="MVU141" s="204"/>
      <c r="MVV141" s="205"/>
      <c r="MVW141" s="204"/>
      <c r="MVX141" s="205"/>
      <c r="MVY141" s="204"/>
      <c r="MVZ141" s="205"/>
      <c r="MWA141" s="204"/>
      <c r="MWB141" s="205"/>
      <c r="MWC141" s="204"/>
      <c r="MWD141" s="205"/>
      <c r="MWE141" s="204"/>
      <c r="MWF141" s="205"/>
      <c r="MWG141" s="204"/>
      <c r="MWH141" s="205"/>
      <c r="MWI141" s="204"/>
      <c r="MWJ141" s="205"/>
      <c r="MWK141" s="204"/>
      <c r="MWL141" s="205"/>
      <c r="MWM141" s="204"/>
      <c r="MWN141" s="205"/>
      <c r="MWO141" s="204"/>
      <c r="MWP141" s="205"/>
      <c r="MWQ141" s="204"/>
      <c r="MWR141" s="205"/>
      <c r="MWS141" s="204"/>
      <c r="MWT141" s="205"/>
      <c r="MWU141" s="204"/>
      <c r="MWV141" s="205"/>
      <c r="MWW141" s="204"/>
      <c r="MWX141" s="205"/>
      <c r="MWY141" s="204"/>
      <c r="MWZ141" s="205"/>
      <c r="MXA141" s="204"/>
      <c r="MXB141" s="205"/>
      <c r="MXC141" s="204"/>
      <c r="MXD141" s="205"/>
      <c r="MXE141" s="204"/>
      <c r="MXF141" s="205"/>
      <c r="MXG141" s="204"/>
      <c r="MXH141" s="205"/>
      <c r="MXI141" s="204"/>
      <c r="MXJ141" s="205"/>
      <c r="MXK141" s="204"/>
      <c r="MXL141" s="205"/>
      <c r="MXM141" s="204"/>
      <c r="MXN141" s="205"/>
      <c r="MXO141" s="204"/>
      <c r="MXP141" s="205"/>
      <c r="MXQ141" s="204"/>
      <c r="MXR141" s="205"/>
      <c r="MXS141" s="204"/>
      <c r="MXT141" s="205"/>
      <c r="MXU141" s="204"/>
      <c r="MXV141" s="205"/>
      <c r="MXW141" s="204"/>
      <c r="MXX141" s="205"/>
      <c r="MXY141" s="204"/>
      <c r="MXZ141" s="205"/>
      <c r="MYA141" s="204"/>
      <c r="MYB141" s="205"/>
      <c r="MYC141" s="204"/>
      <c r="MYD141" s="205"/>
      <c r="MYE141" s="204"/>
      <c r="MYF141" s="205"/>
      <c r="MYG141" s="204"/>
      <c r="MYH141" s="205"/>
      <c r="MYI141" s="204"/>
      <c r="MYJ141" s="205"/>
      <c r="MYK141" s="204"/>
      <c r="MYL141" s="205"/>
      <c r="MYM141" s="204"/>
      <c r="MYN141" s="205"/>
      <c r="MYO141" s="204"/>
      <c r="MYP141" s="205"/>
      <c r="MYQ141" s="204"/>
      <c r="MYR141" s="205"/>
      <c r="MYS141" s="204"/>
      <c r="MYT141" s="205"/>
      <c r="MYU141" s="204"/>
      <c r="MYV141" s="205"/>
      <c r="MYW141" s="204"/>
      <c r="MYX141" s="205"/>
      <c r="MYY141" s="204"/>
      <c r="MYZ141" s="205"/>
      <c r="MZA141" s="204"/>
      <c r="MZB141" s="205"/>
      <c r="MZC141" s="204"/>
      <c r="MZD141" s="205"/>
      <c r="MZE141" s="204"/>
      <c r="MZF141" s="205"/>
      <c r="MZG141" s="204"/>
      <c r="MZH141" s="205"/>
      <c r="MZI141" s="204"/>
      <c r="MZJ141" s="205"/>
      <c r="MZK141" s="204"/>
      <c r="MZL141" s="205"/>
      <c r="MZM141" s="204"/>
      <c r="MZN141" s="205"/>
      <c r="MZO141" s="204"/>
      <c r="MZP141" s="205"/>
      <c r="MZQ141" s="204"/>
      <c r="MZR141" s="205"/>
      <c r="MZS141" s="204"/>
      <c r="MZT141" s="205"/>
      <c r="MZU141" s="204"/>
      <c r="MZV141" s="205"/>
      <c r="MZW141" s="204"/>
      <c r="MZX141" s="205"/>
      <c r="MZY141" s="204"/>
      <c r="MZZ141" s="205"/>
      <c r="NAA141" s="204"/>
      <c r="NAB141" s="205"/>
      <c r="NAC141" s="204"/>
      <c r="NAD141" s="205"/>
      <c r="NAE141" s="204"/>
      <c r="NAF141" s="205"/>
      <c r="NAG141" s="204"/>
      <c r="NAH141" s="205"/>
      <c r="NAI141" s="204"/>
      <c r="NAJ141" s="205"/>
      <c r="NAK141" s="204"/>
      <c r="NAL141" s="205"/>
      <c r="NAM141" s="204"/>
      <c r="NAN141" s="205"/>
      <c r="NAO141" s="204"/>
      <c r="NAP141" s="205"/>
      <c r="NAQ141" s="204"/>
      <c r="NAR141" s="205"/>
      <c r="NAS141" s="204"/>
      <c r="NAT141" s="205"/>
      <c r="NAU141" s="204"/>
      <c r="NAV141" s="205"/>
      <c r="NAW141" s="204"/>
      <c r="NAX141" s="205"/>
      <c r="NAY141" s="204"/>
      <c r="NAZ141" s="205"/>
      <c r="NBA141" s="204"/>
      <c r="NBB141" s="205"/>
      <c r="NBC141" s="204"/>
      <c r="NBD141" s="205"/>
      <c r="NBE141" s="204"/>
      <c r="NBF141" s="205"/>
      <c r="NBG141" s="204"/>
      <c r="NBH141" s="205"/>
      <c r="NBI141" s="204"/>
      <c r="NBJ141" s="205"/>
      <c r="NBK141" s="204"/>
      <c r="NBL141" s="205"/>
      <c r="NBM141" s="204"/>
      <c r="NBN141" s="205"/>
      <c r="NBO141" s="204"/>
      <c r="NBP141" s="205"/>
      <c r="NBQ141" s="204"/>
      <c r="NBR141" s="205"/>
      <c r="NBS141" s="204"/>
      <c r="NBT141" s="205"/>
      <c r="NBU141" s="204"/>
      <c r="NBV141" s="205"/>
      <c r="NBW141" s="204"/>
      <c r="NBX141" s="205"/>
      <c r="NBY141" s="204"/>
      <c r="NBZ141" s="205"/>
      <c r="NCA141" s="204"/>
      <c r="NCB141" s="205"/>
      <c r="NCC141" s="204"/>
      <c r="NCD141" s="205"/>
      <c r="NCE141" s="204"/>
      <c r="NCF141" s="205"/>
      <c r="NCG141" s="204"/>
      <c r="NCH141" s="205"/>
      <c r="NCI141" s="204"/>
      <c r="NCJ141" s="205"/>
      <c r="NCK141" s="204"/>
      <c r="NCL141" s="205"/>
      <c r="NCM141" s="204"/>
      <c r="NCN141" s="205"/>
      <c r="NCO141" s="204"/>
      <c r="NCP141" s="205"/>
      <c r="NCQ141" s="204"/>
      <c r="NCR141" s="205"/>
      <c r="NCS141" s="204"/>
      <c r="NCT141" s="205"/>
      <c r="NCU141" s="204"/>
      <c r="NCV141" s="205"/>
      <c r="NCW141" s="204"/>
      <c r="NCX141" s="205"/>
      <c r="NCY141" s="204"/>
      <c r="NCZ141" s="205"/>
      <c r="NDA141" s="204"/>
      <c r="NDB141" s="205"/>
      <c r="NDC141" s="204"/>
      <c r="NDD141" s="205"/>
      <c r="NDE141" s="204"/>
      <c r="NDF141" s="205"/>
      <c r="NDG141" s="204"/>
      <c r="NDH141" s="205"/>
      <c r="NDI141" s="204"/>
      <c r="NDJ141" s="205"/>
      <c r="NDK141" s="204"/>
      <c r="NDL141" s="205"/>
      <c r="NDM141" s="204"/>
      <c r="NDN141" s="205"/>
      <c r="NDO141" s="204"/>
      <c r="NDP141" s="205"/>
      <c r="NDQ141" s="204"/>
      <c r="NDR141" s="205"/>
      <c r="NDS141" s="204"/>
      <c r="NDT141" s="205"/>
      <c r="NDU141" s="204"/>
      <c r="NDV141" s="205"/>
      <c r="NDW141" s="204"/>
      <c r="NDX141" s="205"/>
      <c r="NDY141" s="204"/>
      <c r="NDZ141" s="205"/>
      <c r="NEA141" s="204"/>
      <c r="NEB141" s="205"/>
      <c r="NEC141" s="204"/>
      <c r="NED141" s="205"/>
      <c r="NEE141" s="204"/>
      <c r="NEF141" s="205"/>
      <c r="NEG141" s="204"/>
      <c r="NEH141" s="205"/>
      <c r="NEI141" s="204"/>
      <c r="NEJ141" s="205"/>
      <c r="NEK141" s="204"/>
      <c r="NEL141" s="205"/>
      <c r="NEM141" s="204"/>
      <c r="NEN141" s="205"/>
      <c r="NEO141" s="204"/>
      <c r="NEP141" s="205"/>
      <c r="NEQ141" s="204"/>
      <c r="NER141" s="205"/>
      <c r="NES141" s="204"/>
      <c r="NET141" s="205"/>
      <c r="NEU141" s="204"/>
      <c r="NEV141" s="205"/>
      <c r="NEW141" s="204"/>
      <c r="NEX141" s="205"/>
      <c r="NEY141" s="204"/>
      <c r="NEZ141" s="205"/>
      <c r="NFA141" s="204"/>
      <c r="NFB141" s="205"/>
      <c r="NFC141" s="204"/>
      <c r="NFD141" s="205"/>
      <c r="NFE141" s="204"/>
      <c r="NFF141" s="205"/>
      <c r="NFG141" s="204"/>
      <c r="NFH141" s="205"/>
      <c r="NFI141" s="204"/>
      <c r="NFJ141" s="205"/>
      <c r="NFK141" s="204"/>
      <c r="NFL141" s="205"/>
      <c r="NFM141" s="204"/>
      <c r="NFN141" s="205"/>
      <c r="NFO141" s="204"/>
      <c r="NFP141" s="205"/>
      <c r="NFQ141" s="204"/>
      <c r="NFR141" s="205"/>
      <c r="NFS141" s="204"/>
      <c r="NFT141" s="205"/>
      <c r="NFU141" s="204"/>
      <c r="NFV141" s="205"/>
      <c r="NFW141" s="204"/>
      <c r="NFX141" s="205"/>
      <c r="NFY141" s="204"/>
      <c r="NFZ141" s="205"/>
      <c r="NGA141" s="204"/>
      <c r="NGB141" s="205"/>
      <c r="NGC141" s="204"/>
      <c r="NGD141" s="205"/>
      <c r="NGE141" s="204"/>
      <c r="NGF141" s="205"/>
      <c r="NGG141" s="204"/>
      <c r="NGH141" s="205"/>
      <c r="NGI141" s="204"/>
      <c r="NGJ141" s="205"/>
      <c r="NGK141" s="204"/>
      <c r="NGL141" s="205"/>
      <c r="NGM141" s="204"/>
      <c r="NGN141" s="205"/>
      <c r="NGO141" s="204"/>
      <c r="NGP141" s="205"/>
      <c r="NGQ141" s="204"/>
      <c r="NGR141" s="205"/>
      <c r="NGS141" s="204"/>
      <c r="NGT141" s="205"/>
      <c r="NGU141" s="204"/>
      <c r="NGV141" s="205"/>
      <c r="NGW141" s="204"/>
      <c r="NGX141" s="205"/>
      <c r="NGY141" s="204"/>
      <c r="NGZ141" s="205"/>
      <c r="NHA141" s="204"/>
      <c r="NHB141" s="205"/>
      <c r="NHC141" s="204"/>
      <c r="NHD141" s="205"/>
      <c r="NHE141" s="204"/>
      <c r="NHF141" s="205"/>
      <c r="NHG141" s="204"/>
      <c r="NHH141" s="205"/>
      <c r="NHI141" s="204"/>
      <c r="NHJ141" s="205"/>
      <c r="NHK141" s="204"/>
      <c r="NHL141" s="205"/>
      <c r="NHM141" s="204"/>
      <c r="NHN141" s="205"/>
      <c r="NHO141" s="204"/>
      <c r="NHP141" s="205"/>
      <c r="NHQ141" s="204"/>
      <c r="NHR141" s="205"/>
      <c r="NHS141" s="204"/>
      <c r="NHT141" s="205"/>
      <c r="NHU141" s="204"/>
      <c r="NHV141" s="205"/>
      <c r="NHW141" s="204"/>
      <c r="NHX141" s="205"/>
      <c r="NHY141" s="204"/>
      <c r="NHZ141" s="205"/>
      <c r="NIA141" s="204"/>
      <c r="NIB141" s="205"/>
      <c r="NIC141" s="204"/>
      <c r="NID141" s="205"/>
      <c r="NIE141" s="204"/>
      <c r="NIF141" s="205"/>
      <c r="NIG141" s="204"/>
      <c r="NIH141" s="205"/>
      <c r="NII141" s="204"/>
      <c r="NIJ141" s="205"/>
      <c r="NIK141" s="204"/>
      <c r="NIL141" s="205"/>
      <c r="NIM141" s="204"/>
      <c r="NIN141" s="205"/>
      <c r="NIO141" s="204"/>
      <c r="NIP141" s="205"/>
      <c r="NIQ141" s="204"/>
      <c r="NIR141" s="205"/>
      <c r="NIS141" s="204"/>
      <c r="NIT141" s="205"/>
      <c r="NIU141" s="204"/>
      <c r="NIV141" s="205"/>
      <c r="NIW141" s="204"/>
      <c r="NIX141" s="205"/>
      <c r="NIY141" s="204"/>
      <c r="NIZ141" s="205"/>
      <c r="NJA141" s="204"/>
      <c r="NJB141" s="205"/>
      <c r="NJC141" s="204"/>
      <c r="NJD141" s="205"/>
      <c r="NJE141" s="204"/>
      <c r="NJF141" s="205"/>
      <c r="NJG141" s="204"/>
      <c r="NJH141" s="205"/>
      <c r="NJI141" s="204"/>
      <c r="NJJ141" s="205"/>
      <c r="NJK141" s="204"/>
      <c r="NJL141" s="205"/>
      <c r="NJM141" s="204"/>
      <c r="NJN141" s="205"/>
      <c r="NJO141" s="204"/>
      <c r="NJP141" s="205"/>
      <c r="NJQ141" s="204"/>
      <c r="NJR141" s="205"/>
      <c r="NJS141" s="204"/>
      <c r="NJT141" s="205"/>
      <c r="NJU141" s="204"/>
      <c r="NJV141" s="205"/>
      <c r="NJW141" s="204"/>
      <c r="NJX141" s="205"/>
      <c r="NJY141" s="204"/>
      <c r="NJZ141" s="205"/>
      <c r="NKA141" s="204"/>
      <c r="NKB141" s="205"/>
      <c r="NKC141" s="204"/>
      <c r="NKD141" s="205"/>
      <c r="NKE141" s="204"/>
      <c r="NKF141" s="205"/>
      <c r="NKG141" s="204"/>
      <c r="NKH141" s="205"/>
      <c r="NKI141" s="204"/>
      <c r="NKJ141" s="205"/>
      <c r="NKK141" s="204"/>
      <c r="NKL141" s="205"/>
      <c r="NKM141" s="204"/>
      <c r="NKN141" s="205"/>
      <c r="NKO141" s="204"/>
      <c r="NKP141" s="205"/>
      <c r="NKQ141" s="204"/>
      <c r="NKR141" s="205"/>
      <c r="NKS141" s="204"/>
      <c r="NKT141" s="205"/>
      <c r="NKU141" s="204"/>
      <c r="NKV141" s="205"/>
      <c r="NKW141" s="204"/>
      <c r="NKX141" s="205"/>
      <c r="NKY141" s="204"/>
      <c r="NKZ141" s="205"/>
      <c r="NLA141" s="204"/>
      <c r="NLB141" s="205"/>
      <c r="NLC141" s="204"/>
      <c r="NLD141" s="205"/>
      <c r="NLE141" s="204"/>
      <c r="NLF141" s="205"/>
      <c r="NLG141" s="204"/>
      <c r="NLH141" s="205"/>
      <c r="NLI141" s="204"/>
      <c r="NLJ141" s="205"/>
      <c r="NLK141" s="204"/>
      <c r="NLL141" s="205"/>
      <c r="NLM141" s="204"/>
      <c r="NLN141" s="205"/>
      <c r="NLO141" s="204"/>
      <c r="NLP141" s="205"/>
      <c r="NLQ141" s="204"/>
      <c r="NLR141" s="205"/>
      <c r="NLS141" s="204"/>
      <c r="NLT141" s="205"/>
      <c r="NLU141" s="204"/>
      <c r="NLV141" s="205"/>
      <c r="NLW141" s="204"/>
      <c r="NLX141" s="205"/>
      <c r="NLY141" s="204"/>
      <c r="NLZ141" s="205"/>
      <c r="NMA141" s="204"/>
      <c r="NMB141" s="205"/>
      <c r="NMC141" s="204"/>
      <c r="NMD141" s="205"/>
      <c r="NME141" s="204"/>
      <c r="NMF141" s="205"/>
      <c r="NMG141" s="204"/>
      <c r="NMH141" s="205"/>
      <c r="NMI141" s="204"/>
      <c r="NMJ141" s="205"/>
      <c r="NMK141" s="204"/>
      <c r="NML141" s="205"/>
      <c r="NMM141" s="204"/>
      <c r="NMN141" s="205"/>
      <c r="NMO141" s="204"/>
      <c r="NMP141" s="205"/>
      <c r="NMQ141" s="204"/>
      <c r="NMR141" s="205"/>
      <c r="NMS141" s="204"/>
      <c r="NMT141" s="205"/>
      <c r="NMU141" s="204"/>
      <c r="NMV141" s="205"/>
      <c r="NMW141" s="204"/>
      <c r="NMX141" s="205"/>
      <c r="NMY141" s="204"/>
      <c r="NMZ141" s="205"/>
      <c r="NNA141" s="204"/>
      <c r="NNB141" s="205"/>
      <c r="NNC141" s="204"/>
      <c r="NND141" s="205"/>
      <c r="NNE141" s="204"/>
      <c r="NNF141" s="205"/>
      <c r="NNG141" s="204"/>
      <c r="NNH141" s="205"/>
      <c r="NNI141" s="204"/>
      <c r="NNJ141" s="205"/>
      <c r="NNK141" s="204"/>
      <c r="NNL141" s="205"/>
      <c r="NNM141" s="204"/>
      <c r="NNN141" s="205"/>
      <c r="NNO141" s="204"/>
      <c r="NNP141" s="205"/>
      <c r="NNQ141" s="204"/>
      <c r="NNR141" s="205"/>
      <c r="NNS141" s="204"/>
      <c r="NNT141" s="205"/>
      <c r="NNU141" s="204"/>
      <c r="NNV141" s="205"/>
      <c r="NNW141" s="204"/>
      <c r="NNX141" s="205"/>
      <c r="NNY141" s="204"/>
      <c r="NNZ141" s="205"/>
      <c r="NOA141" s="204"/>
      <c r="NOB141" s="205"/>
      <c r="NOC141" s="204"/>
      <c r="NOD141" s="205"/>
      <c r="NOE141" s="204"/>
      <c r="NOF141" s="205"/>
      <c r="NOG141" s="204"/>
      <c r="NOH141" s="205"/>
      <c r="NOI141" s="204"/>
      <c r="NOJ141" s="205"/>
      <c r="NOK141" s="204"/>
      <c r="NOL141" s="205"/>
      <c r="NOM141" s="204"/>
      <c r="NON141" s="205"/>
      <c r="NOO141" s="204"/>
      <c r="NOP141" s="205"/>
      <c r="NOQ141" s="204"/>
      <c r="NOR141" s="205"/>
      <c r="NOS141" s="204"/>
      <c r="NOT141" s="205"/>
      <c r="NOU141" s="204"/>
      <c r="NOV141" s="205"/>
      <c r="NOW141" s="204"/>
      <c r="NOX141" s="205"/>
      <c r="NOY141" s="204"/>
      <c r="NOZ141" s="205"/>
      <c r="NPA141" s="204"/>
      <c r="NPB141" s="205"/>
      <c r="NPC141" s="204"/>
      <c r="NPD141" s="205"/>
      <c r="NPE141" s="204"/>
      <c r="NPF141" s="205"/>
      <c r="NPG141" s="204"/>
      <c r="NPH141" s="205"/>
      <c r="NPI141" s="204"/>
      <c r="NPJ141" s="205"/>
      <c r="NPK141" s="204"/>
      <c r="NPL141" s="205"/>
      <c r="NPM141" s="204"/>
      <c r="NPN141" s="205"/>
      <c r="NPO141" s="204"/>
      <c r="NPP141" s="205"/>
      <c r="NPQ141" s="204"/>
      <c r="NPR141" s="205"/>
      <c r="NPS141" s="204"/>
      <c r="NPT141" s="205"/>
      <c r="NPU141" s="204"/>
      <c r="NPV141" s="205"/>
      <c r="NPW141" s="204"/>
      <c r="NPX141" s="205"/>
      <c r="NPY141" s="204"/>
      <c r="NPZ141" s="205"/>
      <c r="NQA141" s="204"/>
      <c r="NQB141" s="205"/>
      <c r="NQC141" s="204"/>
      <c r="NQD141" s="205"/>
      <c r="NQE141" s="204"/>
      <c r="NQF141" s="205"/>
      <c r="NQG141" s="204"/>
      <c r="NQH141" s="205"/>
      <c r="NQI141" s="204"/>
      <c r="NQJ141" s="205"/>
      <c r="NQK141" s="204"/>
      <c r="NQL141" s="205"/>
      <c r="NQM141" s="204"/>
      <c r="NQN141" s="205"/>
      <c r="NQO141" s="204"/>
      <c r="NQP141" s="205"/>
      <c r="NQQ141" s="204"/>
      <c r="NQR141" s="205"/>
      <c r="NQS141" s="204"/>
      <c r="NQT141" s="205"/>
      <c r="NQU141" s="204"/>
      <c r="NQV141" s="205"/>
      <c r="NQW141" s="204"/>
      <c r="NQX141" s="205"/>
      <c r="NQY141" s="204"/>
      <c r="NQZ141" s="205"/>
      <c r="NRA141" s="204"/>
      <c r="NRB141" s="205"/>
      <c r="NRC141" s="204"/>
      <c r="NRD141" s="205"/>
      <c r="NRE141" s="204"/>
      <c r="NRF141" s="205"/>
      <c r="NRG141" s="204"/>
      <c r="NRH141" s="205"/>
      <c r="NRI141" s="204"/>
      <c r="NRJ141" s="205"/>
      <c r="NRK141" s="204"/>
      <c r="NRL141" s="205"/>
      <c r="NRM141" s="204"/>
      <c r="NRN141" s="205"/>
      <c r="NRO141" s="204"/>
      <c r="NRP141" s="205"/>
      <c r="NRQ141" s="204"/>
      <c r="NRR141" s="205"/>
      <c r="NRS141" s="204"/>
      <c r="NRT141" s="205"/>
      <c r="NRU141" s="204"/>
      <c r="NRV141" s="205"/>
      <c r="NRW141" s="204"/>
      <c r="NRX141" s="205"/>
      <c r="NRY141" s="204"/>
      <c r="NRZ141" s="205"/>
      <c r="NSA141" s="204"/>
      <c r="NSB141" s="205"/>
      <c r="NSC141" s="204"/>
      <c r="NSD141" s="205"/>
      <c r="NSE141" s="204"/>
      <c r="NSF141" s="205"/>
      <c r="NSG141" s="204"/>
      <c r="NSH141" s="205"/>
      <c r="NSI141" s="204"/>
      <c r="NSJ141" s="205"/>
      <c r="NSK141" s="204"/>
      <c r="NSL141" s="205"/>
      <c r="NSM141" s="204"/>
      <c r="NSN141" s="205"/>
      <c r="NSO141" s="204"/>
      <c r="NSP141" s="205"/>
      <c r="NSQ141" s="204"/>
      <c r="NSR141" s="205"/>
      <c r="NSS141" s="204"/>
      <c r="NST141" s="205"/>
      <c r="NSU141" s="204"/>
      <c r="NSV141" s="205"/>
      <c r="NSW141" s="204"/>
      <c r="NSX141" s="205"/>
      <c r="NSY141" s="204"/>
      <c r="NSZ141" s="205"/>
      <c r="NTA141" s="204"/>
      <c r="NTB141" s="205"/>
      <c r="NTC141" s="204"/>
      <c r="NTD141" s="205"/>
      <c r="NTE141" s="204"/>
      <c r="NTF141" s="205"/>
      <c r="NTG141" s="204"/>
      <c r="NTH141" s="205"/>
      <c r="NTI141" s="204"/>
      <c r="NTJ141" s="205"/>
      <c r="NTK141" s="204"/>
      <c r="NTL141" s="205"/>
      <c r="NTM141" s="204"/>
      <c r="NTN141" s="205"/>
      <c r="NTO141" s="204"/>
      <c r="NTP141" s="205"/>
      <c r="NTQ141" s="204"/>
      <c r="NTR141" s="205"/>
      <c r="NTS141" s="204"/>
      <c r="NTT141" s="205"/>
      <c r="NTU141" s="204"/>
      <c r="NTV141" s="205"/>
      <c r="NTW141" s="204"/>
      <c r="NTX141" s="205"/>
      <c r="NTY141" s="204"/>
      <c r="NTZ141" s="205"/>
      <c r="NUA141" s="204"/>
      <c r="NUB141" s="205"/>
      <c r="NUC141" s="204"/>
      <c r="NUD141" s="205"/>
      <c r="NUE141" s="204"/>
      <c r="NUF141" s="205"/>
      <c r="NUG141" s="204"/>
      <c r="NUH141" s="205"/>
      <c r="NUI141" s="204"/>
      <c r="NUJ141" s="205"/>
      <c r="NUK141" s="204"/>
      <c r="NUL141" s="205"/>
      <c r="NUM141" s="204"/>
      <c r="NUN141" s="205"/>
      <c r="NUO141" s="204"/>
      <c r="NUP141" s="205"/>
      <c r="NUQ141" s="204"/>
      <c r="NUR141" s="205"/>
      <c r="NUS141" s="204"/>
      <c r="NUT141" s="205"/>
      <c r="NUU141" s="204"/>
      <c r="NUV141" s="205"/>
      <c r="NUW141" s="204"/>
      <c r="NUX141" s="205"/>
      <c r="NUY141" s="204"/>
      <c r="NUZ141" s="205"/>
      <c r="NVA141" s="204"/>
      <c r="NVB141" s="205"/>
      <c r="NVC141" s="204"/>
      <c r="NVD141" s="205"/>
      <c r="NVE141" s="204"/>
      <c r="NVF141" s="205"/>
      <c r="NVG141" s="204"/>
      <c r="NVH141" s="205"/>
      <c r="NVI141" s="204"/>
      <c r="NVJ141" s="205"/>
      <c r="NVK141" s="204"/>
      <c r="NVL141" s="205"/>
      <c r="NVM141" s="204"/>
      <c r="NVN141" s="205"/>
      <c r="NVO141" s="204"/>
      <c r="NVP141" s="205"/>
      <c r="NVQ141" s="204"/>
      <c r="NVR141" s="205"/>
      <c r="NVS141" s="204"/>
      <c r="NVT141" s="205"/>
      <c r="NVU141" s="204"/>
      <c r="NVV141" s="205"/>
      <c r="NVW141" s="204"/>
      <c r="NVX141" s="205"/>
      <c r="NVY141" s="204"/>
      <c r="NVZ141" s="205"/>
      <c r="NWA141" s="204"/>
      <c r="NWB141" s="205"/>
      <c r="NWC141" s="204"/>
      <c r="NWD141" s="205"/>
      <c r="NWE141" s="204"/>
      <c r="NWF141" s="205"/>
      <c r="NWG141" s="204"/>
      <c r="NWH141" s="205"/>
      <c r="NWI141" s="204"/>
      <c r="NWJ141" s="205"/>
      <c r="NWK141" s="204"/>
      <c r="NWL141" s="205"/>
      <c r="NWM141" s="204"/>
      <c r="NWN141" s="205"/>
      <c r="NWO141" s="204"/>
      <c r="NWP141" s="205"/>
      <c r="NWQ141" s="204"/>
      <c r="NWR141" s="205"/>
      <c r="NWS141" s="204"/>
      <c r="NWT141" s="205"/>
      <c r="NWU141" s="204"/>
      <c r="NWV141" s="205"/>
      <c r="NWW141" s="204"/>
      <c r="NWX141" s="205"/>
      <c r="NWY141" s="204"/>
      <c r="NWZ141" s="205"/>
      <c r="NXA141" s="204"/>
      <c r="NXB141" s="205"/>
      <c r="NXC141" s="204"/>
      <c r="NXD141" s="205"/>
      <c r="NXE141" s="204"/>
      <c r="NXF141" s="205"/>
      <c r="NXG141" s="204"/>
      <c r="NXH141" s="205"/>
      <c r="NXI141" s="204"/>
      <c r="NXJ141" s="205"/>
      <c r="NXK141" s="204"/>
      <c r="NXL141" s="205"/>
      <c r="NXM141" s="204"/>
      <c r="NXN141" s="205"/>
      <c r="NXO141" s="204"/>
      <c r="NXP141" s="205"/>
      <c r="NXQ141" s="204"/>
      <c r="NXR141" s="205"/>
      <c r="NXS141" s="204"/>
      <c r="NXT141" s="205"/>
      <c r="NXU141" s="204"/>
      <c r="NXV141" s="205"/>
      <c r="NXW141" s="204"/>
      <c r="NXX141" s="205"/>
      <c r="NXY141" s="204"/>
      <c r="NXZ141" s="205"/>
      <c r="NYA141" s="204"/>
      <c r="NYB141" s="205"/>
      <c r="NYC141" s="204"/>
      <c r="NYD141" s="205"/>
      <c r="NYE141" s="204"/>
      <c r="NYF141" s="205"/>
      <c r="NYG141" s="204"/>
      <c r="NYH141" s="205"/>
      <c r="NYI141" s="204"/>
      <c r="NYJ141" s="205"/>
      <c r="NYK141" s="204"/>
      <c r="NYL141" s="205"/>
      <c r="NYM141" s="204"/>
      <c r="NYN141" s="205"/>
      <c r="NYO141" s="204"/>
      <c r="NYP141" s="205"/>
      <c r="NYQ141" s="204"/>
      <c r="NYR141" s="205"/>
      <c r="NYS141" s="204"/>
      <c r="NYT141" s="205"/>
      <c r="NYU141" s="204"/>
      <c r="NYV141" s="205"/>
      <c r="NYW141" s="204"/>
      <c r="NYX141" s="205"/>
      <c r="NYY141" s="204"/>
      <c r="NYZ141" s="205"/>
      <c r="NZA141" s="204"/>
      <c r="NZB141" s="205"/>
      <c r="NZC141" s="204"/>
      <c r="NZD141" s="205"/>
      <c r="NZE141" s="204"/>
      <c r="NZF141" s="205"/>
      <c r="NZG141" s="204"/>
      <c r="NZH141" s="205"/>
      <c r="NZI141" s="204"/>
      <c r="NZJ141" s="205"/>
      <c r="NZK141" s="204"/>
      <c r="NZL141" s="205"/>
      <c r="NZM141" s="204"/>
      <c r="NZN141" s="205"/>
      <c r="NZO141" s="204"/>
      <c r="NZP141" s="205"/>
      <c r="NZQ141" s="204"/>
      <c r="NZR141" s="205"/>
      <c r="NZS141" s="204"/>
      <c r="NZT141" s="205"/>
      <c r="NZU141" s="204"/>
      <c r="NZV141" s="205"/>
      <c r="NZW141" s="204"/>
      <c r="NZX141" s="205"/>
      <c r="NZY141" s="204"/>
      <c r="NZZ141" s="205"/>
      <c r="OAA141" s="204"/>
      <c r="OAB141" s="205"/>
      <c r="OAC141" s="204"/>
      <c r="OAD141" s="205"/>
      <c r="OAE141" s="204"/>
      <c r="OAF141" s="205"/>
      <c r="OAG141" s="204"/>
      <c r="OAH141" s="205"/>
      <c r="OAI141" s="204"/>
      <c r="OAJ141" s="205"/>
      <c r="OAK141" s="204"/>
      <c r="OAL141" s="205"/>
      <c r="OAM141" s="204"/>
      <c r="OAN141" s="205"/>
      <c r="OAO141" s="204"/>
      <c r="OAP141" s="205"/>
      <c r="OAQ141" s="204"/>
      <c r="OAR141" s="205"/>
      <c r="OAS141" s="204"/>
      <c r="OAT141" s="205"/>
      <c r="OAU141" s="204"/>
      <c r="OAV141" s="205"/>
      <c r="OAW141" s="204"/>
      <c r="OAX141" s="205"/>
      <c r="OAY141" s="204"/>
      <c r="OAZ141" s="205"/>
      <c r="OBA141" s="204"/>
      <c r="OBB141" s="205"/>
      <c r="OBC141" s="204"/>
      <c r="OBD141" s="205"/>
      <c r="OBE141" s="204"/>
      <c r="OBF141" s="205"/>
      <c r="OBG141" s="204"/>
      <c r="OBH141" s="205"/>
      <c r="OBI141" s="204"/>
      <c r="OBJ141" s="205"/>
      <c r="OBK141" s="204"/>
      <c r="OBL141" s="205"/>
      <c r="OBM141" s="204"/>
      <c r="OBN141" s="205"/>
      <c r="OBO141" s="204"/>
      <c r="OBP141" s="205"/>
      <c r="OBQ141" s="204"/>
      <c r="OBR141" s="205"/>
      <c r="OBS141" s="204"/>
      <c r="OBT141" s="205"/>
      <c r="OBU141" s="204"/>
      <c r="OBV141" s="205"/>
      <c r="OBW141" s="204"/>
      <c r="OBX141" s="205"/>
      <c r="OBY141" s="204"/>
      <c r="OBZ141" s="205"/>
      <c r="OCA141" s="204"/>
      <c r="OCB141" s="205"/>
      <c r="OCC141" s="204"/>
      <c r="OCD141" s="205"/>
      <c r="OCE141" s="204"/>
      <c r="OCF141" s="205"/>
      <c r="OCG141" s="204"/>
      <c r="OCH141" s="205"/>
      <c r="OCI141" s="204"/>
      <c r="OCJ141" s="205"/>
      <c r="OCK141" s="204"/>
      <c r="OCL141" s="205"/>
      <c r="OCM141" s="204"/>
      <c r="OCN141" s="205"/>
      <c r="OCO141" s="204"/>
      <c r="OCP141" s="205"/>
      <c r="OCQ141" s="204"/>
      <c r="OCR141" s="205"/>
      <c r="OCS141" s="204"/>
      <c r="OCT141" s="205"/>
      <c r="OCU141" s="204"/>
      <c r="OCV141" s="205"/>
      <c r="OCW141" s="204"/>
      <c r="OCX141" s="205"/>
      <c r="OCY141" s="204"/>
      <c r="OCZ141" s="205"/>
      <c r="ODA141" s="204"/>
      <c r="ODB141" s="205"/>
      <c r="ODC141" s="204"/>
      <c r="ODD141" s="205"/>
      <c r="ODE141" s="204"/>
      <c r="ODF141" s="205"/>
      <c r="ODG141" s="204"/>
      <c r="ODH141" s="205"/>
      <c r="ODI141" s="204"/>
      <c r="ODJ141" s="205"/>
      <c r="ODK141" s="204"/>
      <c r="ODL141" s="205"/>
      <c r="ODM141" s="204"/>
      <c r="ODN141" s="205"/>
      <c r="ODO141" s="204"/>
      <c r="ODP141" s="205"/>
      <c r="ODQ141" s="204"/>
      <c r="ODR141" s="205"/>
      <c r="ODS141" s="204"/>
      <c r="ODT141" s="205"/>
      <c r="ODU141" s="204"/>
      <c r="ODV141" s="205"/>
      <c r="ODW141" s="204"/>
      <c r="ODX141" s="205"/>
      <c r="ODY141" s="204"/>
      <c r="ODZ141" s="205"/>
      <c r="OEA141" s="204"/>
      <c r="OEB141" s="205"/>
      <c r="OEC141" s="204"/>
      <c r="OED141" s="205"/>
      <c r="OEE141" s="204"/>
      <c r="OEF141" s="205"/>
      <c r="OEG141" s="204"/>
      <c r="OEH141" s="205"/>
      <c r="OEI141" s="204"/>
      <c r="OEJ141" s="205"/>
      <c r="OEK141" s="204"/>
      <c r="OEL141" s="205"/>
      <c r="OEM141" s="204"/>
      <c r="OEN141" s="205"/>
      <c r="OEO141" s="204"/>
      <c r="OEP141" s="205"/>
      <c r="OEQ141" s="204"/>
      <c r="OER141" s="205"/>
      <c r="OES141" s="204"/>
      <c r="OET141" s="205"/>
      <c r="OEU141" s="204"/>
      <c r="OEV141" s="205"/>
      <c r="OEW141" s="204"/>
      <c r="OEX141" s="205"/>
      <c r="OEY141" s="204"/>
      <c r="OEZ141" s="205"/>
      <c r="OFA141" s="204"/>
      <c r="OFB141" s="205"/>
      <c r="OFC141" s="204"/>
      <c r="OFD141" s="205"/>
      <c r="OFE141" s="204"/>
      <c r="OFF141" s="205"/>
      <c r="OFG141" s="204"/>
      <c r="OFH141" s="205"/>
      <c r="OFI141" s="204"/>
      <c r="OFJ141" s="205"/>
      <c r="OFK141" s="204"/>
      <c r="OFL141" s="205"/>
      <c r="OFM141" s="204"/>
      <c r="OFN141" s="205"/>
      <c r="OFO141" s="204"/>
      <c r="OFP141" s="205"/>
      <c r="OFQ141" s="204"/>
      <c r="OFR141" s="205"/>
      <c r="OFS141" s="204"/>
      <c r="OFT141" s="205"/>
      <c r="OFU141" s="204"/>
      <c r="OFV141" s="205"/>
      <c r="OFW141" s="204"/>
      <c r="OFX141" s="205"/>
      <c r="OFY141" s="204"/>
      <c r="OFZ141" s="205"/>
      <c r="OGA141" s="204"/>
      <c r="OGB141" s="205"/>
      <c r="OGC141" s="204"/>
      <c r="OGD141" s="205"/>
      <c r="OGE141" s="204"/>
      <c r="OGF141" s="205"/>
      <c r="OGG141" s="204"/>
      <c r="OGH141" s="205"/>
      <c r="OGI141" s="204"/>
      <c r="OGJ141" s="205"/>
      <c r="OGK141" s="204"/>
      <c r="OGL141" s="205"/>
      <c r="OGM141" s="204"/>
      <c r="OGN141" s="205"/>
      <c r="OGO141" s="204"/>
      <c r="OGP141" s="205"/>
      <c r="OGQ141" s="204"/>
      <c r="OGR141" s="205"/>
      <c r="OGS141" s="204"/>
      <c r="OGT141" s="205"/>
      <c r="OGU141" s="204"/>
      <c r="OGV141" s="205"/>
      <c r="OGW141" s="204"/>
      <c r="OGX141" s="205"/>
      <c r="OGY141" s="204"/>
      <c r="OGZ141" s="205"/>
      <c r="OHA141" s="204"/>
      <c r="OHB141" s="205"/>
      <c r="OHC141" s="204"/>
      <c r="OHD141" s="205"/>
      <c r="OHE141" s="204"/>
      <c r="OHF141" s="205"/>
      <c r="OHG141" s="204"/>
      <c r="OHH141" s="205"/>
      <c r="OHI141" s="204"/>
      <c r="OHJ141" s="205"/>
      <c r="OHK141" s="204"/>
      <c r="OHL141" s="205"/>
      <c r="OHM141" s="204"/>
      <c r="OHN141" s="205"/>
      <c r="OHO141" s="204"/>
      <c r="OHP141" s="205"/>
      <c r="OHQ141" s="204"/>
      <c r="OHR141" s="205"/>
      <c r="OHS141" s="204"/>
      <c r="OHT141" s="205"/>
      <c r="OHU141" s="204"/>
      <c r="OHV141" s="205"/>
      <c r="OHW141" s="204"/>
      <c r="OHX141" s="205"/>
      <c r="OHY141" s="204"/>
      <c r="OHZ141" s="205"/>
      <c r="OIA141" s="204"/>
      <c r="OIB141" s="205"/>
      <c r="OIC141" s="204"/>
      <c r="OID141" s="205"/>
      <c r="OIE141" s="204"/>
      <c r="OIF141" s="205"/>
      <c r="OIG141" s="204"/>
      <c r="OIH141" s="205"/>
      <c r="OII141" s="204"/>
      <c r="OIJ141" s="205"/>
      <c r="OIK141" s="204"/>
      <c r="OIL141" s="205"/>
      <c r="OIM141" s="204"/>
      <c r="OIN141" s="205"/>
      <c r="OIO141" s="204"/>
      <c r="OIP141" s="205"/>
      <c r="OIQ141" s="204"/>
      <c r="OIR141" s="205"/>
      <c r="OIS141" s="204"/>
      <c r="OIT141" s="205"/>
      <c r="OIU141" s="204"/>
      <c r="OIV141" s="205"/>
      <c r="OIW141" s="204"/>
      <c r="OIX141" s="205"/>
      <c r="OIY141" s="204"/>
      <c r="OIZ141" s="205"/>
      <c r="OJA141" s="204"/>
      <c r="OJB141" s="205"/>
      <c r="OJC141" s="204"/>
      <c r="OJD141" s="205"/>
      <c r="OJE141" s="204"/>
      <c r="OJF141" s="205"/>
      <c r="OJG141" s="204"/>
      <c r="OJH141" s="205"/>
      <c r="OJI141" s="204"/>
      <c r="OJJ141" s="205"/>
      <c r="OJK141" s="204"/>
      <c r="OJL141" s="205"/>
      <c r="OJM141" s="204"/>
      <c r="OJN141" s="205"/>
      <c r="OJO141" s="204"/>
      <c r="OJP141" s="205"/>
      <c r="OJQ141" s="204"/>
      <c r="OJR141" s="205"/>
      <c r="OJS141" s="204"/>
      <c r="OJT141" s="205"/>
      <c r="OJU141" s="204"/>
      <c r="OJV141" s="205"/>
      <c r="OJW141" s="204"/>
      <c r="OJX141" s="205"/>
      <c r="OJY141" s="204"/>
      <c r="OJZ141" s="205"/>
      <c r="OKA141" s="204"/>
      <c r="OKB141" s="205"/>
      <c r="OKC141" s="204"/>
      <c r="OKD141" s="205"/>
      <c r="OKE141" s="204"/>
      <c r="OKF141" s="205"/>
      <c r="OKG141" s="204"/>
      <c r="OKH141" s="205"/>
      <c r="OKI141" s="204"/>
      <c r="OKJ141" s="205"/>
      <c r="OKK141" s="204"/>
      <c r="OKL141" s="205"/>
      <c r="OKM141" s="204"/>
      <c r="OKN141" s="205"/>
      <c r="OKO141" s="204"/>
      <c r="OKP141" s="205"/>
      <c r="OKQ141" s="204"/>
      <c r="OKR141" s="205"/>
      <c r="OKS141" s="204"/>
      <c r="OKT141" s="205"/>
      <c r="OKU141" s="204"/>
      <c r="OKV141" s="205"/>
      <c r="OKW141" s="204"/>
      <c r="OKX141" s="205"/>
      <c r="OKY141" s="204"/>
      <c r="OKZ141" s="205"/>
      <c r="OLA141" s="204"/>
      <c r="OLB141" s="205"/>
      <c r="OLC141" s="204"/>
      <c r="OLD141" s="205"/>
      <c r="OLE141" s="204"/>
      <c r="OLF141" s="205"/>
      <c r="OLG141" s="204"/>
      <c r="OLH141" s="205"/>
      <c r="OLI141" s="204"/>
      <c r="OLJ141" s="205"/>
      <c r="OLK141" s="204"/>
      <c r="OLL141" s="205"/>
      <c r="OLM141" s="204"/>
      <c r="OLN141" s="205"/>
      <c r="OLO141" s="204"/>
      <c r="OLP141" s="205"/>
      <c r="OLQ141" s="204"/>
      <c r="OLR141" s="205"/>
      <c r="OLS141" s="204"/>
      <c r="OLT141" s="205"/>
      <c r="OLU141" s="204"/>
      <c r="OLV141" s="205"/>
      <c r="OLW141" s="204"/>
      <c r="OLX141" s="205"/>
      <c r="OLY141" s="204"/>
      <c r="OLZ141" s="205"/>
      <c r="OMA141" s="204"/>
      <c r="OMB141" s="205"/>
      <c r="OMC141" s="204"/>
      <c r="OMD141" s="205"/>
      <c r="OME141" s="204"/>
      <c r="OMF141" s="205"/>
      <c r="OMG141" s="204"/>
      <c r="OMH141" s="205"/>
      <c r="OMI141" s="204"/>
      <c r="OMJ141" s="205"/>
      <c r="OMK141" s="204"/>
      <c r="OML141" s="205"/>
      <c r="OMM141" s="204"/>
      <c r="OMN141" s="205"/>
      <c r="OMO141" s="204"/>
      <c r="OMP141" s="205"/>
      <c r="OMQ141" s="204"/>
      <c r="OMR141" s="205"/>
      <c r="OMS141" s="204"/>
      <c r="OMT141" s="205"/>
      <c r="OMU141" s="204"/>
      <c r="OMV141" s="205"/>
      <c r="OMW141" s="204"/>
      <c r="OMX141" s="205"/>
      <c r="OMY141" s="204"/>
      <c r="OMZ141" s="205"/>
      <c r="ONA141" s="204"/>
      <c r="ONB141" s="205"/>
      <c r="ONC141" s="204"/>
      <c r="OND141" s="205"/>
      <c r="ONE141" s="204"/>
      <c r="ONF141" s="205"/>
      <c r="ONG141" s="204"/>
      <c r="ONH141" s="205"/>
      <c r="ONI141" s="204"/>
      <c r="ONJ141" s="205"/>
      <c r="ONK141" s="204"/>
      <c r="ONL141" s="205"/>
      <c r="ONM141" s="204"/>
      <c r="ONN141" s="205"/>
      <c r="ONO141" s="204"/>
      <c r="ONP141" s="205"/>
      <c r="ONQ141" s="204"/>
      <c r="ONR141" s="205"/>
      <c r="ONS141" s="204"/>
      <c r="ONT141" s="205"/>
      <c r="ONU141" s="204"/>
      <c r="ONV141" s="205"/>
      <c r="ONW141" s="204"/>
      <c r="ONX141" s="205"/>
      <c r="ONY141" s="204"/>
      <c r="ONZ141" s="205"/>
      <c r="OOA141" s="204"/>
      <c r="OOB141" s="205"/>
      <c r="OOC141" s="204"/>
      <c r="OOD141" s="205"/>
      <c r="OOE141" s="204"/>
      <c r="OOF141" s="205"/>
      <c r="OOG141" s="204"/>
      <c r="OOH141" s="205"/>
      <c r="OOI141" s="204"/>
      <c r="OOJ141" s="205"/>
      <c r="OOK141" s="204"/>
      <c r="OOL141" s="205"/>
      <c r="OOM141" s="204"/>
      <c r="OON141" s="205"/>
      <c r="OOO141" s="204"/>
      <c r="OOP141" s="205"/>
      <c r="OOQ141" s="204"/>
      <c r="OOR141" s="205"/>
      <c r="OOS141" s="204"/>
      <c r="OOT141" s="205"/>
      <c r="OOU141" s="204"/>
      <c r="OOV141" s="205"/>
      <c r="OOW141" s="204"/>
      <c r="OOX141" s="205"/>
      <c r="OOY141" s="204"/>
      <c r="OOZ141" s="205"/>
      <c r="OPA141" s="204"/>
      <c r="OPB141" s="205"/>
      <c r="OPC141" s="204"/>
      <c r="OPD141" s="205"/>
      <c r="OPE141" s="204"/>
      <c r="OPF141" s="205"/>
      <c r="OPG141" s="204"/>
      <c r="OPH141" s="205"/>
      <c r="OPI141" s="204"/>
      <c r="OPJ141" s="205"/>
      <c r="OPK141" s="204"/>
      <c r="OPL141" s="205"/>
      <c r="OPM141" s="204"/>
      <c r="OPN141" s="205"/>
      <c r="OPO141" s="204"/>
      <c r="OPP141" s="205"/>
      <c r="OPQ141" s="204"/>
      <c r="OPR141" s="205"/>
      <c r="OPS141" s="204"/>
      <c r="OPT141" s="205"/>
      <c r="OPU141" s="204"/>
      <c r="OPV141" s="205"/>
      <c r="OPW141" s="204"/>
      <c r="OPX141" s="205"/>
      <c r="OPY141" s="204"/>
      <c r="OPZ141" s="205"/>
      <c r="OQA141" s="204"/>
      <c r="OQB141" s="205"/>
      <c r="OQC141" s="204"/>
      <c r="OQD141" s="205"/>
      <c r="OQE141" s="204"/>
      <c r="OQF141" s="205"/>
      <c r="OQG141" s="204"/>
      <c r="OQH141" s="205"/>
      <c r="OQI141" s="204"/>
      <c r="OQJ141" s="205"/>
      <c r="OQK141" s="204"/>
      <c r="OQL141" s="205"/>
      <c r="OQM141" s="204"/>
      <c r="OQN141" s="205"/>
      <c r="OQO141" s="204"/>
      <c r="OQP141" s="205"/>
      <c r="OQQ141" s="204"/>
      <c r="OQR141" s="205"/>
      <c r="OQS141" s="204"/>
      <c r="OQT141" s="205"/>
      <c r="OQU141" s="204"/>
      <c r="OQV141" s="205"/>
      <c r="OQW141" s="204"/>
      <c r="OQX141" s="205"/>
      <c r="OQY141" s="204"/>
      <c r="OQZ141" s="205"/>
      <c r="ORA141" s="204"/>
      <c r="ORB141" s="205"/>
      <c r="ORC141" s="204"/>
      <c r="ORD141" s="205"/>
      <c r="ORE141" s="204"/>
      <c r="ORF141" s="205"/>
      <c r="ORG141" s="204"/>
      <c r="ORH141" s="205"/>
      <c r="ORI141" s="204"/>
      <c r="ORJ141" s="205"/>
      <c r="ORK141" s="204"/>
      <c r="ORL141" s="205"/>
      <c r="ORM141" s="204"/>
      <c r="ORN141" s="205"/>
      <c r="ORO141" s="204"/>
      <c r="ORP141" s="205"/>
      <c r="ORQ141" s="204"/>
      <c r="ORR141" s="205"/>
      <c r="ORS141" s="204"/>
      <c r="ORT141" s="205"/>
      <c r="ORU141" s="204"/>
      <c r="ORV141" s="205"/>
      <c r="ORW141" s="204"/>
      <c r="ORX141" s="205"/>
      <c r="ORY141" s="204"/>
      <c r="ORZ141" s="205"/>
      <c r="OSA141" s="204"/>
      <c r="OSB141" s="205"/>
      <c r="OSC141" s="204"/>
      <c r="OSD141" s="205"/>
      <c r="OSE141" s="204"/>
      <c r="OSF141" s="205"/>
      <c r="OSG141" s="204"/>
      <c r="OSH141" s="205"/>
      <c r="OSI141" s="204"/>
      <c r="OSJ141" s="205"/>
      <c r="OSK141" s="204"/>
      <c r="OSL141" s="205"/>
      <c r="OSM141" s="204"/>
      <c r="OSN141" s="205"/>
      <c r="OSO141" s="204"/>
      <c r="OSP141" s="205"/>
      <c r="OSQ141" s="204"/>
      <c r="OSR141" s="205"/>
      <c r="OSS141" s="204"/>
      <c r="OST141" s="205"/>
      <c r="OSU141" s="204"/>
      <c r="OSV141" s="205"/>
      <c r="OSW141" s="204"/>
      <c r="OSX141" s="205"/>
      <c r="OSY141" s="204"/>
      <c r="OSZ141" s="205"/>
      <c r="OTA141" s="204"/>
      <c r="OTB141" s="205"/>
      <c r="OTC141" s="204"/>
      <c r="OTD141" s="205"/>
      <c r="OTE141" s="204"/>
      <c r="OTF141" s="205"/>
      <c r="OTG141" s="204"/>
      <c r="OTH141" s="205"/>
      <c r="OTI141" s="204"/>
      <c r="OTJ141" s="205"/>
      <c r="OTK141" s="204"/>
      <c r="OTL141" s="205"/>
      <c r="OTM141" s="204"/>
      <c r="OTN141" s="205"/>
      <c r="OTO141" s="204"/>
      <c r="OTP141" s="205"/>
      <c r="OTQ141" s="204"/>
      <c r="OTR141" s="205"/>
      <c r="OTS141" s="204"/>
      <c r="OTT141" s="205"/>
      <c r="OTU141" s="204"/>
      <c r="OTV141" s="205"/>
      <c r="OTW141" s="204"/>
      <c r="OTX141" s="205"/>
      <c r="OTY141" s="204"/>
      <c r="OTZ141" s="205"/>
      <c r="OUA141" s="204"/>
      <c r="OUB141" s="205"/>
      <c r="OUC141" s="204"/>
      <c r="OUD141" s="205"/>
      <c r="OUE141" s="204"/>
      <c r="OUF141" s="205"/>
      <c r="OUG141" s="204"/>
      <c r="OUH141" s="205"/>
      <c r="OUI141" s="204"/>
      <c r="OUJ141" s="205"/>
      <c r="OUK141" s="204"/>
      <c r="OUL141" s="205"/>
      <c r="OUM141" s="204"/>
      <c r="OUN141" s="205"/>
      <c r="OUO141" s="204"/>
      <c r="OUP141" s="205"/>
      <c r="OUQ141" s="204"/>
      <c r="OUR141" s="205"/>
      <c r="OUS141" s="204"/>
      <c r="OUT141" s="205"/>
      <c r="OUU141" s="204"/>
      <c r="OUV141" s="205"/>
      <c r="OUW141" s="204"/>
      <c r="OUX141" s="205"/>
      <c r="OUY141" s="204"/>
      <c r="OUZ141" s="205"/>
      <c r="OVA141" s="204"/>
      <c r="OVB141" s="205"/>
      <c r="OVC141" s="204"/>
      <c r="OVD141" s="205"/>
      <c r="OVE141" s="204"/>
      <c r="OVF141" s="205"/>
      <c r="OVG141" s="204"/>
      <c r="OVH141" s="205"/>
      <c r="OVI141" s="204"/>
      <c r="OVJ141" s="205"/>
      <c r="OVK141" s="204"/>
      <c r="OVL141" s="205"/>
      <c r="OVM141" s="204"/>
      <c r="OVN141" s="205"/>
      <c r="OVO141" s="204"/>
      <c r="OVP141" s="205"/>
      <c r="OVQ141" s="204"/>
      <c r="OVR141" s="205"/>
      <c r="OVS141" s="204"/>
      <c r="OVT141" s="205"/>
      <c r="OVU141" s="204"/>
      <c r="OVV141" s="205"/>
      <c r="OVW141" s="204"/>
      <c r="OVX141" s="205"/>
      <c r="OVY141" s="204"/>
      <c r="OVZ141" s="205"/>
      <c r="OWA141" s="204"/>
      <c r="OWB141" s="205"/>
      <c r="OWC141" s="204"/>
      <c r="OWD141" s="205"/>
      <c r="OWE141" s="204"/>
      <c r="OWF141" s="205"/>
      <c r="OWG141" s="204"/>
      <c r="OWH141" s="205"/>
      <c r="OWI141" s="204"/>
      <c r="OWJ141" s="205"/>
      <c r="OWK141" s="204"/>
      <c r="OWL141" s="205"/>
      <c r="OWM141" s="204"/>
      <c r="OWN141" s="205"/>
      <c r="OWO141" s="204"/>
      <c r="OWP141" s="205"/>
      <c r="OWQ141" s="204"/>
      <c r="OWR141" s="205"/>
      <c r="OWS141" s="204"/>
      <c r="OWT141" s="205"/>
      <c r="OWU141" s="204"/>
      <c r="OWV141" s="205"/>
      <c r="OWW141" s="204"/>
      <c r="OWX141" s="205"/>
      <c r="OWY141" s="204"/>
      <c r="OWZ141" s="205"/>
      <c r="OXA141" s="204"/>
      <c r="OXB141" s="205"/>
      <c r="OXC141" s="204"/>
      <c r="OXD141" s="205"/>
      <c r="OXE141" s="204"/>
      <c r="OXF141" s="205"/>
      <c r="OXG141" s="204"/>
      <c r="OXH141" s="205"/>
      <c r="OXI141" s="204"/>
      <c r="OXJ141" s="205"/>
      <c r="OXK141" s="204"/>
      <c r="OXL141" s="205"/>
      <c r="OXM141" s="204"/>
      <c r="OXN141" s="205"/>
      <c r="OXO141" s="204"/>
      <c r="OXP141" s="205"/>
      <c r="OXQ141" s="204"/>
      <c r="OXR141" s="205"/>
      <c r="OXS141" s="204"/>
      <c r="OXT141" s="205"/>
      <c r="OXU141" s="204"/>
      <c r="OXV141" s="205"/>
      <c r="OXW141" s="204"/>
      <c r="OXX141" s="205"/>
      <c r="OXY141" s="204"/>
      <c r="OXZ141" s="205"/>
      <c r="OYA141" s="204"/>
      <c r="OYB141" s="205"/>
      <c r="OYC141" s="204"/>
      <c r="OYD141" s="205"/>
      <c r="OYE141" s="204"/>
      <c r="OYF141" s="205"/>
      <c r="OYG141" s="204"/>
      <c r="OYH141" s="205"/>
      <c r="OYI141" s="204"/>
      <c r="OYJ141" s="205"/>
      <c r="OYK141" s="204"/>
      <c r="OYL141" s="205"/>
      <c r="OYM141" s="204"/>
      <c r="OYN141" s="205"/>
      <c r="OYO141" s="204"/>
      <c r="OYP141" s="205"/>
      <c r="OYQ141" s="204"/>
      <c r="OYR141" s="205"/>
      <c r="OYS141" s="204"/>
      <c r="OYT141" s="205"/>
      <c r="OYU141" s="204"/>
      <c r="OYV141" s="205"/>
      <c r="OYW141" s="204"/>
      <c r="OYX141" s="205"/>
      <c r="OYY141" s="204"/>
      <c r="OYZ141" s="205"/>
      <c r="OZA141" s="204"/>
      <c r="OZB141" s="205"/>
      <c r="OZC141" s="204"/>
      <c r="OZD141" s="205"/>
      <c r="OZE141" s="204"/>
      <c r="OZF141" s="205"/>
      <c r="OZG141" s="204"/>
      <c r="OZH141" s="205"/>
      <c r="OZI141" s="204"/>
      <c r="OZJ141" s="205"/>
      <c r="OZK141" s="204"/>
      <c r="OZL141" s="205"/>
      <c r="OZM141" s="204"/>
      <c r="OZN141" s="205"/>
      <c r="OZO141" s="204"/>
      <c r="OZP141" s="205"/>
      <c r="OZQ141" s="204"/>
      <c r="OZR141" s="205"/>
      <c r="OZS141" s="204"/>
      <c r="OZT141" s="205"/>
      <c r="OZU141" s="204"/>
      <c r="OZV141" s="205"/>
      <c r="OZW141" s="204"/>
      <c r="OZX141" s="205"/>
      <c r="OZY141" s="204"/>
      <c r="OZZ141" s="205"/>
      <c r="PAA141" s="204"/>
      <c r="PAB141" s="205"/>
      <c r="PAC141" s="204"/>
      <c r="PAD141" s="205"/>
      <c r="PAE141" s="204"/>
      <c r="PAF141" s="205"/>
      <c r="PAG141" s="204"/>
      <c r="PAH141" s="205"/>
      <c r="PAI141" s="204"/>
      <c r="PAJ141" s="205"/>
      <c r="PAK141" s="204"/>
      <c r="PAL141" s="205"/>
      <c r="PAM141" s="204"/>
      <c r="PAN141" s="205"/>
      <c r="PAO141" s="204"/>
      <c r="PAP141" s="205"/>
      <c r="PAQ141" s="204"/>
      <c r="PAR141" s="205"/>
      <c r="PAS141" s="204"/>
      <c r="PAT141" s="205"/>
      <c r="PAU141" s="204"/>
      <c r="PAV141" s="205"/>
      <c r="PAW141" s="204"/>
      <c r="PAX141" s="205"/>
      <c r="PAY141" s="204"/>
      <c r="PAZ141" s="205"/>
      <c r="PBA141" s="204"/>
      <c r="PBB141" s="205"/>
      <c r="PBC141" s="204"/>
      <c r="PBD141" s="205"/>
      <c r="PBE141" s="204"/>
      <c r="PBF141" s="205"/>
      <c r="PBG141" s="204"/>
      <c r="PBH141" s="205"/>
      <c r="PBI141" s="204"/>
      <c r="PBJ141" s="205"/>
      <c r="PBK141" s="204"/>
      <c r="PBL141" s="205"/>
      <c r="PBM141" s="204"/>
      <c r="PBN141" s="205"/>
      <c r="PBO141" s="204"/>
      <c r="PBP141" s="205"/>
      <c r="PBQ141" s="204"/>
      <c r="PBR141" s="205"/>
      <c r="PBS141" s="204"/>
      <c r="PBT141" s="205"/>
      <c r="PBU141" s="204"/>
      <c r="PBV141" s="205"/>
      <c r="PBW141" s="204"/>
      <c r="PBX141" s="205"/>
      <c r="PBY141" s="204"/>
      <c r="PBZ141" s="205"/>
      <c r="PCA141" s="204"/>
      <c r="PCB141" s="205"/>
      <c r="PCC141" s="204"/>
      <c r="PCD141" s="205"/>
      <c r="PCE141" s="204"/>
      <c r="PCF141" s="205"/>
      <c r="PCG141" s="204"/>
      <c r="PCH141" s="205"/>
      <c r="PCI141" s="204"/>
      <c r="PCJ141" s="205"/>
      <c r="PCK141" s="204"/>
      <c r="PCL141" s="205"/>
      <c r="PCM141" s="204"/>
      <c r="PCN141" s="205"/>
      <c r="PCO141" s="204"/>
      <c r="PCP141" s="205"/>
      <c r="PCQ141" s="204"/>
      <c r="PCR141" s="205"/>
      <c r="PCS141" s="204"/>
      <c r="PCT141" s="205"/>
      <c r="PCU141" s="204"/>
      <c r="PCV141" s="205"/>
      <c r="PCW141" s="204"/>
      <c r="PCX141" s="205"/>
      <c r="PCY141" s="204"/>
      <c r="PCZ141" s="205"/>
      <c r="PDA141" s="204"/>
      <c r="PDB141" s="205"/>
      <c r="PDC141" s="204"/>
      <c r="PDD141" s="205"/>
      <c r="PDE141" s="204"/>
      <c r="PDF141" s="205"/>
      <c r="PDG141" s="204"/>
      <c r="PDH141" s="205"/>
      <c r="PDI141" s="204"/>
      <c r="PDJ141" s="205"/>
      <c r="PDK141" s="204"/>
      <c r="PDL141" s="205"/>
      <c r="PDM141" s="204"/>
      <c r="PDN141" s="205"/>
      <c r="PDO141" s="204"/>
      <c r="PDP141" s="205"/>
      <c r="PDQ141" s="204"/>
      <c r="PDR141" s="205"/>
      <c r="PDS141" s="204"/>
      <c r="PDT141" s="205"/>
      <c r="PDU141" s="204"/>
      <c r="PDV141" s="205"/>
      <c r="PDW141" s="204"/>
      <c r="PDX141" s="205"/>
      <c r="PDY141" s="204"/>
      <c r="PDZ141" s="205"/>
      <c r="PEA141" s="204"/>
      <c r="PEB141" s="205"/>
      <c r="PEC141" s="204"/>
      <c r="PED141" s="205"/>
      <c r="PEE141" s="204"/>
      <c r="PEF141" s="205"/>
      <c r="PEG141" s="204"/>
      <c r="PEH141" s="205"/>
      <c r="PEI141" s="204"/>
      <c r="PEJ141" s="205"/>
      <c r="PEK141" s="204"/>
      <c r="PEL141" s="205"/>
      <c r="PEM141" s="204"/>
      <c r="PEN141" s="205"/>
      <c r="PEO141" s="204"/>
      <c r="PEP141" s="205"/>
      <c r="PEQ141" s="204"/>
      <c r="PER141" s="205"/>
      <c r="PES141" s="204"/>
      <c r="PET141" s="205"/>
      <c r="PEU141" s="204"/>
      <c r="PEV141" s="205"/>
      <c r="PEW141" s="204"/>
      <c r="PEX141" s="205"/>
      <c r="PEY141" s="204"/>
      <c r="PEZ141" s="205"/>
      <c r="PFA141" s="204"/>
      <c r="PFB141" s="205"/>
      <c r="PFC141" s="204"/>
      <c r="PFD141" s="205"/>
      <c r="PFE141" s="204"/>
      <c r="PFF141" s="205"/>
      <c r="PFG141" s="204"/>
      <c r="PFH141" s="205"/>
      <c r="PFI141" s="204"/>
      <c r="PFJ141" s="205"/>
      <c r="PFK141" s="204"/>
      <c r="PFL141" s="205"/>
      <c r="PFM141" s="204"/>
      <c r="PFN141" s="205"/>
      <c r="PFO141" s="204"/>
      <c r="PFP141" s="205"/>
      <c r="PFQ141" s="204"/>
      <c r="PFR141" s="205"/>
      <c r="PFS141" s="204"/>
      <c r="PFT141" s="205"/>
      <c r="PFU141" s="204"/>
      <c r="PFV141" s="205"/>
      <c r="PFW141" s="204"/>
      <c r="PFX141" s="205"/>
      <c r="PFY141" s="204"/>
      <c r="PFZ141" s="205"/>
      <c r="PGA141" s="204"/>
      <c r="PGB141" s="205"/>
      <c r="PGC141" s="204"/>
      <c r="PGD141" s="205"/>
      <c r="PGE141" s="204"/>
      <c r="PGF141" s="205"/>
      <c r="PGG141" s="204"/>
      <c r="PGH141" s="205"/>
      <c r="PGI141" s="204"/>
      <c r="PGJ141" s="205"/>
      <c r="PGK141" s="204"/>
      <c r="PGL141" s="205"/>
      <c r="PGM141" s="204"/>
      <c r="PGN141" s="205"/>
      <c r="PGO141" s="204"/>
      <c r="PGP141" s="205"/>
      <c r="PGQ141" s="204"/>
      <c r="PGR141" s="205"/>
      <c r="PGS141" s="204"/>
      <c r="PGT141" s="205"/>
      <c r="PGU141" s="204"/>
      <c r="PGV141" s="205"/>
      <c r="PGW141" s="204"/>
      <c r="PGX141" s="205"/>
      <c r="PGY141" s="204"/>
      <c r="PGZ141" s="205"/>
      <c r="PHA141" s="204"/>
      <c r="PHB141" s="205"/>
      <c r="PHC141" s="204"/>
      <c r="PHD141" s="205"/>
      <c r="PHE141" s="204"/>
      <c r="PHF141" s="205"/>
      <c r="PHG141" s="204"/>
      <c r="PHH141" s="205"/>
      <c r="PHI141" s="204"/>
      <c r="PHJ141" s="205"/>
      <c r="PHK141" s="204"/>
      <c r="PHL141" s="205"/>
      <c r="PHM141" s="204"/>
      <c r="PHN141" s="205"/>
      <c r="PHO141" s="204"/>
      <c r="PHP141" s="205"/>
      <c r="PHQ141" s="204"/>
      <c r="PHR141" s="205"/>
      <c r="PHS141" s="204"/>
      <c r="PHT141" s="205"/>
      <c r="PHU141" s="204"/>
      <c r="PHV141" s="205"/>
      <c r="PHW141" s="204"/>
      <c r="PHX141" s="205"/>
      <c r="PHY141" s="204"/>
      <c r="PHZ141" s="205"/>
      <c r="PIA141" s="204"/>
      <c r="PIB141" s="205"/>
      <c r="PIC141" s="204"/>
      <c r="PID141" s="205"/>
      <c r="PIE141" s="204"/>
      <c r="PIF141" s="205"/>
      <c r="PIG141" s="204"/>
      <c r="PIH141" s="205"/>
      <c r="PII141" s="204"/>
      <c r="PIJ141" s="205"/>
      <c r="PIK141" s="204"/>
      <c r="PIL141" s="205"/>
      <c r="PIM141" s="204"/>
      <c r="PIN141" s="205"/>
      <c r="PIO141" s="204"/>
      <c r="PIP141" s="205"/>
      <c r="PIQ141" s="204"/>
      <c r="PIR141" s="205"/>
      <c r="PIS141" s="204"/>
      <c r="PIT141" s="205"/>
      <c r="PIU141" s="204"/>
      <c r="PIV141" s="205"/>
      <c r="PIW141" s="204"/>
      <c r="PIX141" s="205"/>
      <c r="PIY141" s="204"/>
      <c r="PIZ141" s="205"/>
      <c r="PJA141" s="204"/>
      <c r="PJB141" s="205"/>
      <c r="PJC141" s="204"/>
      <c r="PJD141" s="205"/>
      <c r="PJE141" s="204"/>
      <c r="PJF141" s="205"/>
      <c r="PJG141" s="204"/>
      <c r="PJH141" s="205"/>
      <c r="PJI141" s="204"/>
      <c r="PJJ141" s="205"/>
      <c r="PJK141" s="204"/>
      <c r="PJL141" s="205"/>
      <c r="PJM141" s="204"/>
      <c r="PJN141" s="205"/>
      <c r="PJO141" s="204"/>
      <c r="PJP141" s="205"/>
      <c r="PJQ141" s="204"/>
      <c r="PJR141" s="205"/>
      <c r="PJS141" s="204"/>
      <c r="PJT141" s="205"/>
      <c r="PJU141" s="204"/>
      <c r="PJV141" s="205"/>
      <c r="PJW141" s="204"/>
      <c r="PJX141" s="205"/>
      <c r="PJY141" s="204"/>
      <c r="PJZ141" s="205"/>
      <c r="PKA141" s="204"/>
      <c r="PKB141" s="205"/>
      <c r="PKC141" s="204"/>
      <c r="PKD141" s="205"/>
      <c r="PKE141" s="204"/>
      <c r="PKF141" s="205"/>
      <c r="PKG141" s="204"/>
      <c r="PKH141" s="205"/>
      <c r="PKI141" s="204"/>
      <c r="PKJ141" s="205"/>
      <c r="PKK141" s="204"/>
      <c r="PKL141" s="205"/>
      <c r="PKM141" s="204"/>
      <c r="PKN141" s="205"/>
      <c r="PKO141" s="204"/>
      <c r="PKP141" s="205"/>
      <c r="PKQ141" s="204"/>
      <c r="PKR141" s="205"/>
      <c r="PKS141" s="204"/>
      <c r="PKT141" s="205"/>
      <c r="PKU141" s="204"/>
      <c r="PKV141" s="205"/>
      <c r="PKW141" s="204"/>
      <c r="PKX141" s="205"/>
      <c r="PKY141" s="204"/>
      <c r="PKZ141" s="205"/>
      <c r="PLA141" s="204"/>
      <c r="PLB141" s="205"/>
      <c r="PLC141" s="204"/>
      <c r="PLD141" s="205"/>
      <c r="PLE141" s="204"/>
      <c r="PLF141" s="205"/>
      <c r="PLG141" s="204"/>
      <c r="PLH141" s="205"/>
      <c r="PLI141" s="204"/>
      <c r="PLJ141" s="205"/>
      <c r="PLK141" s="204"/>
      <c r="PLL141" s="205"/>
      <c r="PLM141" s="204"/>
      <c r="PLN141" s="205"/>
      <c r="PLO141" s="204"/>
      <c r="PLP141" s="205"/>
      <c r="PLQ141" s="204"/>
      <c r="PLR141" s="205"/>
      <c r="PLS141" s="204"/>
      <c r="PLT141" s="205"/>
      <c r="PLU141" s="204"/>
      <c r="PLV141" s="205"/>
      <c r="PLW141" s="204"/>
      <c r="PLX141" s="205"/>
      <c r="PLY141" s="204"/>
      <c r="PLZ141" s="205"/>
      <c r="PMA141" s="204"/>
      <c r="PMB141" s="205"/>
      <c r="PMC141" s="204"/>
      <c r="PMD141" s="205"/>
      <c r="PME141" s="204"/>
      <c r="PMF141" s="205"/>
      <c r="PMG141" s="204"/>
      <c r="PMH141" s="205"/>
      <c r="PMI141" s="204"/>
      <c r="PMJ141" s="205"/>
      <c r="PMK141" s="204"/>
      <c r="PML141" s="205"/>
      <c r="PMM141" s="204"/>
      <c r="PMN141" s="205"/>
      <c r="PMO141" s="204"/>
      <c r="PMP141" s="205"/>
      <c r="PMQ141" s="204"/>
      <c r="PMR141" s="205"/>
      <c r="PMS141" s="204"/>
      <c r="PMT141" s="205"/>
      <c r="PMU141" s="204"/>
      <c r="PMV141" s="205"/>
      <c r="PMW141" s="204"/>
      <c r="PMX141" s="205"/>
      <c r="PMY141" s="204"/>
      <c r="PMZ141" s="205"/>
      <c r="PNA141" s="204"/>
      <c r="PNB141" s="205"/>
      <c r="PNC141" s="204"/>
      <c r="PND141" s="205"/>
      <c r="PNE141" s="204"/>
      <c r="PNF141" s="205"/>
      <c r="PNG141" s="204"/>
      <c r="PNH141" s="205"/>
      <c r="PNI141" s="204"/>
      <c r="PNJ141" s="205"/>
      <c r="PNK141" s="204"/>
      <c r="PNL141" s="205"/>
      <c r="PNM141" s="204"/>
      <c r="PNN141" s="205"/>
      <c r="PNO141" s="204"/>
      <c r="PNP141" s="205"/>
      <c r="PNQ141" s="204"/>
      <c r="PNR141" s="205"/>
      <c r="PNS141" s="204"/>
      <c r="PNT141" s="205"/>
      <c r="PNU141" s="204"/>
      <c r="PNV141" s="205"/>
      <c r="PNW141" s="204"/>
      <c r="PNX141" s="205"/>
      <c r="PNY141" s="204"/>
      <c r="PNZ141" s="205"/>
      <c r="POA141" s="204"/>
      <c r="POB141" s="205"/>
      <c r="POC141" s="204"/>
      <c r="POD141" s="205"/>
      <c r="POE141" s="204"/>
      <c r="POF141" s="205"/>
      <c r="POG141" s="204"/>
      <c r="POH141" s="205"/>
      <c r="POI141" s="204"/>
      <c r="POJ141" s="205"/>
      <c r="POK141" s="204"/>
      <c r="POL141" s="205"/>
      <c r="POM141" s="204"/>
      <c r="PON141" s="205"/>
      <c r="POO141" s="204"/>
      <c r="POP141" s="205"/>
      <c r="POQ141" s="204"/>
      <c r="POR141" s="205"/>
      <c r="POS141" s="204"/>
      <c r="POT141" s="205"/>
      <c r="POU141" s="204"/>
      <c r="POV141" s="205"/>
      <c r="POW141" s="204"/>
      <c r="POX141" s="205"/>
      <c r="POY141" s="204"/>
      <c r="POZ141" s="205"/>
      <c r="PPA141" s="204"/>
      <c r="PPB141" s="205"/>
      <c r="PPC141" s="204"/>
      <c r="PPD141" s="205"/>
      <c r="PPE141" s="204"/>
      <c r="PPF141" s="205"/>
      <c r="PPG141" s="204"/>
      <c r="PPH141" s="205"/>
      <c r="PPI141" s="204"/>
      <c r="PPJ141" s="205"/>
      <c r="PPK141" s="204"/>
      <c r="PPL141" s="205"/>
      <c r="PPM141" s="204"/>
      <c r="PPN141" s="205"/>
      <c r="PPO141" s="204"/>
      <c r="PPP141" s="205"/>
      <c r="PPQ141" s="204"/>
      <c r="PPR141" s="205"/>
      <c r="PPS141" s="204"/>
      <c r="PPT141" s="205"/>
      <c r="PPU141" s="204"/>
      <c r="PPV141" s="205"/>
      <c r="PPW141" s="204"/>
      <c r="PPX141" s="205"/>
      <c r="PPY141" s="204"/>
      <c r="PPZ141" s="205"/>
      <c r="PQA141" s="204"/>
      <c r="PQB141" s="205"/>
      <c r="PQC141" s="204"/>
      <c r="PQD141" s="205"/>
      <c r="PQE141" s="204"/>
      <c r="PQF141" s="205"/>
      <c r="PQG141" s="204"/>
      <c r="PQH141" s="205"/>
      <c r="PQI141" s="204"/>
      <c r="PQJ141" s="205"/>
      <c r="PQK141" s="204"/>
      <c r="PQL141" s="205"/>
      <c r="PQM141" s="204"/>
      <c r="PQN141" s="205"/>
      <c r="PQO141" s="204"/>
      <c r="PQP141" s="205"/>
      <c r="PQQ141" s="204"/>
      <c r="PQR141" s="205"/>
      <c r="PQS141" s="204"/>
      <c r="PQT141" s="205"/>
      <c r="PQU141" s="204"/>
      <c r="PQV141" s="205"/>
      <c r="PQW141" s="204"/>
      <c r="PQX141" s="205"/>
      <c r="PQY141" s="204"/>
      <c r="PQZ141" s="205"/>
      <c r="PRA141" s="204"/>
      <c r="PRB141" s="205"/>
      <c r="PRC141" s="204"/>
      <c r="PRD141" s="205"/>
      <c r="PRE141" s="204"/>
      <c r="PRF141" s="205"/>
      <c r="PRG141" s="204"/>
      <c r="PRH141" s="205"/>
      <c r="PRI141" s="204"/>
      <c r="PRJ141" s="205"/>
      <c r="PRK141" s="204"/>
      <c r="PRL141" s="205"/>
      <c r="PRM141" s="204"/>
      <c r="PRN141" s="205"/>
      <c r="PRO141" s="204"/>
      <c r="PRP141" s="205"/>
      <c r="PRQ141" s="204"/>
      <c r="PRR141" s="205"/>
      <c r="PRS141" s="204"/>
      <c r="PRT141" s="205"/>
      <c r="PRU141" s="204"/>
      <c r="PRV141" s="205"/>
      <c r="PRW141" s="204"/>
      <c r="PRX141" s="205"/>
      <c r="PRY141" s="204"/>
      <c r="PRZ141" s="205"/>
      <c r="PSA141" s="204"/>
      <c r="PSB141" s="205"/>
      <c r="PSC141" s="204"/>
      <c r="PSD141" s="205"/>
      <c r="PSE141" s="204"/>
      <c r="PSF141" s="205"/>
      <c r="PSG141" s="204"/>
      <c r="PSH141" s="205"/>
      <c r="PSI141" s="204"/>
      <c r="PSJ141" s="205"/>
      <c r="PSK141" s="204"/>
      <c r="PSL141" s="205"/>
      <c r="PSM141" s="204"/>
      <c r="PSN141" s="205"/>
      <c r="PSO141" s="204"/>
      <c r="PSP141" s="205"/>
      <c r="PSQ141" s="204"/>
      <c r="PSR141" s="205"/>
      <c r="PSS141" s="204"/>
      <c r="PST141" s="205"/>
      <c r="PSU141" s="204"/>
      <c r="PSV141" s="205"/>
      <c r="PSW141" s="204"/>
      <c r="PSX141" s="205"/>
      <c r="PSY141" s="204"/>
      <c r="PSZ141" s="205"/>
      <c r="PTA141" s="204"/>
      <c r="PTB141" s="205"/>
      <c r="PTC141" s="204"/>
      <c r="PTD141" s="205"/>
      <c r="PTE141" s="204"/>
      <c r="PTF141" s="205"/>
      <c r="PTG141" s="204"/>
      <c r="PTH141" s="205"/>
      <c r="PTI141" s="204"/>
      <c r="PTJ141" s="205"/>
      <c r="PTK141" s="204"/>
      <c r="PTL141" s="205"/>
      <c r="PTM141" s="204"/>
      <c r="PTN141" s="205"/>
      <c r="PTO141" s="204"/>
      <c r="PTP141" s="205"/>
      <c r="PTQ141" s="204"/>
      <c r="PTR141" s="205"/>
      <c r="PTS141" s="204"/>
      <c r="PTT141" s="205"/>
      <c r="PTU141" s="204"/>
      <c r="PTV141" s="205"/>
      <c r="PTW141" s="204"/>
      <c r="PTX141" s="205"/>
      <c r="PTY141" s="204"/>
      <c r="PTZ141" s="205"/>
      <c r="PUA141" s="204"/>
      <c r="PUB141" s="205"/>
      <c r="PUC141" s="204"/>
      <c r="PUD141" s="205"/>
      <c r="PUE141" s="204"/>
      <c r="PUF141" s="205"/>
      <c r="PUG141" s="204"/>
      <c r="PUH141" s="205"/>
      <c r="PUI141" s="204"/>
      <c r="PUJ141" s="205"/>
      <c r="PUK141" s="204"/>
      <c r="PUL141" s="205"/>
      <c r="PUM141" s="204"/>
      <c r="PUN141" s="205"/>
      <c r="PUO141" s="204"/>
      <c r="PUP141" s="205"/>
      <c r="PUQ141" s="204"/>
      <c r="PUR141" s="205"/>
      <c r="PUS141" s="204"/>
      <c r="PUT141" s="205"/>
      <c r="PUU141" s="204"/>
      <c r="PUV141" s="205"/>
      <c r="PUW141" s="204"/>
      <c r="PUX141" s="205"/>
      <c r="PUY141" s="204"/>
      <c r="PUZ141" s="205"/>
      <c r="PVA141" s="204"/>
      <c r="PVB141" s="205"/>
      <c r="PVC141" s="204"/>
      <c r="PVD141" s="205"/>
      <c r="PVE141" s="204"/>
      <c r="PVF141" s="205"/>
      <c r="PVG141" s="204"/>
      <c r="PVH141" s="205"/>
      <c r="PVI141" s="204"/>
      <c r="PVJ141" s="205"/>
      <c r="PVK141" s="204"/>
      <c r="PVL141" s="205"/>
      <c r="PVM141" s="204"/>
      <c r="PVN141" s="205"/>
      <c r="PVO141" s="204"/>
      <c r="PVP141" s="205"/>
      <c r="PVQ141" s="204"/>
      <c r="PVR141" s="205"/>
      <c r="PVS141" s="204"/>
      <c r="PVT141" s="205"/>
      <c r="PVU141" s="204"/>
      <c r="PVV141" s="205"/>
      <c r="PVW141" s="204"/>
      <c r="PVX141" s="205"/>
      <c r="PVY141" s="204"/>
      <c r="PVZ141" s="205"/>
      <c r="PWA141" s="204"/>
      <c r="PWB141" s="205"/>
      <c r="PWC141" s="204"/>
      <c r="PWD141" s="205"/>
      <c r="PWE141" s="204"/>
      <c r="PWF141" s="205"/>
      <c r="PWG141" s="204"/>
      <c r="PWH141" s="205"/>
      <c r="PWI141" s="204"/>
      <c r="PWJ141" s="205"/>
      <c r="PWK141" s="204"/>
      <c r="PWL141" s="205"/>
      <c r="PWM141" s="204"/>
      <c r="PWN141" s="205"/>
      <c r="PWO141" s="204"/>
      <c r="PWP141" s="205"/>
      <c r="PWQ141" s="204"/>
      <c r="PWR141" s="205"/>
      <c r="PWS141" s="204"/>
      <c r="PWT141" s="205"/>
      <c r="PWU141" s="204"/>
      <c r="PWV141" s="205"/>
      <c r="PWW141" s="204"/>
      <c r="PWX141" s="205"/>
      <c r="PWY141" s="204"/>
      <c r="PWZ141" s="205"/>
      <c r="PXA141" s="204"/>
      <c r="PXB141" s="205"/>
      <c r="PXC141" s="204"/>
      <c r="PXD141" s="205"/>
      <c r="PXE141" s="204"/>
      <c r="PXF141" s="205"/>
      <c r="PXG141" s="204"/>
      <c r="PXH141" s="205"/>
      <c r="PXI141" s="204"/>
      <c r="PXJ141" s="205"/>
      <c r="PXK141" s="204"/>
      <c r="PXL141" s="205"/>
      <c r="PXM141" s="204"/>
      <c r="PXN141" s="205"/>
      <c r="PXO141" s="204"/>
      <c r="PXP141" s="205"/>
      <c r="PXQ141" s="204"/>
      <c r="PXR141" s="205"/>
      <c r="PXS141" s="204"/>
      <c r="PXT141" s="205"/>
      <c r="PXU141" s="204"/>
      <c r="PXV141" s="205"/>
      <c r="PXW141" s="204"/>
      <c r="PXX141" s="205"/>
      <c r="PXY141" s="204"/>
      <c r="PXZ141" s="205"/>
      <c r="PYA141" s="204"/>
      <c r="PYB141" s="205"/>
      <c r="PYC141" s="204"/>
      <c r="PYD141" s="205"/>
      <c r="PYE141" s="204"/>
      <c r="PYF141" s="205"/>
      <c r="PYG141" s="204"/>
      <c r="PYH141" s="205"/>
      <c r="PYI141" s="204"/>
      <c r="PYJ141" s="205"/>
      <c r="PYK141" s="204"/>
      <c r="PYL141" s="205"/>
      <c r="PYM141" s="204"/>
      <c r="PYN141" s="205"/>
      <c r="PYO141" s="204"/>
      <c r="PYP141" s="205"/>
      <c r="PYQ141" s="204"/>
      <c r="PYR141" s="205"/>
      <c r="PYS141" s="204"/>
      <c r="PYT141" s="205"/>
      <c r="PYU141" s="204"/>
      <c r="PYV141" s="205"/>
      <c r="PYW141" s="204"/>
      <c r="PYX141" s="205"/>
      <c r="PYY141" s="204"/>
      <c r="PYZ141" s="205"/>
      <c r="PZA141" s="204"/>
      <c r="PZB141" s="205"/>
      <c r="PZC141" s="204"/>
      <c r="PZD141" s="205"/>
      <c r="PZE141" s="204"/>
      <c r="PZF141" s="205"/>
      <c r="PZG141" s="204"/>
      <c r="PZH141" s="205"/>
      <c r="PZI141" s="204"/>
      <c r="PZJ141" s="205"/>
      <c r="PZK141" s="204"/>
      <c r="PZL141" s="205"/>
      <c r="PZM141" s="204"/>
      <c r="PZN141" s="205"/>
      <c r="PZO141" s="204"/>
      <c r="PZP141" s="205"/>
      <c r="PZQ141" s="204"/>
      <c r="PZR141" s="205"/>
      <c r="PZS141" s="204"/>
      <c r="PZT141" s="205"/>
      <c r="PZU141" s="204"/>
      <c r="PZV141" s="205"/>
      <c r="PZW141" s="204"/>
      <c r="PZX141" s="205"/>
      <c r="PZY141" s="204"/>
      <c r="PZZ141" s="205"/>
      <c r="QAA141" s="204"/>
      <c r="QAB141" s="205"/>
      <c r="QAC141" s="204"/>
      <c r="QAD141" s="205"/>
      <c r="QAE141" s="204"/>
      <c r="QAF141" s="205"/>
      <c r="QAG141" s="204"/>
      <c r="QAH141" s="205"/>
      <c r="QAI141" s="204"/>
      <c r="QAJ141" s="205"/>
      <c r="QAK141" s="204"/>
      <c r="QAL141" s="205"/>
      <c r="QAM141" s="204"/>
      <c r="QAN141" s="205"/>
      <c r="QAO141" s="204"/>
      <c r="QAP141" s="205"/>
      <c r="QAQ141" s="204"/>
      <c r="QAR141" s="205"/>
      <c r="QAS141" s="204"/>
      <c r="QAT141" s="205"/>
      <c r="QAU141" s="204"/>
      <c r="QAV141" s="205"/>
      <c r="QAW141" s="204"/>
      <c r="QAX141" s="205"/>
      <c r="QAY141" s="204"/>
      <c r="QAZ141" s="205"/>
      <c r="QBA141" s="204"/>
      <c r="QBB141" s="205"/>
      <c r="QBC141" s="204"/>
      <c r="QBD141" s="205"/>
      <c r="QBE141" s="204"/>
      <c r="QBF141" s="205"/>
      <c r="QBG141" s="204"/>
      <c r="QBH141" s="205"/>
      <c r="QBI141" s="204"/>
      <c r="QBJ141" s="205"/>
      <c r="QBK141" s="204"/>
      <c r="QBL141" s="205"/>
      <c r="QBM141" s="204"/>
      <c r="QBN141" s="205"/>
      <c r="QBO141" s="204"/>
      <c r="QBP141" s="205"/>
      <c r="QBQ141" s="204"/>
      <c r="QBR141" s="205"/>
      <c r="QBS141" s="204"/>
      <c r="QBT141" s="205"/>
      <c r="QBU141" s="204"/>
      <c r="QBV141" s="205"/>
      <c r="QBW141" s="204"/>
      <c r="QBX141" s="205"/>
      <c r="QBY141" s="204"/>
      <c r="QBZ141" s="205"/>
      <c r="QCA141" s="204"/>
      <c r="QCB141" s="205"/>
      <c r="QCC141" s="204"/>
      <c r="QCD141" s="205"/>
      <c r="QCE141" s="204"/>
      <c r="QCF141" s="205"/>
      <c r="QCG141" s="204"/>
      <c r="QCH141" s="205"/>
      <c r="QCI141" s="204"/>
      <c r="QCJ141" s="205"/>
      <c r="QCK141" s="204"/>
      <c r="QCL141" s="205"/>
      <c r="QCM141" s="204"/>
      <c r="QCN141" s="205"/>
      <c r="QCO141" s="204"/>
      <c r="QCP141" s="205"/>
      <c r="QCQ141" s="204"/>
      <c r="QCR141" s="205"/>
      <c r="QCS141" s="204"/>
      <c r="QCT141" s="205"/>
      <c r="QCU141" s="204"/>
      <c r="QCV141" s="205"/>
      <c r="QCW141" s="204"/>
      <c r="QCX141" s="205"/>
      <c r="QCY141" s="204"/>
      <c r="QCZ141" s="205"/>
      <c r="QDA141" s="204"/>
      <c r="QDB141" s="205"/>
      <c r="QDC141" s="204"/>
      <c r="QDD141" s="205"/>
      <c r="QDE141" s="204"/>
      <c r="QDF141" s="205"/>
      <c r="QDG141" s="204"/>
      <c r="QDH141" s="205"/>
      <c r="QDI141" s="204"/>
      <c r="QDJ141" s="205"/>
      <c r="QDK141" s="204"/>
      <c r="QDL141" s="205"/>
      <c r="QDM141" s="204"/>
      <c r="QDN141" s="205"/>
      <c r="QDO141" s="204"/>
      <c r="QDP141" s="205"/>
      <c r="QDQ141" s="204"/>
      <c r="QDR141" s="205"/>
      <c r="QDS141" s="204"/>
      <c r="QDT141" s="205"/>
      <c r="QDU141" s="204"/>
      <c r="QDV141" s="205"/>
      <c r="QDW141" s="204"/>
      <c r="QDX141" s="205"/>
      <c r="QDY141" s="204"/>
      <c r="QDZ141" s="205"/>
      <c r="QEA141" s="204"/>
      <c r="QEB141" s="205"/>
      <c r="QEC141" s="204"/>
      <c r="QED141" s="205"/>
      <c r="QEE141" s="204"/>
      <c r="QEF141" s="205"/>
      <c r="QEG141" s="204"/>
      <c r="QEH141" s="205"/>
      <c r="QEI141" s="204"/>
      <c r="QEJ141" s="205"/>
      <c r="QEK141" s="204"/>
      <c r="QEL141" s="205"/>
      <c r="QEM141" s="204"/>
      <c r="QEN141" s="205"/>
      <c r="QEO141" s="204"/>
      <c r="QEP141" s="205"/>
      <c r="QEQ141" s="204"/>
      <c r="QER141" s="205"/>
      <c r="QES141" s="204"/>
      <c r="QET141" s="205"/>
      <c r="QEU141" s="204"/>
      <c r="QEV141" s="205"/>
      <c r="QEW141" s="204"/>
      <c r="QEX141" s="205"/>
      <c r="QEY141" s="204"/>
      <c r="QEZ141" s="205"/>
      <c r="QFA141" s="204"/>
      <c r="QFB141" s="205"/>
      <c r="QFC141" s="204"/>
      <c r="QFD141" s="205"/>
      <c r="QFE141" s="204"/>
      <c r="QFF141" s="205"/>
      <c r="QFG141" s="204"/>
      <c r="QFH141" s="205"/>
      <c r="QFI141" s="204"/>
      <c r="QFJ141" s="205"/>
      <c r="QFK141" s="204"/>
      <c r="QFL141" s="205"/>
      <c r="QFM141" s="204"/>
      <c r="QFN141" s="205"/>
      <c r="QFO141" s="204"/>
      <c r="QFP141" s="205"/>
      <c r="QFQ141" s="204"/>
      <c r="QFR141" s="205"/>
      <c r="QFS141" s="204"/>
      <c r="QFT141" s="205"/>
      <c r="QFU141" s="204"/>
      <c r="QFV141" s="205"/>
      <c r="QFW141" s="204"/>
      <c r="QFX141" s="205"/>
      <c r="QFY141" s="204"/>
      <c r="QFZ141" s="205"/>
      <c r="QGA141" s="204"/>
      <c r="QGB141" s="205"/>
      <c r="QGC141" s="204"/>
      <c r="QGD141" s="205"/>
      <c r="QGE141" s="204"/>
      <c r="QGF141" s="205"/>
      <c r="QGG141" s="204"/>
      <c r="QGH141" s="205"/>
      <c r="QGI141" s="204"/>
      <c r="QGJ141" s="205"/>
      <c r="QGK141" s="204"/>
      <c r="QGL141" s="205"/>
      <c r="QGM141" s="204"/>
      <c r="QGN141" s="205"/>
      <c r="QGO141" s="204"/>
      <c r="QGP141" s="205"/>
      <c r="QGQ141" s="204"/>
      <c r="QGR141" s="205"/>
      <c r="QGS141" s="204"/>
      <c r="QGT141" s="205"/>
      <c r="QGU141" s="204"/>
      <c r="QGV141" s="205"/>
      <c r="QGW141" s="204"/>
      <c r="QGX141" s="205"/>
      <c r="QGY141" s="204"/>
      <c r="QGZ141" s="205"/>
      <c r="QHA141" s="204"/>
      <c r="QHB141" s="205"/>
      <c r="QHC141" s="204"/>
      <c r="QHD141" s="205"/>
      <c r="QHE141" s="204"/>
      <c r="QHF141" s="205"/>
      <c r="QHG141" s="204"/>
      <c r="QHH141" s="205"/>
      <c r="QHI141" s="204"/>
      <c r="QHJ141" s="205"/>
      <c r="QHK141" s="204"/>
      <c r="QHL141" s="205"/>
      <c r="QHM141" s="204"/>
      <c r="QHN141" s="205"/>
      <c r="QHO141" s="204"/>
      <c r="QHP141" s="205"/>
      <c r="QHQ141" s="204"/>
      <c r="QHR141" s="205"/>
      <c r="QHS141" s="204"/>
      <c r="QHT141" s="205"/>
      <c r="QHU141" s="204"/>
      <c r="QHV141" s="205"/>
      <c r="QHW141" s="204"/>
      <c r="QHX141" s="205"/>
      <c r="QHY141" s="204"/>
      <c r="QHZ141" s="205"/>
      <c r="QIA141" s="204"/>
      <c r="QIB141" s="205"/>
      <c r="QIC141" s="204"/>
      <c r="QID141" s="205"/>
      <c r="QIE141" s="204"/>
      <c r="QIF141" s="205"/>
      <c r="QIG141" s="204"/>
      <c r="QIH141" s="205"/>
      <c r="QII141" s="204"/>
      <c r="QIJ141" s="205"/>
      <c r="QIK141" s="204"/>
      <c r="QIL141" s="205"/>
      <c r="QIM141" s="204"/>
      <c r="QIN141" s="205"/>
      <c r="QIO141" s="204"/>
      <c r="QIP141" s="205"/>
      <c r="QIQ141" s="204"/>
      <c r="QIR141" s="205"/>
      <c r="QIS141" s="204"/>
      <c r="QIT141" s="205"/>
      <c r="QIU141" s="204"/>
      <c r="QIV141" s="205"/>
      <c r="QIW141" s="204"/>
      <c r="QIX141" s="205"/>
      <c r="QIY141" s="204"/>
      <c r="QIZ141" s="205"/>
      <c r="QJA141" s="204"/>
      <c r="QJB141" s="205"/>
      <c r="QJC141" s="204"/>
      <c r="QJD141" s="205"/>
      <c r="QJE141" s="204"/>
      <c r="QJF141" s="205"/>
      <c r="QJG141" s="204"/>
      <c r="QJH141" s="205"/>
      <c r="QJI141" s="204"/>
      <c r="QJJ141" s="205"/>
      <c r="QJK141" s="204"/>
      <c r="QJL141" s="205"/>
      <c r="QJM141" s="204"/>
      <c r="QJN141" s="205"/>
      <c r="QJO141" s="204"/>
      <c r="QJP141" s="205"/>
      <c r="QJQ141" s="204"/>
      <c r="QJR141" s="205"/>
      <c r="QJS141" s="204"/>
      <c r="QJT141" s="205"/>
      <c r="QJU141" s="204"/>
      <c r="QJV141" s="205"/>
      <c r="QJW141" s="204"/>
      <c r="QJX141" s="205"/>
      <c r="QJY141" s="204"/>
      <c r="QJZ141" s="205"/>
      <c r="QKA141" s="204"/>
      <c r="QKB141" s="205"/>
      <c r="QKC141" s="204"/>
      <c r="QKD141" s="205"/>
      <c r="QKE141" s="204"/>
      <c r="QKF141" s="205"/>
      <c r="QKG141" s="204"/>
      <c r="QKH141" s="205"/>
      <c r="QKI141" s="204"/>
      <c r="QKJ141" s="205"/>
      <c r="QKK141" s="204"/>
      <c r="QKL141" s="205"/>
      <c r="QKM141" s="204"/>
      <c r="QKN141" s="205"/>
      <c r="QKO141" s="204"/>
      <c r="QKP141" s="205"/>
      <c r="QKQ141" s="204"/>
      <c r="QKR141" s="205"/>
      <c r="QKS141" s="204"/>
      <c r="QKT141" s="205"/>
      <c r="QKU141" s="204"/>
      <c r="QKV141" s="205"/>
      <c r="QKW141" s="204"/>
      <c r="QKX141" s="205"/>
      <c r="QKY141" s="204"/>
      <c r="QKZ141" s="205"/>
      <c r="QLA141" s="204"/>
      <c r="QLB141" s="205"/>
      <c r="QLC141" s="204"/>
      <c r="QLD141" s="205"/>
      <c r="QLE141" s="204"/>
      <c r="QLF141" s="205"/>
      <c r="QLG141" s="204"/>
      <c r="QLH141" s="205"/>
      <c r="QLI141" s="204"/>
      <c r="QLJ141" s="205"/>
      <c r="QLK141" s="204"/>
      <c r="QLL141" s="205"/>
      <c r="QLM141" s="204"/>
      <c r="QLN141" s="205"/>
      <c r="QLO141" s="204"/>
      <c r="QLP141" s="205"/>
      <c r="QLQ141" s="204"/>
      <c r="QLR141" s="205"/>
      <c r="QLS141" s="204"/>
      <c r="QLT141" s="205"/>
      <c r="QLU141" s="204"/>
      <c r="QLV141" s="205"/>
      <c r="QLW141" s="204"/>
      <c r="QLX141" s="205"/>
      <c r="QLY141" s="204"/>
      <c r="QLZ141" s="205"/>
      <c r="QMA141" s="204"/>
      <c r="QMB141" s="205"/>
      <c r="QMC141" s="204"/>
      <c r="QMD141" s="205"/>
      <c r="QME141" s="204"/>
      <c r="QMF141" s="205"/>
      <c r="QMG141" s="204"/>
      <c r="QMH141" s="205"/>
      <c r="QMI141" s="204"/>
      <c r="QMJ141" s="205"/>
      <c r="QMK141" s="204"/>
      <c r="QML141" s="205"/>
      <c r="QMM141" s="204"/>
      <c r="QMN141" s="205"/>
      <c r="QMO141" s="204"/>
      <c r="QMP141" s="205"/>
      <c r="QMQ141" s="204"/>
      <c r="QMR141" s="205"/>
      <c r="QMS141" s="204"/>
      <c r="QMT141" s="205"/>
      <c r="QMU141" s="204"/>
      <c r="QMV141" s="205"/>
      <c r="QMW141" s="204"/>
      <c r="QMX141" s="205"/>
      <c r="QMY141" s="204"/>
      <c r="QMZ141" s="205"/>
      <c r="QNA141" s="204"/>
      <c r="QNB141" s="205"/>
      <c r="QNC141" s="204"/>
      <c r="QND141" s="205"/>
      <c r="QNE141" s="204"/>
      <c r="QNF141" s="205"/>
      <c r="QNG141" s="204"/>
      <c r="QNH141" s="205"/>
      <c r="QNI141" s="204"/>
      <c r="QNJ141" s="205"/>
      <c r="QNK141" s="204"/>
      <c r="QNL141" s="205"/>
      <c r="QNM141" s="204"/>
      <c r="QNN141" s="205"/>
      <c r="QNO141" s="204"/>
      <c r="QNP141" s="205"/>
      <c r="QNQ141" s="204"/>
      <c r="QNR141" s="205"/>
      <c r="QNS141" s="204"/>
      <c r="QNT141" s="205"/>
      <c r="QNU141" s="204"/>
      <c r="QNV141" s="205"/>
      <c r="QNW141" s="204"/>
      <c r="QNX141" s="205"/>
      <c r="QNY141" s="204"/>
      <c r="QNZ141" s="205"/>
      <c r="QOA141" s="204"/>
      <c r="QOB141" s="205"/>
      <c r="QOC141" s="204"/>
      <c r="QOD141" s="205"/>
      <c r="QOE141" s="204"/>
      <c r="QOF141" s="205"/>
      <c r="QOG141" s="204"/>
      <c r="QOH141" s="205"/>
      <c r="QOI141" s="204"/>
      <c r="QOJ141" s="205"/>
      <c r="QOK141" s="204"/>
      <c r="QOL141" s="205"/>
      <c r="QOM141" s="204"/>
      <c r="QON141" s="205"/>
      <c r="QOO141" s="204"/>
      <c r="QOP141" s="205"/>
      <c r="QOQ141" s="204"/>
      <c r="QOR141" s="205"/>
      <c r="QOS141" s="204"/>
      <c r="QOT141" s="205"/>
      <c r="QOU141" s="204"/>
      <c r="QOV141" s="205"/>
      <c r="QOW141" s="204"/>
      <c r="QOX141" s="205"/>
      <c r="QOY141" s="204"/>
      <c r="QOZ141" s="205"/>
      <c r="QPA141" s="204"/>
      <c r="QPB141" s="205"/>
      <c r="QPC141" s="204"/>
      <c r="QPD141" s="205"/>
      <c r="QPE141" s="204"/>
      <c r="QPF141" s="205"/>
      <c r="QPG141" s="204"/>
      <c r="QPH141" s="205"/>
      <c r="QPI141" s="204"/>
      <c r="QPJ141" s="205"/>
      <c r="QPK141" s="204"/>
      <c r="QPL141" s="205"/>
      <c r="QPM141" s="204"/>
      <c r="QPN141" s="205"/>
      <c r="QPO141" s="204"/>
      <c r="QPP141" s="205"/>
      <c r="QPQ141" s="204"/>
      <c r="QPR141" s="205"/>
      <c r="QPS141" s="204"/>
      <c r="QPT141" s="205"/>
      <c r="QPU141" s="204"/>
      <c r="QPV141" s="205"/>
      <c r="QPW141" s="204"/>
      <c r="QPX141" s="205"/>
      <c r="QPY141" s="204"/>
      <c r="QPZ141" s="205"/>
      <c r="QQA141" s="204"/>
      <c r="QQB141" s="205"/>
      <c r="QQC141" s="204"/>
      <c r="QQD141" s="205"/>
      <c r="QQE141" s="204"/>
      <c r="QQF141" s="205"/>
      <c r="QQG141" s="204"/>
      <c r="QQH141" s="205"/>
      <c r="QQI141" s="204"/>
      <c r="QQJ141" s="205"/>
      <c r="QQK141" s="204"/>
      <c r="QQL141" s="205"/>
      <c r="QQM141" s="204"/>
      <c r="QQN141" s="205"/>
      <c r="QQO141" s="204"/>
      <c r="QQP141" s="205"/>
      <c r="QQQ141" s="204"/>
      <c r="QQR141" s="205"/>
      <c r="QQS141" s="204"/>
      <c r="QQT141" s="205"/>
      <c r="QQU141" s="204"/>
      <c r="QQV141" s="205"/>
      <c r="QQW141" s="204"/>
      <c r="QQX141" s="205"/>
      <c r="QQY141" s="204"/>
      <c r="QQZ141" s="205"/>
      <c r="QRA141" s="204"/>
      <c r="QRB141" s="205"/>
      <c r="QRC141" s="204"/>
      <c r="QRD141" s="205"/>
      <c r="QRE141" s="204"/>
      <c r="QRF141" s="205"/>
      <c r="QRG141" s="204"/>
      <c r="QRH141" s="205"/>
      <c r="QRI141" s="204"/>
      <c r="QRJ141" s="205"/>
      <c r="QRK141" s="204"/>
      <c r="QRL141" s="205"/>
      <c r="QRM141" s="204"/>
      <c r="QRN141" s="205"/>
      <c r="QRO141" s="204"/>
      <c r="QRP141" s="205"/>
      <c r="QRQ141" s="204"/>
      <c r="QRR141" s="205"/>
      <c r="QRS141" s="204"/>
      <c r="QRT141" s="205"/>
      <c r="QRU141" s="204"/>
      <c r="QRV141" s="205"/>
      <c r="QRW141" s="204"/>
      <c r="QRX141" s="205"/>
      <c r="QRY141" s="204"/>
      <c r="QRZ141" s="205"/>
      <c r="QSA141" s="204"/>
      <c r="QSB141" s="205"/>
      <c r="QSC141" s="204"/>
      <c r="QSD141" s="205"/>
      <c r="QSE141" s="204"/>
      <c r="QSF141" s="205"/>
      <c r="QSG141" s="204"/>
      <c r="QSH141" s="205"/>
      <c r="QSI141" s="204"/>
      <c r="QSJ141" s="205"/>
      <c r="QSK141" s="204"/>
      <c r="QSL141" s="205"/>
      <c r="QSM141" s="204"/>
      <c r="QSN141" s="205"/>
      <c r="QSO141" s="204"/>
      <c r="QSP141" s="205"/>
      <c r="QSQ141" s="204"/>
      <c r="QSR141" s="205"/>
      <c r="QSS141" s="204"/>
      <c r="QST141" s="205"/>
      <c r="QSU141" s="204"/>
      <c r="QSV141" s="205"/>
      <c r="QSW141" s="204"/>
      <c r="QSX141" s="205"/>
      <c r="QSY141" s="204"/>
      <c r="QSZ141" s="205"/>
      <c r="QTA141" s="204"/>
      <c r="QTB141" s="205"/>
      <c r="QTC141" s="204"/>
      <c r="QTD141" s="205"/>
      <c r="QTE141" s="204"/>
      <c r="QTF141" s="205"/>
      <c r="QTG141" s="204"/>
      <c r="QTH141" s="205"/>
      <c r="QTI141" s="204"/>
      <c r="QTJ141" s="205"/>
      <c r="QTK141" s="204"/>
      <c r="QTL141" s="205"/>
      <c r="QTM141" s="204"/>
      <c r="QTN141" s="205"/>
      <c r="QTO141" s="204"/>
      <c r="QTP141" s="205"/>
      <c r="QTQ141" s="204"/>
      <c r="QTR141" s="205"/>
      <c r="QTS141" s="204"/>
      <c r="QTT141" s="205"/>
      <c r="QTU141" s="204"/>
      <c r="QTV141" s="205"/>
      <c r="QTW141" s="204"/>
      <c r="QTX141" s="205"/>
      <c r="QTY141" s="204"/>
      <c r="QTZ141" s="205"/>
      <c r="QUA141" s="204"/>
      <c r="QUB141" s="205"/>
      <c r="QUC141" s="204"/>
      <c r="QUD141" s="205"/>
      <c r="QUE141" s="204"/>
      <c r="QUF141" s="205"/>
      <c r="QUG141" s="204"/>
      <c r="QUH141" s="205"/>
      <c r="QUI141" s="204"/>
      <c r="QUJ141" s="205"/>
      <c r="QUK141" s="204"/>
      <c r="QUL141" s="205"/>
      <c r="QUM141" s="204"/>
      <c r="QUN141" s="205"/>
      <c r="QUO141" s="204"/>
      <c r="QUP141" s="205"/>
      <c r="QUQ141" s="204"/>
      <c r="QUR141" s="205"/>
      <c r="QUS141" s="204"/>
      <c r="QUT141" s="205"/>
      <c r="QUU141" s="204"/>
      <c r="QUV141" s="205"/>
      <c r="QUW141" s="204"/>
      <c r="QUX141" s="205"/>
      <c r="QUY141" s="204"/>
      <c r="QUZ141" s="205"/>
      <c r="QVA141" s="204"/>
      <c r="QVB141" s="205"/>
      <c r="QVC141" s="204"/>
      <c r="QVD141" s="205"/>
      <c r="QVE141" s="204"/>
      <c r="QVF141" s="205"/>
      <c r="QVG141" s="204"/>
      <c r="QVH141" s="205"/>
      <c r="QVI141" s="204"/>
      <c r="QVJ141" s="205"/>
      <c r="QVK141" s="204"/>
      <c r="QVL141" s="205"/>
      <c r="QVM141" s="204"/>
      <c r="QVN141" s="205"/>
      <c r="QVO141" s="204"/>
      <c r="QVP141" s="205"/>
      <c r="QVQ141" s="204"/>
      <c r="QVR141" s="205"/>
      <c r="QVS141" s="204"/>
      <c r="QVT141" s="205"/>
      <c r="QVU141" s="204"/>
      <c r="QVV141" s="205"/>
      <c r="QVW141" s="204"/>
      <c r="QVX141" s="205"/>
      <c r="QVY141" s="204"/>
      <c r="QVZ141" s="205"/>
      <c r="QWA141" s="204"/>
      <c r="QWB141" s="205"/>
      <c r="QWC141" s="204"/>
      <c r="QWD141" s="205"/>
      <c r="QWE141" s="204"/>
      <c r="QWF141" s="205"/>
      <c r="QWG141" s="204"/>
      <c r="QWH141" s="205"/>
      <c r="QWI141" s="204"/>
      <c r="QWJ141" s="205"/>
      <c r="QWK141" s="204"/>
      <c r="QWL141" s="205"/>
      <c r="QWM141" s="204"/>
      <c r="QWN141" s="205"/>
      <c r="QWO141" s="204"/>
      <c r="QWP141" s="205"/>
      <c r="QWQ141" s="204"/>
      <c r="QWR141" s="205"/>
      <c r="QWS141" s="204"/>
      <c r="QWT141" s="205"/>
      <c r="QWU141" s="204"/>
      <c r="QWV141" s="205"/>
      <c r="QWW141" s="204"/>
      <c r="QWX141" s="205"/>
      <c r="QWY141" s="204"/>
      <c r="QWZ141" s="205"/>
      <c r="QXA141" s="204"/>
      <c r="QXB141" s="205"/>
      <c r="QXC141" s="204"/>
      <c r="QXD141" s="205"/>
      <c r="QXE141" s="204"/>
      <c r="QXF141" s="205"/>
      <c r="QXG141" s="204"/>
      <c r="QXH141" s="205"/>
      <c r="QXI141" s="204"/>
      <c r="QXJ141" s="205"/>
      <c r="QXK141" s="204"/>
      <c r="QXL141" s="205"/>
      <c r="QXM141" s="204"/>
      <c r="QXN141" s="205"/>
      <c r="QXO141" s="204"/>
      <c r="QXP141" s="205"/>
      <c r="QXQ141" s="204"/>
      <c r="QXR141" s="205"/>
      <c r="QXS141" s="204"/>
      <c r="QXT141" s="205"/>
      <c r="QXU141" s="204"/>
      <c r="QXV141" s="205"/>
      <c r="QXW141" s="204"/>
      <c r="QXX141" s="205"/>
      <c r="QXY141" s="204"/>
      <c r="QXZ141" s="205"/>
      <c r="QYA141" s="204"/>
      <c r="QYB141" s="205"/>
      <c r="QYC141" s="204"/>
      <c r="QYD141" s="205"/>
      <c r="QYE141" s="204"/>
      <c r="QYF141" s="205"/>
      <c r="QYG141" s="204"/>
      <c r="QYH141" s="205"/>
      <c r="QYI141" s="204"/>
      <c r="QYJ141" s="205"/>
      <c r="QYK141" s="204"/>
      <c r="QYL141" s="205"/>
      <c r="QYM141" s="204"/>
      <c r="QYN141" s="205"/>
      <c r="QYO141" s="204"/>
      <c r="QYP141" s="205"/>
      <c r="QYQ141" s="204"/>
      <c r="QYR141" s="205"/>
      <c r="QYS141" s="204"/>
      <c r="QYT141" s="205"/>
      <c r="QYU141" s="204"/>
      <c r="QYV141" s="205"/>
      <c r="QYW141" s="204"/>
      <c r="QYX141" s="205"/>
      <c r="QYY141" s="204"/>
      <c r="QYZ141" s="205"/>
      <c r="QZA141" s="204"/>
      <c r="QZB141" s="205"/>
      <c r="QZC141" s="204"/>
      <c r="QZD141" s="205"/>
      <c r="QZE141" s="204"/>
      <c r="QZF141" s="205"/>
      <c r="QZG141" s="204"/>
      <c r="QZH141" s="205"/>
      <c r="QZI141" s="204"/>
      <c r="QZJ141" s="205"/>
      <c r="QZK141" s="204"/>
      <c r="QZL141" s="205"/>
      <c r="QZM141" s="204"/>
      <c r="QZN141" s="205"/>
      <c r="QZO141" s="204"/>
      <c r="QZP141" s="205"/>
      <c r="QZQ141" s="204"/>
      <c r="QZR141" s="205"/>
      <c r="QZS141" s="204"/>
      <c r="QZT141" s="205"/>
      <c r="QZU141" s="204"/>
      <c r="QZV141" s="205"/>
      <c r="QZW141" s="204"/>
      <c r="QZX141" s="205"/>
      <c r="QZY141" s="204"/>
      <c r="QZZ141" s="205"/>
      <c r="RAA141" s="204"/>
      <c r="RAB141" s="205"/>
      <c r="RAC141" s="204"/>
      <c r="RAD141" s="205"/>
      <c r="RAE141" s="204"/>
      <c r="RAF141" s="205"/>
      <c r="RAG141" s="204"/>
      <c r="RAH141" s="205"/>
      <c r="RAI141" s="204"/>
      <c r="RAJ141" s="205"/>
      <c r="RAK141" s="204"/>
      <c r="RAL141" s="205"/>
      <c r="RAM141" s="204"/>
      <c r="RAN141" s="205"/>
      <c r="RAO141" s="204"/>
      <c r="RAP141" s="205"/>
      <c r="RAQ141" s="204"/>
      <c r="RAR141" s="205"/>
      <c r="RAS141" s="204"/>
      <c r="RAT141" s="205"/>
      <c r="RAU141" s="204"/>
      <c r="RAV141" s="205"/>
      <c r="RAW141" s="204"/>
      <c r="RAX141" s="205"/>
      <c r="RAY141" s="204"/>
      <c r="RAZ141" s="205"/>
      <c r="RBA141" s="204"/>
      <c r="RBB141" s="205"/>
      <c r="RBC141" s="204"/>
      <c r="RBD141" s="205"/>
      <c r="RBE141" s="204"/>
      <c r="RBF141" s="205"/>
      <c r="RBG141" s="204"/>
      <c r="RBH141" s="205"/>
      <c r="RBI141" s="204"/>
      <c r="RBJ141" s="205"/>
      <c r="RBK141" s="204"/>
      <c r="RBL141" s="205"/>
      <c r="RBM141" s="204"/>
      <c r="RBN141" s="205"/>
      <c r="RBO141" s="204"/>
      <c r="RBP141" s="205"/>
      <c r="RBQ141" s="204"/>
      <c r="RBR141" s="205"/>
      <c r="RBS141" s="204"/>
      <c r="RBT141" s="205"/>
      <c r="RBU141" s="204"/>
      <c r="RBV141" s="205"/>
      <c r="RBW141" s="204"/>
      <c r="RBX141" s="205"/>
      <c r="RBY141" s="204"/>
      <c r="RBZ141" s="205"/>
      <c r="RCA141" s="204"/>
      <c r="RCB141" s="205"/>
      <c r="RCC141" s="204"/>
      <c r="RCD141" s="205"/>
      <c r="RCE141" s="204"/>
      <c r="RCF141" s="205"/>
      <c r="RCG141" s="204"/>
      <c r="RCH141" s="205"/>
      <c r="RCI141" s="204"/>
      <c r="RCJ141" s="205"/>
      <c r="RCK141" s="204"/>
      <c r="RCL141" s="205"/>
      <c r="RCM141" s="204"/>
      <c r="RCN141" s="205"/>
      <c r="RCO141" s="204"/>
      <c r="RCP141" s="205"/>
      <c r="RCQ141" s="204"/>
      <c r="RCR141" s="205"/>
      <c r="RCS141" s="204"/>
      <c r="RCT141" s="205"/>
      <c r="RCU141" s="204"/>
      <c r="RCV141" s="205"/>
      <c r="RCW141" s="204"/>
      <c r="RCX141" s="205"/>
      <c r="RCY141" s="204"/>
      <c r="RCZ141" s="205"/>
      <c r="RDA141" s="204"/>
      <c r="RDB141" s="205"/>
      <c r="RDC141" s="204"/>
      <c r="RDD141" s="205"/>
      <c r="RDE141" s="204"/>
      <c r="RDF141" s="205"/>
      <c r="RDG141" s="204"/>
      <c r="RDH141" s="205"/>
      <c r="RDI141" s="204"/>
      <c r="RDJ141" s="205"/>
      <c r="RDK141" s="204"/>
      <c r="RDL141" s="205"/>
      <c r="RDM141" s="204"/>
      <c r="RDN141" s="205"/>
      <c r="RDO141" s="204"/>
      <c r="RDP141" s="205"/>
      <c r="RDQ141" s="204"/>
      <c r="RDR141" s="205"/>
      <c r="RDS141" s="204"/>
      <c r="RDT141" s="205"/>
      <c r="RDU141" s="204"/>
      <c r="RDV141" s="205"/>
      <c r="RDW141" s="204"/>
      <c r="RDX141" s="205"/>
      <c r="RDY141" s="204"/>
      <c r="RDZ141" s="205"/>
      <c r="REA141" s="204"/>
      <c r="REB141" s="205"/>
      <c r="REC141" s="204"/>
      <c r="RED141" s="205"/>
      <c r="REE141" s="204"/>
      <c r="REF141" s="205"/>
      <c r="REG141" s="204"/>
      <c r="REH141" s="205"/>
      <c r="REI141" s="204"/>
      <c r="REJ141" s="205"/>
      <c r="REK141" s="204"/>
      <c r="REL141" s="205"/>
      <c r="REM141" s="204"/>
      <c r="REN141" s="205"/>
      <c r="REO141" s="204"/>
      <c r="REP141" s="205"/>
      <c r="REQ141" s="204"/>
      <c r="RER141" s="205"/>
      <c r="RES141" s="204"/>
      <c r="RET141" s="205"/>
      <c r="REU141" s="204"/>
      <c r="REV141" s="205"/>
      <c r="REW141" s="204"/>
      <c r="REX141" s="205"/>
      <c r="REY141" s="204"/>
      <c r="REZ141" s="205"/>
      <c r="RFA141" s="204"/>
      <c r="RFB141" s="205"/>
      <c r="RFC141" s="204"/>
      <c r="RFD141" s="205"/>
      <c r="RFE141" s="204"/>
      <c r="RFF141" s="205"/>
      <c r="RFG141" s="204"/>
      <c r="RFH141" s="205"/>
      <c r="RFI141" s="204"/>
      <c r="RFJ141" s="205"/>
      <c r="RFK141" s="204"/>
      <c r="RFL141" s="205"/>
      <c r="RFM141" s="204"/>
      <c r="RFN141" s="205"/>
      <c r="RFO141" s="204"/>
      <c r="RFP141" s="205"/>
      <c r="RFQ141" s="204"/>
      <c r="RFR141" s="205"/>
      <c r="RFS141" s="204"/>
      <c r="RFT141" s="205"/>
      <c r="RFU141" s="204"/>
      <c r="RFV141" s="205"/>
      <c r="RFW141" s="204"/>
      <c r="RFX141" s="205"/>
      <c r="RFY141" s="204"/>
      <c r="RFZ141" s="205"/>
      <c r="RGA141" s="204"/>
      <c r="RGB141" s="205"/>
      <c r="RGC141" s="204"/>
      <c r="RGD141" s="205"/>
      <c r="RGE141" s="204"/>
      <c r="RGF141" s="205"/>
      <c r="RGG141" s="204"/>
      <c r="RGH141" s="205"/>
      <c r="RGI141" s="204"/>
      <c r="RGJ141" s="205"/>
      <c r="RGK141" s="204"/>
      <c r="RGL141" s="205"/>
      <c r="RGM141" s="204"/>
      <c r="RGN141" s="205"/>
      <c r="RGO141" s="204"/>
      <c r="RGP141" s="205"/>
      <c r="RGQ141" s="204"/>
      <c r="RGR141" s="205"/>
      <c r="RGS141" s="204"/>
      <c r="RGT141" s="205"/>
      <c r="RGU141" s="204"/>
      <c r="RGV141" s="205"/>
      <c r="RGW141" s="204"/>
      <c r="RGX141" s="205"/>
      <c r="RGY141" s="204"/>
      <c r="RGZ141" s="205"/>
      <c r="RHA141" s="204"/>
      <c r="RHB141" s="205"/>
      <c r="RHC141" s="204"/>
      <c r="RHD141" s="205"/>
      <c r="RHE141" s="204"/>
      <c r="RHF141" s="205"/>
      <c r="RHG141" s="204"/>
      <c r="RHH141" s="205"/>
      <c r="RHI141" s="204"/>
      <c r="RHJ141" s="205"/>
      <c r="RHK141" s="204"/>
      <c r="RHL141" s="205"/>
      <c r="RHM141" s="204"/>
      <c r="RHN141" s="205"/>
      <c r="RHO141" s="204"/>
      <c r="RHP141" s="205"/>
      <c r="RHQ141" s="204"/>
      <c r="RHR141" s="205"/>
      <c r="RHS141" s="204"/>
      <c r="RHT141" s="205"/>
      <c r="RHU141" s="204"/>
      <c r="RHV141" s="205"/>
      <c r="RHW141" s="204"/>
      <c r="RHX141" s="205"/>
      <c r="RHY141" s="204"/>
      <c r="RHZ141" s="205"/>
      <c r="RIA141" s="204"/>
      <c r="RIB141" s="205"/>
      <c r="RIC141" s="204"/>
      <c r="RID141" s="205"/>
      <c r="RIE141" s="204"/>
      <c r="RIF141" s="205"/>
      <c r="RIG141" s="204"/>
      <c r="RIH141" s="205"/>
      <c r="RII141" s="204"/>
      <c r="RIJ141" s="205"/>
      <c r="RIK141" s="204"/>
      <c r="RIL141" s="205"/>
      <c r="RIM141" s="204"/>
      <c r="RIN141" s="205"/>
      <c r="RIO141" s="204"/>
      <c r="RIP141" s="205"/>
      <c r="RIQ141" s="204"/>
      <c r="RIR141" s="205"/>
      <c r="RIS141" s="204"/>
      <c r="RIT141" s="205"/>
      <c r="RIU141" s="204"/>
      <c r="RIV141" s="205"/>
      <c r="RIW141" s="204"/>
      <c r="RIX141" s="205"/>
      <c r="RIY141" s="204"/>
      <c r="RIZ141" s="205"/>
      <c r="RJA141" s="204"/>
      <c r="RJB141" s="205"/>
      <c r="RJC141" s="204"/>
      <c r="RJD141" s="205"/>
      <c r="RJE141" s="204"/>
      <c r="RJF141" s="205"/>
      <c r="RJG141" s="204"/>
      <c r="RJH141" s="205"/>
      <c r="RJI141" s="204"/>
      <c r="RJJ141" s="205"/>
      <c r="RJK141" s="204"/>
      <c r="RJL141" s="205"/>
      <c r="RJM141" s="204"/>
      <c r="RJN141" s="205"/>
      <c r="RJO141" s="204"/>
      <c r="RJP141" s="205"/>
      <c r="RJQ141" s="204"/>
      <c r="RJR141" s="205"/>
      <c r="RJS141" s="204"/>
      <c r="RJT141" s="205"/>
      <c r="RJU141" s="204"/>
      <c r="RJV141" s="205"/>
      <c r="RJW141" s="204"/>
      <c r="RJX141" s="205"/>
      <c r="RJY141" s="204"/>
      <c r="RJZ141" s="205"/>
      <c r="RKA141" s="204"/>
      <c r="RKB141" s="205"/>
      <c r="RKC141" s="204"/>
      <c r="RKD141" s="205"/>
      <c r="RKE141" s="204"/>
      <c r="RKF141" s="205"/>
      <c r="RKG141" s="204"/>
      <c r="RKH141" s="205"/>
      <c r="RKI141" s="204"/>
      <c r="RKJ141" s="205"/>
      <c r="RKK141" s="204"/>
      <c r="RKL141" s="205"/>
      <c r="RKM141" s="204"/>
      <c r="RKN141" s="205"/>
      <c r="RKO141" s="204"/>
      <c r="RKP141" s="205"/>
      <c r="RKQ141" s="204"/>
      <c r="RKR141" s="205"/>
      <c r="RKS141" s="204"/>
      <c r="RKT141" s="205"/>
      <c r="RKU141" s="204"/>
      <c r="RKV141" s="205"/>
      <c r="RKW141" s="204"/>
      <c r="RKX141" s="205"/>
      <c r="RKY141" s="204"/>
      <c r="RKZ141" s="205"/>
      <c r="RLA141" s="204"/>
      <c r="RLB141" s="205"/>
      <c r="RLC141" s="204"/>
      <c r="RLD141" s="205"/>
      <c r="RLE141" s="204"/>
      <c r="RLF141" s="205"/>
      <c r="RLG141" s="204"/>
      <c r="RLH141" s="205"/>
      <c r="RLI141" s="204"/>
      <c r="RLJ141" s="205"/>
      <c r="RLK141" s="204"/>
      <c r="RLL141" s="205"/>
      <c r="RLM141" s="204"/>
      <c r="RLN141" s="205"/>
      <c r="RLO141" s="204"/>
      <c r="RLP141" s="205"/>
      <c r="RLQ141" s="204"/>
      <c r="RLR141" s="205"/>
      <c r="RLS141" s="204"/>
      <c r="RLT141" s="205"/>
      <c r="RLU141" s="204"/>
      <c r="RLV141" s="205"/>
      <c r="RLW141" s="204"/>
      <c r="RLX141" s="205"/>
      <c r="RLY141" s="204"/>
      <c r="RLZ141" s="205"/>
      <c r="RMA141" s="204"/>
      <c r="RMB141" s="205"/>
      <c r="RMC141" s="204"/>
      <c r="RMD141" s="205"/>
      <c r="RME141" s="204"/>
      <c r="RMF141" s="205"/>
      <c r="RMG141" s="204"/>
      <c r="RMH141" s="205"/>
      <c r="RMI141" s="204"/>
      <c r="RMJ141" s="205"/>
      <c r="RMK141" s="204"/>
      <c r="RML141" s="205"/>
      <c r="RMM141" s="204"/>
      <c r="RMN141" s="205"/>
      <c r="RMO141" s="204"/>
      <c r="RMP141" s="205"/>
      <c r="RMQ141" s="204"/>
      <c r="RMR141" s="205"/>
      <c r="RMS141" s="204"/>
      <c r="RMT141" s="205"/>
      <c r="RMU141" s="204"/>
      <c r="RMV141" s="205"/>
      <c r="RMW141" s="204"/>
      <c r="RMX141" s="205"/>
      <c r="RMY141" s="204"/>
      <c r="RMZ141" s="205"/>
      <c r="RNA141" s="204"/>
      <c r="RNB141" s="205"/>
      <c r="RNC141" s="204"/>
      <c r="RND141" s="205"/>
      <c r="RNE141" s="204"/>
      <c r="RNF141" s="205"/>
      <c r="RNG141" s="204"/>
      <c r="RNH141" s="205"/>
      <c r="RNI141" s="204"/>
      <c r="RNJ141" s="205"/>
      <c r="RNK141" s="204"/>
      <c r="RNL141" s="205"/>
      <c r="RNM141" s="204"/>
      <c r="RNN141" s="205"/>
      <c r="RNO141" s="204"/>
      <c r="RNP141" s="205"/>
      <c r="RNQ141" s="204"/>
      <c r="RNR141" s="205"/>
      <c r="RNS141" s="204"/>
      <c r="RNT141" s="205"/>
      <c r="RNU141" s="204"/>
      <c r="RNV141" s="205"/>
      <c r="RNW141" s="204"/>
      <c r="RNX141" s="205"/>
      <c r="RNY141" s="204"/>
      <c r="RNZ141" s="205"/>
      <c r="ROA141" s="204"/>
      <c r="ROB141" s="205"/>
      <c r="ROC141" s="204"/>
      <c r="ROD141" s="205"/>
      <c r="ROE141" s="204"/>
      <c r="ROF141" s="205"/>
      <c r="ROG141" s="204"/>
      <c r="ROH141" s="205"/>
      <c r="ROI141" s="204"/>
      <c r="ROJ141" s="205"/>
      <c r="ROK141" s="204"/>
      <c r="ROL141" s="205"/>
      <c r="ROM141" s="204"/>
      <c r="RON141" s="205"/>
      <c r="ROO141" s="204"/>
      <c r="ROP141" s="205"/>
      <c r="ROQ141" s="204"/>
      <c r="ROR141" s="205"/>
      <c r="ROS141" s="204"/>
      <c r="ROT141" s="205"/>
      <c r="ROU141" s="204"/>
      <c r="ROV141" s="205"/>
      <c r="ROW141" s="204"/>
      <c r="ROX141" s="205"/>
      <c r="ROY141" s="204"/>
      <c r="ROZ141" s="205"/>
      <c r="RPA141" s="204"/>
      <c r="RPB141" s="205"/>
      <c r="RPC141" s="204"/>
      <c r="RPD141" s="205"/>
      <c r="RPE141" s="204"/>
      <c r="RPF141" s="205"/>
      <c r="RPG141" s="204"/>
      <c r="RPH141" s="205"/>
      <c r="RPI141" s="204"/>
      <c r="RPJ141" s="205"/>
      <c r="RPK141" s="204"/>
      <c r="RPL141" s="205"/>
      <c r="RPM141" s="204"/>
      <c r="RPN141" s="205"/>
      <c r="RPO141" s="204"/>
      <c r="RPP141" s="205"/>
      <c r="RPQ141" s="204"/>
      <c r="RPR141" s="205"/>
      <c r="RPS141" s="204"/>
      <c r="RPT141" s="205"/>
      <c r="RPU141" s="204"/>
      <c r="RPV141" s="205"/>
      <c r="RPW141" s="204"/>
      <c r="RPX141" s="205"/>
      <c r="RPY141" s="204"/>
      <c r="RPZ141" s="205"/>
      <c r="RQA141" s="204"/>
      <c r="RQB141" s="205"/>
      <c r="RQC141" s="204"/>
      <c r="RQD141" s="205"/>
      <c r="RQE141" s="204"/>
      <c r="RQF141" s="205"/>
      <c r="RQG141" s="204"/>
      <c r="RQH141" s="205"/>
      <c r="RQI141" s="204"/>
      <c r="RQJ141" s="205"/>
      <c r="RQK141" s="204"/>
      <c r="RQL141" s="205"/>
      <c r="RQM141" s="204"/>
      <c r="RQN141" s="205"/>
      <c r="RQO141" s="204"/>
      <c r="RQP141" s="205"/>
      <c r="RQQ141" s="204"/>
      <c r="RQR141" s="205"/>
      <c r="RQS141" s="204"/>
      <c r="RQT141" s="205"/>
      <c r="RQU141" s="204"/>
      <c r="RQV141" s="205"/>
      <c r="RQW141" s="204"/>
      <c r="RQX141" s="205"/>
      <c r="RQY141" s="204"/>
      <c r="RQZ141" s="205"/>
      <c r="RRA141" s="204"/>
      <c r="RRB141" s="205"/>
      <c r="RRC141" s="204"/>
      <c r="RRD141" s="205"/>
      <c r="RRE141" s="204"/>
      <c r="RRF141" s="205"/>
      <c r="RRG141" s="204"/>
      <c r="RRH141" s="205"/>
      <c r="RRI141" s="204"/>
      <c r="RRJ141" s="205"/>
      <c r="RRK141" s="204"/>
      <c r="RRL141" s="205"/>
      <c r="RRM141" s="204"/>
      <c r="RRN141" s="205"/>
      <c r="RRO141" s="204"/>
      <c r="RRP141" s="205"/>
      <c r="RRQ141" s="204"/>
      <c r="RRR141" s="205"/>
      <c r="RRS141" s="204"/>
      <c r="RRT141" s="205"/>
      <c r="RRU141" s="204"/>
      <c r="RRV141" s="205"/>
      <c r="RRW141" s="204"/>
      <c r="RRX141" s="205"/>
      <c r="RRY141" s="204"/>
      <c r="RRZ141" s="205"/>
      <c r="RSA141" s="204"/>
      <c r="RSB141" s="205"/>
      <c r="RSC141" s="204"/>
      <c r="RSD141" s="205"/>
      <c r="RSE141" s="204"/>
      <c r="RSF141" s="205"/>
      <c r="RSG141" s="204"/>
      <c r="RSH141" s="205"/>
      <c r="RSI141" s="204"/>
      <c r="RSJ141" s="205"/>
      <c r="RSK141" s="204"/>
      <c r="RSL141" s="205"/>
      <c r="RSM141" s="204"/>
      <c r="RSN141" s="205"/>
      <c r="RSO141" s="204"/>
      <c r="RSP141" s="205"/>
      <c r="RSQ141" s="204"/>
      <c r="RSR141" s="205"/>
      <c r="RSS141" s="204"/>
      <c r="RST141" s="205"/>
      <c r="RSU141" s="204"/>
      <c r="RSV141" s="205"/>
      <c r="RSW141" s="204"/>
      <c r="RSX141" s="205"/>
      <c r="RSY141" s="204"/>
      <c r="RSZ141" s="205"/>
      <c r="RTA141" s="204"/>
      <c r="RTB141" s="205"/>
      <c r="RTC141" s="204"/>
      <c r="RTD141" s="205"/>
      <c r="RTE141" s="204"/>
      <c r="RTF141" s="205"/>
      <c r="RTG141" s="204"/>
      <c r="RTH141" s="205"/>
      <c r="RTI141" s="204"/>
      <c r="RTJ141" s="205"/>
      <c r="RTK141" s="204"/>
      <c r="RTL141" s="205"/>
      <c r="RTM141" s="204"/>
      <c r="RTN141" s="205"/>
      <c r="RTO141" s="204"/>
      <c r="RTP141" s="205"/>
      <c r="RTQ141" s="204"/>
      <c r="RTR141" s="205"/>
      <c r="RTS141" s="204"/>
      <c r="RTT141" s="205"/>
      <c r="RTU141" s="204"/>
      <c r="RTV141" s="205"/>
      <c r="RTW141" s="204"/>
      <c r="RTX141" s="205"/>
      <c r="RTY141" s="204"/>
      <c r="RTZ141" s="205"/>
      <c r="RUA141" s="204"/>
      <c r="RUB141" s="205"/>
      <c r="RUC141" s="204"/>
      <c r="RUD141" s="205"/>
      <c r="RUE141" s="204"/>
      <c r="RUF141" s="205"/>
      <c r="RUG141" s="204"/>
      <c r="RUH141" s="205"/>
      <c r="RUI141" s="204"/>
      <c r="RUJ141" s="205"/>
      <c r="RUK141" s="204"/>
      <c r="RUL141" s="205"/>
      <c r="RUM141" s="204"/>
      <c r="RUN141" s="205"/>
      <c r="RUO141" s="204"/>
      <c r="RUP141" s="205"/>
      <c r="RUQ141" s="204"/>
      <c r="RUR141" s="205"/>
      <c r="RUS141" s="204"/>
      <c r="RUT141" s="205"/>
      <c r="RUU141" s="204"/>
      <c r="RUV141" s="205"/>
      <c r="RUW141" s="204"/>
      <c r="RUX141" s="205"/>
      <c r="RUY141" s="204"/>
      <c r="RUZ141" s="205"/>
      <c r="RVA141" s="204"/>
      <c r="RVB141" s="205"/>
      <c r="RVC141" s="204"/>
      <c r="RVD141" s="205"/>
      <c r="RVE141" s="204"/>
      <c r="RVF141" s="205"/>
      <c r="RVG141" s="204"/>
      <c r="RVH141" s="205"/>
      <c r="RVI141" s="204"/>
      <c r="RVJ141" s="205"/>
      <c r="RVK141" s="204"/>
      <c r="RVL141" s="205"/>
      <c r="RVM141" s="204"/>
      <c r="RVN141" s="205"/>
      <c r="RVO141" s="204"/>
      <c r="RVP141" s="205"/>
      <c r="RVQ141" s="204"/>
      <c r="RVR141" s="205"/>
      <c r="RVS141" s="204"/>
      <c r="RVT141" s="205"/>
      <c r="RVU141" s="204"/>
      <c r="RVV141" s="205"/>
      <c r="RVW141" s="204"/>
      <c r="RVX141" s="205"/>
      <c r="RVY141" s="204"/>
      <c r="RVZ141" s="205"/>
      <c r="RWA141" s="204"/>
      <c r="RWB141" s="205"/>
      <c r="RWC141" s="204"/>
      <c r="RWD141" s="205"/>
      <c r="RWE141" s="204"/>
      <c r="RWF141" s="205"/>
      <c r="RWG141" s="204"/>
      <c r="RWH141" s="205"/>
      <c r="RWI141" s="204"/>
      <c r="RWJ141" s="205"/>
      <c r="RWK141" s="204"/>
      <c r="RWL141" s="205"/>
      <c r="RWM141" s="204"/>
      <c r="RWN141" s="205"/>
      <c r="RWO141" s="204"/>
      <c r="RWP141" s="205"/>
      <c r="RWQ141" s="204"/>
      <c r="RWR141" s="205"/>
      <c r="RWS141" s="204"/>
      <c r="RWT141" s="205"/>
      <c r="RWU141" s="204"/>
      <c r="RWV141" s="205"/>
      <c r="RWW141" s="204"/>
      <c r="RWX141" s="205"/>
      <c r="RWY141" s="204"/>
      <c r="RWZ141" s="205"/>
      <c r="RXA141" s="204"/>
      <c r="RXB141" s="205"/>
      <c r="RXC141" s="204"/>
      <c r="RXD141" s="205"/>
      <c r="RXE141" s="204"/>
      <c r="RXF141" s="205"/>
      <c r="RXG141" s="204"/>
      <c r="RXH141" s="205"/>
      <c r="RXI141" s="204"/>
      <c r="RXJ141" s="205"/>
      <c r="RXK141" s="204"/>
      <c r="RXL141" s="205"/>
      <c r="RXM141" s="204"/>
      <c r="RXN141" s="205"/>
      <c r="RXO141" s="204"/>
      <c r="RXP141" s="205"/>
      <c r="RXQ141" s="204"/>
      <c r="RXR141" s="205"/>
      <c r="RXS141" s="204"/>
      <c r="RXT141" s="205"/>
      <c r="RXU141" s="204"/>
      <c r="RXV141" s="205"/>
      <c r="RXW141" s="204"/>
      <c r="RXX141" s="205"/>
      <c r="RXY141" s="204"/>
      <c r="RXZ141" s="205"/>
      <c r="RYA141" s="204"/>
      <c r="RYB141" s="205"/>
      <c r="RYC141" s="204"/>
      <c r="RYD141" s="205"/>
      <c r="RYE141" s="204"/>
      <c r="RYF141" s="205"/>
      <c r="RYG141" s="204"/>
      <c r="RYH141" s="205"/>
      <c r="RYI141" s="204"/>
      <c r="RYJ141" s="205"/>
      <c r="RYK141" s="204"/>
      <c r="RYL141" s="205"/>
      <c r="RYM141" s="204"/>
      <c r="RYN141" s="205"/>
      <c r="RYO141" s="204"/>
      <c r="RYP141" s="205"/>
      <c r="RYQ141" s="204"/>
      <c r="RYR141" s="205"/>
      <c r="RYS141" s="204"/>
      <c r="RYT141" s="205"/>
      <c r="RYU141" s="204"/>
      <c r="RYV141" s="205"/>
      <c r="RYW141" s="204"/>
      <c r="RYX141" s="205"/>
      <c r="RYY141" s="204"/>
      <c r="RYZ141" s="205"/>
      <c r="RZA141" s="204"/>
      <c r="RZB141" s="205"/>
      <c r="RZC141" s="204"/>
      <c r="RZD141" s="205"/>
      <c r="RZE141" s="204"/>
      <c r="RZF141" s="205"/>
      <c r="RZG141" s="204"/>
      <c r="RZH141" s="205"/>
      <c r="RZI141" s="204"/>
      <c r="RZJ141" s="205"/>
      <c r="RZK141" s="204"/>
      <c r="RZL141" s="205"/>
      <c r="RZM141" s="204"/>
      <c r="RZN141" s="205"/>
      <c r="RZO141" s="204"/>
      <c r="RZP141" s="205"/>
      <c r="RZQ141" s="204"/>
      <c r="RZR141" s="205"/>
      <c r="RZS141" s="204"/>
      <c r="RZT141" s="205"/>
      <c r="RZU141" s="204"/>
      <c r="RZV141" s="205"/>
      <c r="RZW141" s="204"/>
      <c r="RZX141" s="205"/>
      <c r="RZY141" s="204"/>
      <c r="RZZ141" s="205"/>
      <c r="SAA141" s="204"/>
      <c r="SAB141" s="205"/>
      <c r="SAC141" s="204"/>
      <c r="SAD141" s="205"/>
      <c r="SAE141" s="204"/>
      <c r="SAF141" s="205"/>
      <c r="SAG141" s="204"/>
      <c r="SAH141" s="205"/>
      <c r="SAI141" s="204"/>
      <c r="SAJ141" s="205"/>
      <c r="SAK141" s="204"/>
      <c r="SAL141" s="205"/>
      <c r="SAM141" s="204"/>
      <c r="SAN141" s="205"/>
      <c r="SAO141" s="204"/>
      <c r="SAP141" s="205"/>
      <c r="SAQ141" s="204"/>
      <c r="SAR141" s="205"/>
      <c r="SAS141" s="204"/>
      <c r="SAT141" s="205"/>
      <c r="SAU141" s="204"/>
      <c r="SAV141" s="205"/>
      <c r="SAW141" s="204"/>
      <c r="SAX141" s="205"/>
      <c r="SAY141" s="204"/>
      <c r="SAZ141" s="205"/>
      <c r="SBA141" s="204"/>
      <c r="SBB141" s="205"/>
      <c r="SBC141" s="204"/>
      <c r="SBD141" s="205"/>
      <c r="SBE141" s="204"/>
      <c r="SBF141" s="205"/>
      <c r="SBG141" s="204"/>
      <c r="SBH141" s="205"/>
      <c r="SBI141" s="204"/>
      <c r="SBJ141" s="205"/>
      <c r="SBK141" s="204"/>
      <c r="SBL141" s="205"/>
      <c r="SBM141" s="204"/>
      <c r="SBN141" s="205"/>
      <c r="SBO141" s="204"/>
      <c r="SBP141" s="205"/>
      <c r="SBQ141" s="204"/>
      <c r="SBR141" s="205"/>
      <c r="SBS141" s="204"/>
      <c r="SBT141" s="205"/>
      <c r="SBU141" s="204"/>
      <c r="SBV141" s="205"/>
      <c r="SBW141" s="204"/>
      <c r="SBX141" s="205"/>
      <c r="SBY141" s="204"/>
      <c r="SBZ141" s="205"/>
      <c r="SCA141" s="204"/>
      <c r="SCB141" s="205"/>
      <c r="SCC141" s="204"/>
      <c r="SCD141" s="205"/>
      <c r="SCE141" s="204"/>
      <c r="SCF141" s="205"/>
      <c r="SCG141" s="204"/>
      <c r="SCH141" s="205"/>
      <c r="SCI141" s="204"/>
      <c r="SCJ141" s="205"/>
      <c r="SCK141" s="204"/>
      <c r="SCL141" s="205"/>
      <c r="SCM141" s="204"/>
      <c r="SCN141" s="205"/>
      <c r="SCO141" s="204"/>
      <c r="SCP141" s="205"/>
      <c r="SCQ141" s="204"/>
      <c r="SCR141" s="205"/>
      <c r="SCS141" s="204"/>
      <c r="SCT141" s="205"/>
      <c r="SCU141" s="204"/>
      <c r="SCV141" s="205"/>
      <c r="SCW141" s="204"/>
      <c r="SCX141" s="205"/>
      <c r="SCY141" s="204"/>
      <c r="SCZ141" s="205"/>
      <c r="SDA141" s="204"/>
      <c r="SDB141" s="205"/>
      <c r="SDC141" s="204"/>
      <c r="SDD141" s="205"/>
      <c r="SDE141" s="204"/>
      <c r="SDF141" s="205"/>
      <c r="SDG141" s="204"/>
      <c r="SDH141" s="205"/>
      <c r="SDI141" s="204"/>
      <c r="SDJ141" s="205"/>
      <c r="SDK141" s="204"/>
      <c r="SDL141" s="205"/>
      <c r="SDM141" s="204"/>
      <c r="SDN141" s="205"/>
      <c r="SDO141" s="204"/>
      <c r="SDP141" s="205"/>
      <c r="SDQ141" s="204"/>
      <c r="SDR141" s="205"/>
      <c r="SDS141" s="204"/>
      <c r="SDT141" s="205"/>
      <c r="SDU141" s="204"/>
      <c r="SDV141" s="205"/>
      <c r="SDW141" s="204"/>
      <c r="SDX141" s="205"/>
      <c r="SDY141" s="204"/>
      <c r="SDZ141" s="205"/>
      <c r="SEA141" s="204"/>
      <c r="SEB141" s="205"/>
      <c r="SEC141" s="204"/>
      <c r="SED141" s="205"/>
      <c r="SEE141" s="204"/>
      <c r="SEF141" s="205"/>
      <c r="SEG141" s="204"/>
      <c r="SEH141" s="205"/>
      <c r="SEI141" s="204"/>
      <c r="SEJ141" s="205"/>
      <c r="SEK141" s="204"/>
      <c r="SEL141" s="205"/>
      <c r="SEM141" s="204"/>
      <c r="SEN141" s="205"/>
      <c r="SEO141" s="204"/>
      <c r="SEP141" s="205"/>
      <c r="SEQ141" s="204"/>
      <c r="SER141" s="205"/>
      <c r="SES141" s="204"/>
      <c r="SET141" s="205"/>
      <c r="SEU141" s="204"/>
      <c r="SEV141" s="205"/>
      <c r="SEW141" s="204"/>
      <c r="SEX141" s="205"/>
      <c r="SEY141" s="204"/>
      <c r="SEZ141" s="205"/>
      <c r="SFA141" s="204"/>
      <c r="SFB141" s="205"/>
      <c r="SFC141" s="204"/>
      <c r="SFD141" s="205"/>
      <c r="SFE141" s="204"/>
      <c r="SFF141" s="205"/>
      <c r="SFG141" s="204"/>
      <c r="SFH141" s="205"/>
      <c r="SFI141" s="204"/>
      <c r="SFJ141" s="205"/>
      <c r="SFK141" s="204"/>
      <c r="SFL141" s="205"/>
      <c r="SFM141" s="204"/>
      <c r="SFN141" s="205"/>
      <c r="SFO141" s="204"/>
      <c r="SFP141" s="205"/>
      <c r="SFQ141" s="204"/>
      <c r="SFR141" s="205"/>
      <c r="SFS141" s="204"/>
      <c r="SFT141" s="205"/>
      <c r="SFU141" s="204"/>
      <c r="SFV141" s="205"/>
      <c r="SFW141" s="204"/>
      <c r="SFX141" s="205"/>
      <c r="SFY141" s="204"/>
      <c r="SFZ141" s="205"/>
      <c r="SGA141" s="204"/>
      <c r="SGB141" s="205"/>
      <c r="SGC141" s="204"/>
      <c r="SGD141" s="205"/>
      <c r="SGE141" s="204"/>
      <c r="SGF141" s="205"/>
      <c r="SGG141" s="204"/>
      <c r="SGH141" s="205"/>
      <c r="SGI141" s="204"/>
      <c r="SGJ141" s="205"/>
      <c r="SGK141" s="204"/>
      <c r="SGL141" s="205"/>
      <c r="SGM141" s="204"/>
      <c r="SGN141" s="205"/>
      <c r="SGO141" s="204"/>
      <c r="SGP141" s="205"/>
      <c r="SGQ141" s="204"/>
      <c r="SGR141" s="205"/>
      <c r="SGS141" s="204"/>
      <c r="SGT141" s="205"/>
      <c r="SGU141" s="204"/>
      <c r="SGV141" s="205"/>
      <c r="SGW141" s="204"/>
      <c r="SGX141" s="205"/>
      <c r="SGY141" s="204"/>
      <c r="SGZ141" s="205"/>
      <c r="SHA141" s="204"/>
      <c r="SHB141" s="205"/>
      <c r="SHC141" s="204"/>
      <c r="SHD141" s="205"/>
      <c r="SHE141" s="204"/>
      <c r="SHF141" s="205"/>
      <c r="SHG141" s="204"/>
      <c r="SHH141" s="205"/>
      <c r="SHI141" s="204"/>
      <c r="SHJ141" s="205"/>
      <c r="SHK141" s="204"/>
      <c r="SHL141" s="205"/>
      <c r="SHM141" s="204"/>
      <c r="SHN141" s="205"/>
      <c r="SHO141" s="204"/>
      <c r="SHP141" s="205"/>
      <c r="SHQ141" s="204"/>
      <c r="SHR141" s="205"/>
      <c r="SHS141" s="204"/>
      <c r="SHT141" s="205"/>
      <c r="SHU141" s="204"/>
      <c r="SHV141" s="205"/>
      <c r="SHW141" s="204"/>
      <c r="SHX141" s="205"/>
      <c r="SHY141" s="204"/>
      <c r="SHZ141" s="205"/>
      <c r="SIA141" s="204"/>
      <c r="SIB141" s="205"/>
      <c r="SIC141" s="204"/>
      <c r="SID141" s="205"/>
      <c r="SIE141" s="204"/>
      <c r="SIF141" s="205"/>
      <c r="SIG141" s="204"/>
      <c r="SIH141" s="205"/>
      <c r="SII141" s="204"/>
      <c r="SIJ141" s="205"/>
      <c r="SIK141" s="204"/>
      <c r="SIL141" s="205"/>
      <c r="SIM141" s="204"/>
      <c r="SIN141" s="205"/>
      <c r="SIO141" s="204"/>
      <c r="SIP141" s="205"/>
      <c r="SIQ141" s="204"/>
      <c r="SIR141" s="205"/>
      <c r="SIS141" s="204"/>
      <c r="SIT141" s="205"/>
      <c r="SIU141" s="204"/>
      <c r="SIV141" s="205"/>
      <c r="SIW141" s="204"/>
      <c r="SIX141" s="205"/>
      <c r="SIY141" s="204"/>
      <c r="SIZ141" s="205"/>
      <c r="SJA141" s="204"/>
      <c r="SJB141" s="205"/>
      <c r="SJC141" s="204"/>
      <c r="SJD141" s="205"/>
      <c r="SJE141" s="204"/>
      <c r="SJF141" s="205"/>
      <c r="SJG141" s="204"/>
      <c r="SJH141" s="205"/>
      <c r="SJI141" s="204"/>
      <c r="SJJ141" s="205"/>
      <c r="SJK141" s="204"/>
      <c r="SJL141" s="205"/>
      <c r="SJM141" s="204"/>
      <c r="SJN141" s="205"/>
      <c r="SJO141" s="204"/>
      <c r="SJP141" s="205"/>
      <c r="SJQ141" s="204"/>
      <c r="SJR141" s="205"/>
      <c r="SJS141" s="204"/>
      <c r="SJT141" s="205"/>
      <c r="SJU141" s="204"/>
      <c r="SJV141" s="205"/>
      <c r="SJW141" s="204"/>
      <c r="SJX141" s="205"/>
      <c r="SJY141" s="204"/>
      <c r="SJZ141" s="205"/>
      <c r="SKA141" s="204"/>
      <c r="SKB141" s="205"/>
      <c r="SKC141" s="204"/>
      <c r="SKD141" s="205"/>
      <c r="SKE141" s="204"/>
      <c r="SKF141" s="205"/>
      <c r="SKG141" s="204"/>
      <c r="SKH141" s="205"/>
      <c r="SKI141" s="204"/>
      <c r="SKJ141" s="205"/>
      <c r="SKK141" s="204"/>
      <c r="SKL141" s="205"/>
      <c r="SKM141" s="204"/>
      <c r="SKN141" s="205"/>
      <c r="SKO141" s="204"/>
      <c r="SKP141" s="205"/>
      <c r="SKQ141" s="204"/>
      <c r="SKR141" s="205"/>
      <c r="SKS141" s="204"/>
      <c r="SKT141" s="205"/>
      <c r="SKU141" s="204"/>
      <c r="SKV141" s="205"/>
      <c r="SKW141" s="204"/>
      <c r="SKX141" s="205"/>
      <c r="SKY141" s="204"/>
      <c r="SKZ141" s="205"/>
      <c r="SLA141" s="204"/>
      <c r="SLB141" s="205"/>
      <c r="SLC141" s="204"/>
      <c r="SLD141" s="205"/>
      <c r="SLE141" s="204"/>
      <c r="SLF141" s="205"/>
      <c r="SLG141" s="204"/>
      <c r="SLH141" s="205"/>
      <c r="SLI141" s="204"/>
      <c r="SLJ141" s="205"/>
      <c r="SLK141" s="204"/>
      <c r="SLL141" s="205"/>
      <c r="SLM141" s="204"/>
      <c r="SLN141" s="205"/>
      <c r="SLO141" s="204"/>
      <c r="SLP141" s="205"/>
      <c r="SLQ141" s="204"/>
      <c r="SLR141" s="205"/>
      <c r="SLS141" s="204"/>
      <c r="SLT141" s="205"/>
      <c r="SLU141" s="204"/>
      <c r="SLV141" s="205"/>
      <c r="SLW141" s="204"/>
      <c r="SLX141" s="205"/>
      <c r="SLY141" s="204"/>
      <c r="SLZ141" s="205"/>
      <c r="SMA141" s="204"/>
      <c r="SMB141" s="205"/>
      <c r="SMC141" s="204"/>
      <c r="SMD141" s="205"/>
      <c r="SME141" s="204"/>
      <c r="SMF141" s="205"/>
      <c r="SMG141" s="204"/>
      <c r="SMH141" s="205"/>
      <c r="SMI141" s="204"/>
      <c r="SMJ141" s="205"/>
      <c r="SMK141" s="204"/>
      <c r="SML141" s="205"/>
      <c r="SMM141" s="204"/>
      <c r="SMN141" s="205"/>
      <c r="SMO141" s="204"/>
      <c r="SMP141" s="205"/>
      <c r="SMQ141" s="204"/>
      <c r="SMR141" s="205"/>
      <c r="SMS141" s="204"/>
      <c r="SMT141" s="205"/>
      <c r="SMU141" s="204"/>
      <c r="SMV141" s="205"/>
      <c r="SMW141" s="204"/>
      <c r="SMX141" s="205"/>
      <c r="SMY141" s="204"/>
      <c r="SMZ141" s="205"/>
      <c r="SNA141" s="204"/>
      <c r="SNB141" s="205"/>
      <c r="SNC141" s="204"/>
      <c r="SND141" s="205"/>
      <c r="SNE141" s="204"/>
      <c r="SNF141" s="205"/>
      <c r="SNG141" s="204"/>
      <c r="SNH141" s="205"/>
      <c r="SNI141" s="204"/>
      <c r="SNJ141" s="205"/>
      <c r="SNK141" s="204"/>
      <c r="SNL141" s="205"/>
      <c r="SNM141" s="204"/>
      <c r="SNN141" s="205"/>
      <c r="SNO141" s="204"/>
      <c r="SNP141" s="205"/>
      <c r="SNQ141" s="204"/>
      <c r="SNR141" s="205"/>
      <c r="SNS141" s="204"/>
      <c r="SNT141" s="205"/>
      <c r="SNU141" s="204"/>
      <c r="SNV141" s="205"/>
      <c r="SNW141" s="204"/>
      <c r="SNX141" s="205"/>
      <c r="SNY141" s="204"/>
      <c r="SNZ141" s="205"/>
      <c r="SOA141" s="204"/>
      <c r="SOB141" s="205"/>
      <c r="SOC141" s="204"/>
      <c r="SOD141" s="205"/>
      <c r="SOE141" s="204"/>
      <c r="SOF141" s="205"/>
      <c r="SOG141" s="204"/>
      <c r="SOH141" s="205"/>
      <c r="SOI141" s="204"/>
      <c r="SOJ141" s="205"/>
      <c r="SOK141" s="204"/>
      <c r="SOL141" s="205"/>
      <c r="SOM141" s="204"/>
      <c r="SON141" s="205"/>
      <c r="SOO141" s="204"/>
      <c r="SOP141" s="205"/>
      <c r="SOQ141" s="204"/>
      <c r="SOR141" s="205"/>
      <c r="SOS141" s="204"/>
      <c r="SOT141" s="205"/>
      <c r="SOU141" s="204"/>
      <c r="SOV141" s="205"/>
      <c r="SOW141" s="204"/>
      <c r="SOX141" s="205"/>
      <c r="SOY141" s="204"/>
      <c r="SOZ141" s="205"/>
      <c r="SPA141" s="204"/>
      <c r="SPB141" s="205"/>
      <c r="SPC141" s="204"/>
      <c r="SPD141" s="205"/>
      <c r="SPE141" s="204"/>
      <c r="SPF141" s="205"/>
      <c r="SPG141" s="204"/>
      <c r="SPH141" s="205"/>
      <c r="SPI141" s="204"/>
      <c r="SPJ141" s="205"/>
      <c r="SPK141" s="204"/>
      <c r="SPL141" s="205"/>
      <c r="SPM141" s="204"/>
      <c r="SPN141" s="205"/>
      <c r="SPO141" s="204"/>
      <c r="SPP141" s="205"/>
      <c r="SPQ141" s="204"/>
      <c r="SPR141" s="205"/>
      <c r="SPS141" s="204"/>
      <c r="SPT141" s="205"/>
      <c r="SPU141" s="204"/>
      <c r="SPV141" s="205"/>
      <c r="SPW141" s="204"/>
      <c r="SPX141" s="205"/>
      <c r="SPY141" s="204"/>
      <c r="SPZ141" s="205"/>
      <c r="SQA141" s="204"/>
      <c r="SQB141" s="205"/>
      <c r="SQC141" s="204"/>
      <c r="SQD141" s="205"/>
      <c r="SQE141" s="204"/>
      <c r="SQF141" s="205"/>
      <c r="SQG141" s="204"/>
      <c r="SQH141" s="205"/>
      <c r="SQI141" s="204"/>
      <c r="SQJ141" s="205"/>
      <c r="SQK141" s="204"/>
      <c r="SQL141" s="205"/>
      <c r="SQM141" s="204"/>
      <c r="SQN141" s="205"/>
      <c r="SQO141" s="204"/>
      <c r="SQP141" s="205"/>
      <c r="SQQ141" s="204"/>
      <c r="SQR141" s="205"/>
      <c r="SQS141" s="204"/>
      <c r="SQT141" s="205"/>
      <c r="SQU141" s="204"/>
      <c r="SQV141" s="205"/>
      <c r="SQW141" s="204"/>
      <c r="SQX141" s="205"/>
      <c r="SQY141" s="204"/>
      <c r="SQZ141" s="205"/>
      <c r="SRA141" s="204"/>
      <c r="SRB141" s="205"/>
      <c r="SRC141" s="204"/>
      <c r="SRD141" s="205"/>
      <c r="SRE141" s="204"/>
      <c r="SRF141" s="205"/>
      <c r="SRG141" s="204"/>
      <c r="SRH141" s="205"/>
      <c r="SRI141" s="204"/>
      <c r="SRJ141" s="205"/>
      <c r="SRK141" s="204"/>
      <c r="SRL141" s="205"/>
      <c r="SRM141" s="204"/>
      <c r="SRN141" s="205"/>
      <c r="SRO141" s="204"/>
      <c r="SRP141" s="205"/>
      <c r="SRQ141" s="204"/>
      <c r="SRR141" s="205"/>
      <c r="SRS141" s="204"/>
      <c r="SRT141" s="205"/>
      <c r="SRU141" s="204"/>
      <c r="SRV141" s="205"/>
      <c r="SRW141" s="204"/>
      <c r="SRX141" s="205"/>
      <c r="SRY141" s="204"/>
      <c r="SRZ141" s="205"/>
      <c r="SSA141" s="204"/>
      <c r="SSB141" s="205"/>
      <c r="SSC141" s="204"/>
      <c r="SSD141" s="205"/>
      <c r="SSE141" s="204"/>
      <c r="SSF141" s="205"/>
      <c r="SSG141" s="204"/>
      <c r="SSH141" s="205"/>
      <c r="SSI141" s="204"/>
      <c r="SSJ141" s="205"/>
      <c r="SSK141" s="204"/>
      <c r="SSL141" s="205"/>
      <c r="SSM141" s="204"/>
      <c r="SSN141" s="205"/>
      <c r="SSO141" s="204"/>
      <c r="SSP141" s="205"/>
      <c r="SSQ141" s="204"/>
      <c r="SSR141" s="205"/>
      <c r="SSS141" s="204"/>
      <c r="SST141" s="205"/>
      <c r="SSU141" s="204"/>
      <c r="SSV141" s="205"/>
      <c r="SSW141" s="204"/>
      <c r="SSX141" s="205"/>
      <c r="SSY141" s="204"/>
      <c r="SSZ141" s="205"/>
      <c r="STA141" s="204"/>
      <c r="STB141" s="205"/>
      <c r="STC141" s="204"/>
      <c r="STD141" s="205"/>
      <c r="STE141" s="204"/>
      <c r="STF141" s="205"/>
      <c r="STG141" s="204"/>
      <c r="STH141" s="205"/>
      <c r="STI141" s="204"/>
      <c r="STJ141" s="205"/>
      <c r="STK141" s="204"/>
      <c r="STL141" s="205"/>
      <c r="STM141" s="204"/>
      <c r="STN141" s="205"/>
      <c r="STO141" s="204"/>
      <c r="STP141" s="205"/>
      <c r="STQ141" s="204"/>
      <c r="STR141" s="205"/>
      <c r="STS141" s="204"/>
      <c r="STT141" s="205"/>
      <c r="STU141" s="204"/>
      <c r="STV141" s="205"/>
      <c r="STW141" s="204"/>
      <c r="STX141" s="205"/>
      <c r="STY141" s="204"/>
      <c r="STZ141" s="205"/>
      <c r="SUA141" s="204"/>
      <c r="SUB141" s="205"/>
      <c r="SUC141" s="204"/>
      <c r="SUD141" s="205"/>
      <c r="SUE141" s="204"/>
      <c r="SUF141" s="205"/>
      <c r="SUG141" s="204"/>
      <c r="SUH141" s="205"/>
      <c r="SUI141" s="204"/>
      <c r="SUJ141" s="205"/>
      <c r="SUK141" s="204"/>
      <c r="SUL141" s="205"/>
      <c r="SUM141" s="204"/>
      <c r="SUN141" s="205"/>
      <c r="SUO141" s="204"/>
      <c r="SUP141" s="205"/>
      <c r="SUQ141" s="204"/>
      <c r="SUR141" s="205"/>
      <c r="SUS141" s="204"/>
      <c r="SUT141" s="205"/>
      <c r="SUU141" s="204"/>
      <c r="SUV141" s="205"/>
      <c r="SUW141" s="204"/>
      <c r="SUX141" s="205"/>
      <c r="SUY141" s="204"/>
      <c r="SUZ141" s="205"/>
      <c r="SVA141" s="204"/>
      <c r="SVB141" s="205"/>
      <c r="SVC141" s="204"/>
      <c r="SVD141" s="205"/>
      <c r="SVE141" s="204"/>
      <c r="SVF141" s="205"/>
      <c r="SVG141" s="204"/>
      <c r="SVH141" s="205"/>
      <c r="SVI141" s="204"/>
      <c r="SVJ141" s="205"/>
      <c r="SVK141" s="204"/>
      <c r="SVL141" s="205"/>
      <c r="SVM141" s="204"/>
      <c r="SVN141" s="205"/>
      <c r="SVO141" s="204"/>
      <c r="SVP141" s="205"/>
      <c r="SVQ141" s="204"/>
      <c r="SVR141" s="205"/>
      <c r="SVS141" s="204"/>
      <c r="SVT141" s="205"/>
      <c r="SVU141" s="204"/>
      <c r="SVV141" s="205"/>
      <c r="SVW141" s="204"/>
      <c r="SVX141" s="205"/>
      <c r="SVY141" s="204"/>
      <c r="SVZ141" s="205"/>
      <c r="SWA141" s="204"/>
      <c r="SWB141" s="205"/>
      <c r="SWC141" s="204"/>
      <c r="SWD141" s="205"/>
      <c r="SWE141" s="204"/>
      <c r="SWF141" s="205"/>
      <c r="SWG141" s="204"/>
      <c r="SWH141" s="205"/>
      <c r="SWI141" s="204"/>
      <c r="SWJ141" s="205"/>
      <c r="SWK141" s="204"/>
      <c r="SWL141" s="205"/>
      <c r="SWM141" s="204"/>
      <c r="SWN141" s="205"/>
      <c r="SWO141" s="204"/>
      <c r="SWP141" s="205"/>
      <c r="SWQ141" s="204"/>
      <c r="SWR141" s="205"/>
      <c r="SWS141" s="204"/>
      <c r="SWT141" s="205"/>
      <c r="SWU141" s="204"/>
      <c r="SWV141" s="205"/>
      <c r="SWW141" s="204"/>
      <c r="SWX141" s="205"/>
      <c r="SWY141" s="204"/>
      <c r="SWZ141" s="205"/>
      <c r="SXA141" s="204"/>
      <c r="SXB141" s="205"/>
      <c r="SXC141" s="204"/>
      <c r="SXD141" s="205"/>
      <c r="SXE141" s="204"/>
      <c r="SXF141" s="205"/>
      <c r="SXG141" s="204"/>
      <c r="SXH141" s="205"/>
      <c r="SXI141" s="204"/>
      <c r="SXJ141" s="205"/>
      <c r="SXK141" s="204"/>
      <c r="SXL141" s="205"/>
      <c r="SXM141" s="204"/>
      <c r="SXN141" s="205"/>
      <c r="SXO141" s="204"/>
      <c r="SXP141" s="205"/>
      <c r="SXQ141" s="204"/>
      <c r="SXR141" s="205"/>
      <c r="SXS141" s="204"/>
      <c r="SXT141" s="205"/>
      <c r="SXU141" s="204"/>
      <c r="SXV141" s="205"/>
      <c r="SXW141" s="204"/>
      <c r="SXX141" s="205"/>
      <c r="SXY141" s="204"/>
      <c r="SXZ141" s="205"/>
      <c r="SYA141" s="204"/>
      <c r="SYB141" s="205"/>
      <c r="SYC141" s="204"/>
      <c r="SYD141" s="205"/>
      <c r="SYE141" s="204"/>
      <c r="SYF141" s="205"/>
      <c r="SYG141" s="204"/>
      <c r="SYH141" s="205"/>
      <c r="SYI141" s="204"/>
      <c r="SYJ141" s="205"/>
      <c r="SYK141" s="204"/>
      <c r="SYL141" s="205"/>
      <c r="SYM141" s="204"/>
      <c r="SYN141" s="205"/>
      <c r="SYO141" s="204"/>
      <c r="SYP141" s="205"/>
      <c r="SYQ141" s="204"/>
      <c r="SYR141" s="205"/>
      <c r="SYS141" s="204"/>
      <c r="SYT141" s="205"/>
      <c r="SYU141" s="204"/>
      <c r="SYV141" s="205"/>
      <c r="SYW141" s="204"/>
      <c r="SYX141" s="205"/>
      <c r="SYY141" s="204"/>
      <c r="SYZ141" s="205"/>
      <c r="SZA141" s="204"/>
      <c r="SZB141" s="205"/>
      <c r="SZC141" s="204"/>
      <c r="SZD141" s="205"/>
      <c r="SZE141" s="204"/>
      <c r="SZF141" s="205"/>
      <c r="SZG141" s="204"/>
      <c r="SZH141" s="205"/>
      <c r="SZI141" s="204"/>
      <c r="SZJ141" s="205"/>
      <c r="SZK141" s="204"/>
      <c r="SZL141" s="205"/>
      <c r="SZM141" s="204"/>
      <c r="SZN141" s="205"/>
      <c r="SZO141" s="204"/>
      <c r="SZP141" s="205"/>
      <c r="SZQ141" s="204"/>
      <c r="SZR141" s="205"/>
      <c r="SZS141" s="204"/>
      <c r="SZT141" s="205"/>
      <c r="SZU141" s="204"/>
      <c r="SZV141" s="205"/>
      <c r="SZW141" s="204"/>
      <c r="SZX141" s="205"/>
      <c r="SZY141" s="204"/>
      <c r="SZZ141" s="205"/>
      <c r="TAA141" s="204"/>
      <c r="TAB141" s="205"/>
      <c r="TAC141" s="204"/>
      <c r="TAD141" s="205"/>
      <c r="TAE141" s="204"/>
      <c r="TAF141" s="205"/>
      <c r="TAG141" s="204"/>
      <c r="TAH141" s="205"/>
      <c r="TAI141" s="204"/>
      <c r="TAJ141" s="205"/>
      <c r="TAK141" s="204"/>
      <c r="TAL141" s="205"/>
      <c r="TAM141" s="204"/>
      <c r="TAN141" s="205"/>
      <c r="TAO141" s="204"/>
      <c r="TAP141" s="205"/>
      <c r="TAQ141" s="204"/>
      <c r="TAR141" s="205"/>
      <c r="TAS141" s="204"/>
      <c r="TAT141" s="205"/>
      <c r="TAU141" s="204"/>
      <c r="TAV141" s="205"/>
      <c r="TAW141" s="204"/>
      <c r="TAX141" s="205"/>
      <c r="TAY141" s="204"/>
      <c r="TAZ141" s="205"/>
      <c r="TBA141" s="204"/>
      <c r="TBB141" s="205"/>
      <c r="TBC141" s="204"/>
      <c r="TBD141" s="205"/>
      <c r="TBE141" s="204"/>
      <c r="TBF141" s="205"/>
      <c r="TBG141" s="204"/>
      <c r="TBH141" s="205"/>
      <c r="TBI141" s="204"/>
      <c r="TBJ141" s="205"/>
      <c r="TBK141" s="204"/>
      <c r="TBL141" s="205"/>
      <c r="TBM141" s="204"/>
      <c r="TBN141" s="205"/>
      <c r="TBO141" s="204"/>
      <c r="TBP141" s="205"/>
      <c r="TBQ141" s="204"/>
      <c r="TBR141" s="205"/>
      <c r="TBS141" s="204"/>
      <c r="TBT141" s="205"/>
      <c r="TBU141" s="204"/>
      <c r="TBV141" s="205"/>
      <c r="TBW141" s="204"/>
      <c r="TBX141" s="205"/>
      <c r="TBY141" s="204"/>
      <c r="TBZ141" s="205"/>
      <c r="TCA141" s="204"/>
      <c r="TCB141" s="205"/>
      <c r="TCC141" s="204"/>
      <c r="TCD141" s="205"/>
      <c r="TCE141" s="204"/>
      <c r="TCF141" s="205"/>
      <c r="TCG141" s="204"/>
      <c r="TCH141" s="205"/>
      <c r="TCI141" s="204"/>
      <c r="TCJ141" s="205"/>
      <c r="TCK141" s="204"/>
      <c r="TCL141" s="205"/>
      <c r="TCM141" s="204"/>
      <c r="TCN141" s="205"/>
      <c r="TCO141" s="204"/>
      <c r="TCP141" s="205"/>
      <c r="TCQ141" s="204"/>
      <c r="TCR141" s="205"/>
      <c r="TCS141" s="204"/>
      <c r="TCT141" s="205"/>
      <c r="TCU141" s="204"/>
      <c r="TCV141" s="205"/>
      <c r="TCW141" s="204"/>
      <c r="TCX141" s="205"/>
      <c r="TCY141" s="204"/>
      <c r="TCZ141" s="205"/>
      <c r="TDA141" s="204"/>
      <c r="TDB141" s="205"/>
      <c r="TDC141" s="204"/>
      <c r="TDD141" s="205"/>
      <c r="TDE141" s="204"/>
      <c r="TDF141" s="205"/>
      <c r="TDG141" s="204"/>
      <c r="TDH141" s="205"/>
      <c r="TDI141" s="204"/>
      <c r="TDJ141" s="205"/>
      <c r="TDK141" s="204"/>
      <c r="TDL141" s="205"/>
      <c r="TDM141" s="204"/>
      <c r="TDN141" s="205"/>
      <c r="TDO141" s="204"/>
      <c r="TDP141" s="205"/>
      <c r="TDQ141" s="204"/>
      <c r="TDR141" s="205"/>
      <c r="TDS141" s="204"/>
      <c r="TDT141" s="205"/>
      <c r="TDU141" s="204"/>
      <c r="TDV141" s="205"/>
      <c r="TDW141" s="204"/>
      <c r="TDX141" s="205"/>
      <c r="TDY141" s="204"/>
      <c r="TDZ141" s="205"/>
      <c r="TEA141" s="204"/>
      <c r="TEB141" s="205"/>
      <c r="TEC141" s="204"/>
      <c r="TED141" s="205"/>
      <c r="TEE141" s="204"/>
      <c r="TEF141" s="205"/>
      <c r="TEG141" s="204"/>
      <c r="TEH141" s="205"/>
      <c r="TEI141" s="204"/>
      <c r="TEJ141" s="205"/>
      <c r="TEK141" s="204"/>
      <c r="TEL141" s="205"/>
      <c r="TEM141" s="204"/>
      <c r="TEN141" s="205"/>
      <c r="TEO141" s="204"/>
      <c r="TEP141" s="205"/>
      <c r="TEQ141" s="204"/>
      <c r="TER141" s="205"/>
      <c r="TES141" s="204"/>
      <c r="TET141" s="205"/>
      <c r="TEU141" s="204"/>
      <c r="TEV141" s="205"/>
      <c r="TEW141" s="204"/>
      <c r="TEX141" s="205"/>
      <c r="TEY141" s="204"/>
      <c r="TEZ141" s="205"/>
      <c r="TFA141" s="204"/>
      <c r="TFB141" s="205"/>
      <c r="TFC141" s="204"/>
      <c r="TFD141" s="205"/>
      <c r="TFE141" s="204"/>
      <c r="TFF141" s="205"/>
      <c r="TFG141" s="204"/>
      <c r="TFH141" s="205"/>
      <c r="TFI141" s="204"/>
      <c r="TFJ141" s="205"/>
      <c r="TFK141" s="204"/>
      <c r="TFL141" s="205"/>
      <c r="TFM141" s="204"/>
      <c r="TFN141" s="205"/>
      <c r="TFO141" s="204"/>
      <c r="TFP141" s="205"/>
      <c r="TFQ141" s="204"/>
      <c r="TFR141" s="205"/>
      <c r="TFS141" s="204"/>
      <c r="TFT141" s="205"/>
      <c r="TFU141" s="204"/>
      <c r="TFV141" s="205"/>
      <c r="TFW141" s="204"/>
      <c r="TFX141" s="205"/>
      <c r="TFY141" s="204"/>
      <c r="TFZ141" s="205"/>
      <c r="TGA141" s="204"/>
      <c r="TGB141" s="205"/>
      <c r="TGC141" s="204"/>
      <c r="TGD141" s="205"/>
      <c r="TGE141" s="204"/>
      <c r="TGF141" s="205"/>
      <c r="TGG141" s="204"/>
      <c r="TGH141" s="205"/>
      <c r="TGI141" s="204"/>
      <c r="TGJ141" s="205"/>
      <c r="TGK141" s="204"/>
      <c r="TGL141" s="205"/>
      <c r="TGM141" s="204"/>
      <c r="TGN141" s="205"/>
      <c r="TGO141" s="204"/>
      <c r="TGP141" s="205"/>
      <c r="TGQ141" s="204"/>
      <c r="TGR141" s="205"/>
      <c r="TGS141" s="204"/>
      <c r="TGT141" s="205"/>
      <c r="TGU141" s="204"/>
      <c r="TGV141" s="205"/>
      <c r="TGW141" s="204"/>
      <c r="TGX141" s="205"/>
      <c r="TGY141" s="204"/>
      <c r="TGZ141" s="205"/>
      <c r="THA141" s="204"/>
      <c r="THB141" s="205"/>
      <c r="THC141" s="204"/>
      <c r="THD141" s="205"/>
      <c r="THE141" s="204"/>
      <c r="THF141" s="205"/>
      <c r="THG141" s="204"/>
      <c r="THH141" s="205"/>
      <c r="THI141" s="204"/>
      <c r="THJ141" s="205"/>
      <c r="THK141" s="204"/>
      <c r="THL141" s="205"/>
      <c r="THM141" s="204"/>
      <c r="THN141" s="205"/>
      <c r="THO141" s="204"/>
      <c r="THP141" s="205"/>
      <c r="THQ141" s="204"/>
      <c r="THR141" s="205"/>
      <c r="THS141" s="204"/>
      <c r="THT141" s="205"/>
      <c r="THU141" s="204"/>
      <c r="THV141" s="205"/>
      <c r="THW141" s="204"/>
      <c r="THX141" s="205"/>
      <c r="THY141" s="204"/>
      <c r="THZ141" s="205"/>
      <c r="TIA141" s="204"/>
      <c r="TIB141" s="205"/>
      <c r="TIC141" s="204"/>
      <c r="TID141" s="205"/>
      <c r="TIE141" s="204"/>
      <c r="TIF141" s="205"/>
      <c r="TIG141" s="204"/>
      <c r="TIH141" s="205"/>
      <c r="TII141" s="204"/>
      <c r="TIJ141" s="205"/>
      <c r="TIK141" s="204"/>
      <c r="TIL141" s="205"/>
      <c r="TIM141" s="204"/>
      <c r="TIN141" s="205"/>
      <c r="TIO141" s="204"/>
      <c r="TIP141" s="205"/>
      <c r="TIQ141" s="204"/>
      <c r="TIR141" s="205"/>
      <c r="TIS141" s="204"/>
      <c r="TIT141" s="205"/>
      <c r="TIU141" s="204"/>
      <c r="TIV141" s="205"/>
      <c r="TIW141" s="204"/>
      <c r="TIX141" s="205"/>
      <c r="TIY141" s="204"/>
      <c r="TIZ141" s="205"/>
      <c r="TJA141" s="204"/>
      <c r="TJB141" s="205"/>
      <c r="TJC141" s="204"/>
      <c r="TJD141" s="205"/>
      <c r="TJE141" s="204"/>
      <c r="TJF141" s="205"/>
      <c r="TJG141" s="204"/>
      <c r="TJH141" s="205"/>
      <c r="TJI141" s="204"/>
      <c r="TJJ141" s="205"/>
      <c r="TJK141" s="204"/>
      <c r="TJL141" s="205"/>
      <c r="TJM141" s="204"/>
      <c r="TJN141" s="205"/>
      <c r="TJO141" s="204"/>
      <c r="TJP141" s="205"/>
      <c r="TJQ141" s="204"/>
      <c r="TJR141" s="205"/>
      <c r="TJS141" s="204"/>
      <c r="TJT141" s="205"/>
      <c r="TJU141" s="204"/>
      <c r="TJV141" s="205"/>
      <c r="TJW141" s="204"/>
      <c r="TJX141" s="205"/>
      <c r="TJY141" s="204"/>
      <c r="TJZ141" s="205"/>
      <c r="TKA141" s="204"/>
      <c r="TKB141" s="205"/>
      <c r="TKC141" s="204"/>
      <c r="TKD141" s="205"/>
      <c r="TKE141" s="204"/>
      <c r="TKF141" s="205"/>
      <c r="TKG141" s="204"/>
      <c r="TKH141" s="205"/>
      <c r="TKI141" s="204"/>
      <c r="TKJ141" s="205"/>
      <c r="TKK141" s="204"/>
      <c r="TKL141" s="205"/>
      <c r="TKM141" s="204"/>
      <c r="TKN141" s="205"/>
      <c r="TKO141" s="204"/>
      <c r="TKP141" s="205"/>
      <c r="TKQ141" s="204"/>
      <c r="TKR141" s="205"/>
      <c r="TKS141" s="204"/>
      <c r="TKT141" s="205"/>
      <c r="TKU141" s="204"/>
      <c r="TKV141" s="205"/>
      <c r="TKW141" s="204"/>
      <c r="TKX141" s="205"/>
      <c r="TKY141" s="204"/>
      <c r="TKZ141" s="205"/>
      <c r="TLA141" s="204"/>
      <c r="TLB141" s="205"/>
      <c r="TLC141" s="204"/>
      <c r="TLD141" s="205"/>
      <c r="TLE141" s="204"/>
      <c r="TLF141" s="205"/>
      <c r="TLG141" s="204"/>
      <c r="TLH141" s="205"/>
      <c r="TLI141" s="204"/>
      <c r="TLJ141" s="205"/>
      <c r="TLK141" s="204"/>
      <c r="TLL141" s="205"/>
      <c r="TLM141" s="204"/>
      <c r="TLN141" s="205"/>
      <c r="TLO141" s="204"/>
      <c r="TLP141" s="205"/>
      <c r="TLQ141" s="204"/>
      <c r="TLR141" s="205"/>
      <c r="TLS141" s="204"/>
      <c r="TLT141" s="205"/>
      <c r="TLU141" s="204"/>
      <c r="TLV141" s="205"/>
      <c r="TLW141" s="204"/>
      <c r="TLX141" s="205"/>
      <c r="TLY141" s="204"/>
      <c r="TLZ141" s="205"/>
      <c r="TMA141" s="204"/>
      <c r="TMB141" s="205"/>
      <c r="TMC141" s="204"/>
      <c r="TMD141" s="205"/>
      <c r="TME141" s="204"/>
      <c r="TMF141" s="205"/>
      <c r="TMG141" s="204"/>
      <c r="TMH141" s="205"/>
      <c r="TMI141" s="204"/>
      <c r="TMJ141" s="205"/>
      <c r="TMK141" s="204"/>
      <c r="TML141" s="205"/>
      <c r="TMM141" s="204"/>
      <c r="TMN141" s="205"/>
      <c r="TMO141" s="204"/>
      <c r="TMP141" s="205"/>
      <c r="TMQ141" s="204"/>
      <c r="TMR141" s="205"/>
      <c r="TMS141" s="204"/>
      <c r="TMT141" s="205"/>
      <c r="TMU141" s="204"/>
      <c r="TMV141" s="205"/>
      <c r="TMW141" s="204"/>
      <c r="TMX141" s="205"/>
      <c r="TMY141" s="204"/>
      <c r="TMZ141" s="205"/>
      <c r="TNA141" s="204"/>
      <c r="TNB141" s="205"/>
      <c r="TNC141" s="204"/>
      <c r="TND141" s="205"/>
      <c r="TNE141" s="204"/>
      <c r="TNF141" s="205"/>
      <c r="TNG141" s="204"/>
      <c r="TNH141" s="205"/>
      <c r="TNI141" s="204"/>
      <c r="TNJ141" s="205"/>
      <c r="TNK141" s="204"/>
      <c r="TNL141" s="205"/>
      <c r="TNM141" s="204"/>
      <c r="TNN141" s="205"/>
      <c r="TNO141" s="204"/>
      <c r="TNP141" s="205"/>
      <c r="TNQ141" s="204"/>
      <c r="TNR141" s="205"/>
      <c r="TNS141" s="204"/>
      <c r="TNT141" s="205"/>
      <c r="TNU141" s="204"/>
      <c r="TNV141" s="205"/>
      <c r="TNW141" s="204"/>
      <c r="TNX141" s="205"/>
      <c r="TNY141" s="204"/>
      <c r="TNZ141" s="205"/>
      <c r="TOA141" s="204"/>
      <c r="TOB141" s="205"/>
      <c r="TOC141" s="204"/>
      <c r="TOD141" s="205"/>
      <c r="TOE141" s="204"/>
      <c r="TOF141" s="205"/>
      <c r="TOG141" s="204"/>
      <c r="TOH141" s="205"/>
      <c r="TOI141" s="204"/>
      <c r="TOJ141" s="205"/>
      <c r="TOK141" s="204"/>
      <c r="TOL141" s="205"/>
      <c r="TOM141" s="204"/>
      <c r="TON141" s="205"/>
      <c r="TOO141" s="204"/>
      <c r="TOP141" s="205"/>
      <c r="TOQ141" s="204"/>
      <c r="TOR141" s="205"/>
      <c r="TOS141" s="204"/>
      <c r="TOT141" s="205"/>
      <c r="TOU141" s="204"/>
      <c r="TOV141" s="205"/>
      <c r="TOW141" s="204"/>
      <c r="TOX141" s="205"/>
      <c r="TOY141" s="204"/>
      <c r="TOZ141" s="205"/>
      <c r="TPA141" s="204"/>
      <c r="TPB141" s="205"/>
      <c r="TPC141" s="204"/>
      <c r="TPD141" s="205"/>
      <c r="TPE141" s="204"/>
      <c r="TPF141" s="205"/>
      <c r="TPG141" s="204"/>
      <c r="TPH141" s="205"/>
      <c r="TPI141" s="204"/>
      <c r="TPJ141" s="205"/>
      <c r="TPK141" s="204"/>
      <c r="TPL141" s="205"/>
      <c r="TPM141" s="204"/>
      <c r="TPN141" s="205"/>
      <c r="TPO141" s="204"/>
      <c r="TPP141" s="205"/>
      <c r="TPQ141" s="204"/>
      <c r="TPR141" s="205"/>
      <c r="TPS141" s="204"/>
      <c r="TPT141" s="205"/>
      <c r="TPU141" s="204"/>
      <c r="TPV141" s="205"/>
      <c r="TPW141" s="204"/>
      <c r="TPX141" s="205"/>
      <c r="TPY141" s="204"/>
      <c r="TPZ141" s="205"/>
      <c r="TQA141" s="204"/>
      <c r="TQB141" s="205"/>
      <c r="TQC141" s="204"/>
      <c r="TQD141" s="205"/>
      <c r="TQE141" s="204"/>
      <c r="TQF141" s="205"/>
      <c r="TQG141" s="204"/>
      <c r="TQH141" s="205"/>
      <c r="TQI141" s="204"/>
      <c r="TQJ141" s="205"/>
      <c r="TQK141" s="204"/>
      <c r="TQL141" s="205"/>
      <c r="TQM141" s="204"/>
      <c r="TQN141" s="205"/>
      <c r="TQO141" s="204"/>
      <c r="TQP141" s="205"/>
      <c r="TQQ141" s="204"/>
      <c r="TQR141" s="205"/>
      <c r="TQS141" s="204"/>
      <c r="TQT141" s="205"/>
      <c r="TQU141" s="204"/>
      <c r="TQV141" s="205"/>
      <c r="TQW141" s="204"/>
      <c r="TQX141" s="205"/>
      <c r="TQY141" s="204"/>
      <c r="TQZ141" s="205"/>
      <c r="TRA141" s="204"/>
      <c r="TRB141" s="205"/>
      <c r="TRC141" s="204"/>
      <c r="TRD141" s="205"/>
      <c r="TRE141" s="204"/>
      <c r="TRF141" s="205"/>
      <c r="TRG141" s="204"/>
      <c r="TRH141" s="205"/>
      <c r="TRI141" s="204"/>
      <c r="TRJ141" s="205"/>
      <c r="TRK141" s="204"/>
      <c r="TRL141" s="205"/>
      <c r="TRM141" s="204"/>
      <c r="TRN141" s="205"/>
      <c r="TRO141" s="204"/>
      <c r="TRP141" s="205"/>
      <c r="TRQ141" s="204"/>
      <c r="TRR141" s="205"/>
      <c r="TRS141" s="204"/>
      <c r="TRT141" s="205"/>
      <c r="TRU141" s="204"/>
      <c r="TRV141" s="205"/>
      <c r="TRW141" s="204"/>
      <c r="TRX141" s="205"/>
      <c r="TRY141" s="204"/>
      <c r="TRZ141" s="205"/>
      <c r="TSA141" s="204"/>
      <c r="TSB141" s="205"/>
      <c r="TSC141" s="204"/>
      <c r="TSD141" s="205"/>
      <c r="TSE141" s="204"/>
      <c r="TSF141" s="205"/>
      <c r="TSG141" s="204"/>
      <c r="TSH141" s="205"/>
      <c r="TSI141" s="204"/>
      <c r="TSJ141" s="205"/>
      <c r="TSK141" s="204"/>
      <c r="TSL141" s="205"/>
      <c r="TSM141" s="204"/>
      <c r="TSN141" s="205"/>
      <c r="TSO141" s="204"/>
      <c r="TSP141" s="205"/>
      <c r="TSQ141" s="204"/>
      <c r="TSR141" s="205"/>
      <c r="TSS141" s="204"/>
      <c r="TST141" s="205"/>
      <c r="TSU141" s="204"/>
      <c r="TSV141" s="205"/>
      <c r="TSW141" s="204"/>
      <c r="TSX141" s="205"/>
      <c r="TSY141" s="204"/>
      <c r="TSZ141" s="205"/>
      <c r="TTA141" s="204"/>
      <c r="TTB141" s="205"/>
      <c r="TTC141" s="204"/>
      <c r="TTD141" s="205"/>
      <c r="TTE141" s="204"/>
      <c r="TTF141" s="205"/>
      <c r="TTG141" s="204"/>
      <c r="TTH141" s="205"/>
      <c r="TTI141" s="204"/>
      <c r="TTJ141" s="205"/>
      <c r="TTK141" s="204"/>
      <c r="TTL141" s="205"/>
      <c r="TTM141" s="204"/>
      <c r="TTN141" s="205"/>
      <c r="TTO141" s="204"/>
      <c r="TTP141" s="205"/>
      <c r="TTQ141" s="204"/>
      <c r="TTR141" s="205"/>
      <c r="TTS141" s="204"/>
      <c r="TTT141" s="205"/>
      <c r="TTU141" s="204"/>
      <c r="TTV141" s="205"/>
      <c r="TTW141" s="204"/>
      <c r="TTX141" s="205"/>
      <c r="TTY141" s="204"/>
      <c r="TTZ141" s="205"/>
      <c r="TUA141" s="204"/>
      <c r="TUB141" s="205"/>
      <c r="TUC141" s="204"/>
      <c r="TUD141" s="205"/>
      <c r="TUE141" s="204"/>
      <c r="TUF141" s="205"/>
      <c r="TUG141" s="204"/>
      <c r="TUH141" s="205"/>
      <c r="TUI141" s="204"/>
      <c r="TUJ141" s="205"/>
      <c r="TUK141" s="204"/>
      <c r="TUL141" s="205"/>
      <c r="TUM141" s="204"/>
      <c r="TUN141" s="205"/>
      <c r="TUO141" s="204"/>
      <c r="TUP141" s="205"/>
      <c r="TUQ141" s="204"/>
      <c r="TUR141" s="205"/>
      <c r="TUS141" s="204"/>
      <c r="TUT141" s="205"/>
      <c r="TUU141" s="204"/>
      <c r="TUV141" s="205"/>
      <c r="TUW141" s="204"/>
      <c r="TUX141" s="205"/>
      <c r="TUY141" s="204"/>
      <c r="TUZ141" s="205"/>
      <c r="TVA141" s="204"/>
      <c r="TVB141" s="205"/>
      <c r="TVC141" s="204"/>
      <c r="TVD141" s="205"/>
      <c r="TVE141" s="204"/>
      <c r="TVF141" s="205"/>
      <c r="TVG141" s="204"/>
      <c r="TVH141" s="205"/>
      <c r="TVI141" s="204"/>
      <c r="TVJ141" s="205"/>
      <c r="TVK141" s="204"/>
      <c r="TVL141" s="205"/>
      <c r="TVM141" s="204"/>
      <c r="TVN141" s="205"/>
      <c r="TVO141" s="204"/>
      <c r="TVP141" s="205"/>
      <c r="TVQ141" s="204"/>
      <c r="TVR141" s="205"/>
      <c r="TVS141" s="204"/>
      <c r="TVT141" s="205"/>
      <c r="TVU141" s="204"/>
      <c r="TVV141" s="205"/>
      <c r="TVW141" s="204"/>
      <c r="TVX141" s="205"/>
      <c r="TVY141" s="204"/>
      <c r="TVZ141" s="205"/>
      <c r="TWA141" s="204"/>
      <c r="TWB141" s="205"/>
      <c r="TWC141" s="204"/>
      <c r="TWD141" s="205"/>
      <c r="TWE141" s="204"/>
      <c r="TWF141" s="205"/>
      <c r="TWG141" s="204"/>
      <c r="TWH141" s="205"/>
      <c r="TWI141" s="204"/>
      <c r="TWJ141" s="205"/>
      <c r="TWK141" s="204"/>
      <c r="TWL141" s="205"/>
      <c r="TWM141" s="204"/>
      <c r="TWN141" s="205"/>
      <c r="TWO141" s="204"/>
      <c r="TWP141" s="205"/>
      <c r="TWQ141" s="204"/>
      <c r="TWR141" s="205"/>
      <c r="TWS141" s="204"/>
      <c r="TWT141" s="205"/>
      <c r="TWU141" s="204"/>
      <c r="TWV141" s="205"/>
      <c r="TWW141" s="204"/>
      <c r="TWX141" s="205"/>
      <c r="TWY141" s="204"/>
      <c r="TWZ141" s="205"/>
      <c r="TXA141" s="204"/>
      <c r="TXB141" s="205"/>
      <c r="TXC141" s="204"/>
      <c r="TXD141" s="205"/>
      <c r="TXE141" s="204"/>
      <c r="TXF141" s="205"/>
      <c r="TXG141" s="204"/>
      <c r="TXH141" s="205"/>
      <c r="TXI141" s="204"/>
      <c r="TXJ141" s="205"/>
      <c r="TXK141" s="204"/>
      <c r="TXL141" s="205"/>
      <c r="TXM141" s="204"/>
      <c r="TXN141" s="205"/>
      <c r="TXO141" s="204"/>
      <c r="TXP141" s="205"/>
      <c r="TXQ141" s="204"/>
      <c r="TXR141" s="205"/>
      <c r="TXS141" s="204"/>
      <c r="TXT141" s="205"/>
      <c r="TXU141" s="204"/>
      <c r="TXV141" s="205"/>
      <c r="TXW141" s="204"/>
      <c r="TXX141" s="205"/>
      <c r="TXY141" s="204"/>
      <c r="TXZ141" s="205"/>
      <c r="TYA141" s="204"/>
      <c r="TYB141" s="205"/>
      <c r="TYC141" s="204"/>
      <c r="TYD141" s="205"/>
      <c r="TYE141" s="204"/>
      <c r="TYF141" s="205"/>
      <c r="TYG141" s="204"/>
      <c r="TYH141" s="205"/>
      <c r="TYI141" s="204"/>
      <c r="TYJ141" s="205"/>
      <c r="TYK141" s="204"/>
      <c r="TYL141" s="205"/>
      <c r="TYM141" s="204"/>
      <c r="TYN141" s="205"/>
      <c r="TYO141" s="204"/>
      <c r="TYP141" s="205"/>
      <c r="TYQ141" s="204"/>
      <c r="TYR141" s="205"/>
      <c r="TYS141" s="204"/>
      <c r="TYT141" s="205"/>
      <c r="TYU141" s="204"/>
      <c r="TYV141" s="205"/>
      <c r="TYW141" s="204"/>
      <c r="TYX141" s="205"/>
      <c r="TYY141" s="204"/>
      <c r="TYZ141" s="205"/>
      <c r="TZA141" s="204"/>
      <c r="TZB141" s="205"/>
      <c r="TZC141" s="204"/>
      <c r="TZD141" s="205"/>
      <c r="TZE141" s="204"/>
      <c r="TZF141" s="205"/>
      <c r="TZG141" s="204"/>
      <c r="TZH141" s="205"/>
      <c r="TZI141" s="204"/>
      <c r="TZJ141" s="205"/>
      <c r="TZK141" s="204"/>
      <c r="TZL141" s="205"/>
      <c r="TZM141" s="204"/>
      <c r="TZN141" s="205"/>
      <c r="TZO141" s="204"/>
      <c r="TZP141" s="205"/>
      <c r="TZQ141" s="204"/>
      <c r="TZR141" s="205"/>
      <c r="TZS141" s="204"/>
      <c r="TZT141" s="205"/>
      <c r="TZU141" s="204"/>
      <c r="TZV141" s="205"/>
      <c r="TZW141" s="204"/>
      <c r="TZX141" s="205"/>
      <c r="TZY141" s="204"/>
      <c r="TZZ141" s="205"/>
      <c r="UAA141" s="204"/>
      <c r="UAB141" s="205"/>
      <c r="UAC141" s="204"/>
      <c r="UAD141" s="205"/>
      <c r="UAE141" s="204"/>
      <c r="UAF141" s="205"/>
      <c r="UAG141" s="204"/>
      <c r="UAH141" s="205"/>
      <c r="UAI141" s="204"/>
      <c r="UAJ141" s="205"/>
      <c r="UAK141" s="204"/>
      <c r="UAL141" s="205"/>
      <c r="UAM141" s="204"/>
      <c r="UAN141" s="205"/>
      <c r="UAO141" s="204"/>
      <c r="UAP141" s="205"/>
      <c r="UAQ141" s="204"/>
      <c r="UAR141" s="205"/>
      <c r="UAS141" s="204"/>
      <c r="UAT141" s="205"/>
      <c r="UAU141" s="204"/>
      <c r="UAV141" s="205"/>
      <c r="UAW141" s="204"/>
      <c r="UAX141" s="205"/>
      <c r="UAY141" s="204"/>
      <c r="UAZ141" s="205"/>
      <c r="UBA141" s="204"/>
      <c r="UBB141" s="205"/>
      <c r="UBC141" s="204"/>
      <c r="UBD141" s="205"/>
      <c r="UBE141" s="204"/>
      <c r="UBF141" s="205"/>
      <c r="UBG141" s="204"/>
      <c r="UBH141" s="205"/>
      <c r="UBI141" s="204"/>
      <c r="UBJ141" s="205"/>
      <c r="UBK141" s="204"/>
      <c r="UBL141" s="205"/>
      <c r="UBM141" s="204"/>
      <c r="UBN141" s="205"/>
      <c r="UBO141" s="204"/>
      <c r="UBP141" s="205"/>
      <c r="UBQ141" s="204"/>
      <c r="UBR141" s="205"/>
      <c r="UBS141" s="204"/>
      <c r="UBT141" s="205"/>
      <c r="UBU141" s="204"/>
      <c r="UBV141" s="205"/>
      <c r="UBW141" s="204"/>
      <c r="UBX141" s="205"/>
      <c r="UBY141" s="204"/>
      <c r="UBZ141" s="205"/>
      <c r="UCA141" s="204"/>
      <c r="UCB141" s="205"/>
      <c r="UCC141" s="204"/>
      <c r="UCD141" s="205"/>
      <c r="UCE141" s="204"/>
      <c r="UCF141" s="205"/>
      <c r="UCG141" s="204"/>
      <c r="UCH141" s="205"/>
      <c r="UCI141" s="204"/>
      <c r="UCJ141" s="205"/>
      <c r="UCK141" s="204"/>
      <c r="UCL141" s="205"/>
      <c r="UCM141" s="204"/>
      <c r="UCN141" s="205"/>
      <c r="UCO141" s="204"/>
      <c r="UCP141" s="205"/>
      <c r="UCQ141" s="204"/>
      <c r="UCR141" s="205"/>
      <c r="UCS141" s="204"/>
      <c r="UCT141" s="205"/>
      <c r="UCU141" s="204"/>
      <c r="UCV141" s="205"/>
      <c r="UCW141" s="204"/>
      <c r="UCX141" s="205"/>
      <c r="UCY141" s="204"/>
      <c r="UCZ141" s="205"/>
      <c r="UDA141" s="204"/>
      <c r="UDB141" s="205"/>
      <c r="UDC141" s="204"/>
      <c r="UDD141" s="205"/>
      <c r="UDE141" s="204"/>
      <c r="UDF141" s="205"/>
      <c r="UDG141" s="204"/>
      <c r="UDH141" s="205"/>
      <c r="UDI141" s="204"/>
      <c r="UDJ141" s="205"/>
      <c r="UDK141" s="204"/>
      <c r="UDL141" s="205"/>
      <c r="UDM141" s="204"/>
      <c r="UDN141" s="205"/>
      <c r="UDO141" s="204"/>
      <c r="UDP141" s="205"/>
      <c r="UDQ141" s="204"/>
      <c r="UDR141" s="205"/>
      <c r="UDS141" s="204"/>
      <c r="UDT141" s="205"/>
      <c r="UDU141" s="204"/>
      <c r="UDV141" s="205"/>
      <c r="UDW141" s="204"/>
      <c r="UDX141" s="205"/>
      <c r="UDY141" s="204"/>
      <c r="UDZ141" s="205"/>
      <c r="UEA141" s="204"/>
      <c r="UEB141" s="205"/>
      <c r="UEC141" s="204"/>
      <c r="UED141" s="205"/>
      <c r="UEE141" s="204"/>
      <c r="UEF141" s="205"/>
      <c r="UEG141" s="204"/>
      <c r="UEH141" s="205"/>
      <c r="UEI141" s="204"/>
      <c r="UEJ141" s="205"/>
      <c r="UEK141" s="204"/>
      <c r="UEL141" s="205"/>
      <c r="UEM141" s="204"/>
      <c r="UEN141" s="205"/>
      <c r="UEO141" s="204"/>
      <c r="UEP141" s="205"/>
      <c r="UEQ141" s="204"/>
      <c r="UER141" s="205"/>
      <c r="UES141" s="204"/>
      <c r="UET141" s="205"/>
      <c r="UEU141" s="204"/>
      <c r="UEV141" s="205"/>
      <c r="UEW141" s="204"/>
      <c r="UEX141" s="205"/>
      <c r="UEY141" s="204"/>
      <c r="UEZ141" s="205"/>
      <c r="UFA141" s="204"/>
      <c r="UFB141" s="205"/>
      <c r="UFC141" s="204"/>
      <c r="UFD141" s="205"/>
      <c r="UFE141" s="204"/>
      <c r="UFF141" s="205"/>
      <c r="UFG141" s="204"/>
      <c r="UFH141" s="205"/>
      <c r="UFI141" s="204"/>
      <c r="UFJ141" s="205"/>
      <c r="UFK141" s="204"/>
      <c r="UFL141" s="205"/>
      <c r="UFM141" s="204"/>
      <c r="UFN141" s="205"/>
      <c r="UFO141" s="204"/>
      <c r="UFP141" s="205"/>
      <c r="UFQ141" s="204"/>
      <c r="UFR141" s="205"/>
      <c r="UFS141" s="204"/>
      <c r="UFT141" s="205"/>
      <c r="UFU141" s="204"/>
      <c r="UFV141" s="205"/>
      <c r="UFW141" s="204"/>
      <c r="UFX141" s="205"/>
      <c r="UFY141" s="204"/>
      <c r="UFZ141" s="205"/>
      <c r="UGA141" s="204"/>
      <c r="UGB141" s="205"/>
      <c r="UGC141" s="204"/>
      <c r="UGD141" s="205"/>
      <c r="UGE141" s="204"/>
      <c r="UGF141" s="205"/>
      <c r="UGG141" s="204"/>
      <c r="UGH141" s="205"/>
      <c r="UGI141" s="204"/>
      <c r="UGJ141" s="205"/>
      <c r="UGK141" s="204"/>
      <c r="UGL141" s="205"/>
      <c r="UGM141" s="204"/>
      <c r="UGN141" s="205"/>
      <c r="UGO141" s="204"/>
      <c r="UGP141" s="205"/>
      <c r="UGQ141" s="204"/>
      <c r="UGR141" s="205"/>
      <c r="UGS141" s="204"/>
      <c r="UGT141" s="205"/>
      <c r="UGU141" s="204"/>
      <c r="UGV141" s="205"/>
      <c r="UGW141" s="204"/>
      <c r="UGX141" s="205"/>
      <c r="UGY141" s="204"/>
      <c r="UGZ141" s="205"/>
      <c r="UHA141" s="204"/>
      <c r="UHB141" s="205"/>
      <c r="UHC141" s="204"/>
      <c r="UHD141" s="205"/>
      <c r="UHE141" s="204"/>
      <c r="UHF141" s="205"/>
      <c r="UHG141" s="204"/>
      <c r="UHH141" s="205"/>
      <c r="UHI141" s="204"/>
      <c r="UHJ141" s="205"/>
      <c r="UHK141" s="204"/>
      <c r="UHL141" s="205"/>
      <c r="UHM141" s="204"/>
      <c r="UHN141" s="205"/>
      <c r="UHO141" s="204"/>
      <c r="UHP141" s="205"/>
      <c r="UHQ141" s="204"/>
      <c r="UHR141" s="205"/>
      <c r="UHS141" s="204"/>
      <c r="UHT141" s="205"/>
      <c r="UHU141" s="204"/>
      <c r="UHV141" s="205"/>
      <c r="UHW141" s="204"/>
      <c r="UHX141" s="205"/>
      <c r="UHY141" s="204"/>
      <c r="UHZ141" s="205"/>
      <c r="UIA141" s="204"/>
      <c r="UIB141" s="205"/>
      <c r="UIC141" s="204"/>
      <c r="UID141" s="205"/>
      <c r="UIE141" s="204"/>
      <c r="UIF141" s="205"/>
      <c r="UIG141" s="204"/>
      <c r="UIH141" s="205"/>
      <c r="UII141" s="204"/>
      <c r="UIJ141" s="205"/>
      <c r="UIK141" s="204"/>
      <c r="UIL141" s="205"/>
      <c r="UIM141" s="204"/>
      <c r="UIN141" s="205"/>
      <c r="UIO141" s="204"/>
      <c r="UIP141" s="205"/>
      <c r="UIQ141" s="204"/>
      <c r="UIR141" s="205"/>
      <c r="UIS141" s="204"/>
      <c r="UIT141" s="205"/>
      <c r="UIU141" s="204"/>
      <c r="UIV141" s="205"/>
      <c r="UIW141" s="204"/>
      <c r="UIX141" s="205"/>
      <c r="UIY141" s="204"/>
      <c r="UIZ141" s="205"/>
      <c r="UJA141" s="204"/>
      <c r="UJB141" s="205"/>
      <c r="UJC141" s="204"/>
      <c r="UJD141" s="205"/>
      <c r="UJE141" s="204"/>
      <c r="UJF141" s="205"/>
      <c r="UJG141" s="204"/>
      <c r="UJH141" s="205"/>
      <c r="UJI141" s="204"/>
      <c r="UJJ141" s="205"/>
      <c r="UJK141" s="204"/>
      <c r="UJL141" s="205"/>
      <c r="UJM141" s="204"/>
      <c r="UJN141" s="205"/>
      <c r="UJO141" s="204"/>
      <c r="UJP141" s="205"/>
      <c r="UJQ141" s="204"/>
      <c r="UJR141" s="205"/>
      <c r="UJS141" s="204"/>
      <c r="UJT141" s="205"/>
      <c r="UJU141" s="204"/>
      <c r="UJV141" s="205"/>
      <c r="UJW141" s="204"/>
      <c r="UJX141" s="205"/>
      <c r="UJY141" s="204"/>
      <c r="UJZ141" s="205"/>
      <c r="UKA141" s="204"/>
      <c r="UKB141" s="205"/>
      <c r="UKC141" s="204"/>
      <c r="UKD141" s="205"/>
      <c r="UKE141" s="204"/>
      <c r="UKF141" s="205"/>
      <c r="UKG141" s="204"/>
      <c r="UKH141" s="205"/>
      <c r="UKI141" s="204"/>
      <c r="UKJ141" s="205"/>
      <c r="UKK141" s="204"/>
      <c r="UKL141" s="205"/>
      <c r="UKM141" s="204"/>
      <c r="UKN141" s="205"/>
      <c r="UKO141" s="204"/>
      <c r="UKP141" s="205"/>
      <c r="UKQ141" s="204"/>
      <c r="UKR141" s="205"/>
      <c r="UKS141" s="204"/>
      <c r="UKT141" s="205"/>
      <c r="UKU141" s="204"/>
      <c r="UKV141" s="205"/>
      <c r="UKW141" s="204"/>
      <c r="UKX141" s="205"/>
      <c r="UKY141" s="204"/>
      <c r="UKZ141" s="205"/>
      <c r="ULA141" s="204"/>
      <c r="ULB141" s="205"/>
      <c r="ULC141" s="204"/>
      <c r="ULD141" s="205"/>
      <c r="ULE141" s="204"/>
      <c r="ULF141" s="205"/>
      <c r="ULG141" s="204"/>
      <c r="ULH141" s="205"/>
      <c r="ULI141" s="204"/>
      <c r="ULJ141" s="205"/>
      <c r="ULK141" s="204"/>
      <c r="ULL141" s="205"/>
      <c r="ULM141" s="204"/>
      <c r="ULN141" s="205"/>
      <c r="ULO141" s="204"/>
      <c r="ULP141" s="205"/>
      <c r="ULQ141" s="204"/>
      <c r="ULR141" s="205"/>
      <c r="ULS141" s="204"/>
      <c r="ULT141" s="205"/>
      <c r="ULU141" s="204"/>
      <c r="ULV141" s="205"/>
      <c r="ULW141" s="204"/>
      <c r="ULX141" s="205"/>
      <c r="ULY141" s="204"/>
      <c r="ULZ141" s="205"/>
      <c r="UMA141" s="204"/>
      <c r="UMB141" s="205"/>
      <c r="UMC141" s="204"/>
      <c r="UMD141" s="205"/>
      <c r="UME141" s="204"/>
      <c r="UMF141" s="205"/>
      <c r="UMG141" s="204"/>
      <c r="UMH141" s="205"/>
      <c r="UMI141" s="204"/>
      <c r="UMJ141" s="205"/>
      <c r="UMK141" s="204"/>
      <c r="UML141" s="205"/>
      <c r="UMM141" s="204"/>
      <c r="UMN141" s="205"/>
      <c r="UMO141" s="204"/>
      <c r="UMP141" s="205"/>
      <c r="UMQ141" s="204"/>
      <c r="UMR141" s="205"/>
      <c r="UMS141" s="204"/>
      <c r="UMT141" s="205"/>
      <c r="UMU141" s="204"/>
      <c r="UMV141" s="205"/>
      <c r="UMW141" s="204"/>
      <c r="UMX141" s="205"/>
      <c r="UMY141" s="204"/>
      <c r="UMZ141" s="205"/>
      <c r="UNA141" s="204"/>
      <c r="UNB141" s="205"/>
      <c r="UNC141" s="204"/>
      <c r="UND141" s="205"/>
      <c r="UNE141" s="204"/>
      <c r="UNF141" s="205"/>
      <c r="UNG141" s="204"/>
      <c r="UNH141" s="205"/>
      <c r="UNI141" s="204"/>
      <c r="UNJ141" s="205"/>
      <c r="UNK141" s="204"/>
      <c r="UNL141" s="205"/>
      <c r="UNM141" s="204"/>
      <c r="UNN141" s="205"/>
      <c r="UNO141" s="204"/>
      <c r="UNP141" s="205"/>
      <c r="UNQ141" s="204"/>
      <c r="UNR141" s="205"/>
      <c r="UNS141" s="204"/>
      <c r="UNT141" s="205"/>
      <c r="UNU141" s="204"/>
      <c r="UNV141" s="205"/>
      <c r="UNW141" s="204"/>
      <c r="UNX141" s="205"/>
      <c r="UNY141" s="204"/>
      <c r="UNZ141" s="205"/>
      <c r="UOA141" s="204"/>
      <c r="UOB141" s="205"/>
      <c r="UOC141" s="204"/>
      <c r="UOD141" s="205"/>
      <c r="UOE141" s="204"/>
      <c r="UOF141" s="205"/>
      <c r="UOG141" s="204"/>
      <c r="UOH141" s="205"/>
      <c r="UOI141" s="204"/>
      <c r="UOJ141" s="205"/>
      <c r="UOK141" s="204"/>
      <c r="UOL141" s="205"/>
      <c r="UOM141" s="204"/>
      <c r="UON141" s="205"/>
      <c r="UOO141" s="204"/>
      <c r="UOP141" s="205"/>
      <c r="UOQ141" s="204"/>
      <c r="UOR141" s="205"/>
      <c r="UOS141" s="204"/>
      <c r="UOT141" s="205"/>
      <c r="UOU141" s="204"/>
      <c r="UOV141" s="205"/>
      <c r="UOW141" s="204"/>
      <c r="UOX141" s="205"/>
      <c r="UOY141" s="204"/>
      <c r="UOZ141" s="205"/>
      <c r="UPA141" s="204"/>
      <c r="UPB141" s="205"/>
      <c r="UPC141" s="204"/>
      <c r="UPD141" s="205"/>
      <c r="UPE141" s="204"/>
      <c r="UPF141" s="205"/>
      <c r="UPG141" s="204"/>
      <c r="UPH141" s="205"/>
      <c r="UPI141" s="204"/>
      <c r="UPJ141" s="205"/>
      <c r="UPK141" s="204"/>
      <c r="UPL141" s="205"/>
      <c r="UPM141" s="204"/>
      <c r="UPN141" s="205"/>
      <c r="UPO141" s="204"/>
      <c r="UPP141" s="205"/>
      <c r="UPQ141" s="204"/>
      <c r="UPR141" s="205"/>
      <c r="UPS141" s="204"/>
      <c r="UPT141" s="205"/>
      <c r="UPU141" s="204"/>
      <c r="UPV141" s="205"/>
      <c r="UPW141" s="204"/>
      <c r="UPX141" s="205"/>
      <c r="UPY141" s="204"/>
      <c r="UPZ141" s="205"/>
      <c r="UQA141" s="204"/>
      <c r="UQB141" s="205"/>
      <c r="UQC141" s="204"/>
      <c r="UQD141" s="205"/>
      <c r="UQE141" s="204"/>
      <c r="UQF141" s="205"/>
      <c r="UQG141" s="204"/>
      <c r="UQH141" s="205"/>
      <c r="UQI141" s="204"/>
      <c r="UQJ141" s="205"/>
      <c r="UQK141" s="204"/>
      <c r="UQL141" s="205"/>
      <c r="UQM141" s="204"/>
      <c r="UQN141" s="205"/>
      <c r="UQO141" s="204"/>
      <c r="UQP141" s="205"/>
      <c r="UQQ141" s="204"/>
      <c r="UQR141" s="205"/>
      <c r="UQS141" s="204"/>
      <c r="UQT141" s="205"/>
      <c r="UQU141" s="204"/>
      <c r="UQV141" s="205"/>
      <c r="UQW141" s="204"/>
      <c r="UQX141" s="205"/>
      <c r="UQY141" s="204"/>
      <c r="UQZ141" s="205"/>
      <c r="URA141" s="204"/>
      <c r="URB141" s="205"/>
      <c r="URC141" s="204"/>
      <c r="URD141" s="205"/>
      <c r="URE141" s="204"/>
      <c r="URF141" s="205"/>
      <c r="URG141" s="204"/>
      <c r="URH141" s="205"/>
      <c r="URI141" s="204"/>
      <c r="URJ141" s="205"/>
      <c r="URK141" s="204"/>
      <c r="URL141" s="205"/>
      <c r="URM141" s="204"/>
      <c r="URN141" s="205"/>
      <c r="URO141" s="204"/>
      <c r="URP141" s="205"/>
      <c r="URQ141" s="204"/>
      <c r="URR141" s="205"/>
      <c r="URS141" s="204"/>
      <c r="URT141" s="205"/>
      <c r="URU141" s="204"/>
      <c r="URV141" s="205"/>
      <c r="URW141" s="204"/>
      <c r="URX141" s="205"/>
      <c r="URY141" s="204"/>
      <c r="URZ141" s="205"/>
      <c r="USA141" s="204"/>
      <c r="USB141" s="205"/>
      <c r="USC141" s="204"/>
      <c r="USD141" s="205"/>
      <c r="USE141" s="204"/>
      <c r="USF141" s="205"/>
      <c r="USG141" s="204"/>
      <c r="USH141" s="205"/>
      <c r="USI141" s="204"/>
      <c r="USJ141" s="205"/>
      <c r="USK141" s="204"/>
      <c r="USL141" s="205"/>
      <c r="USM141" s="204"/>
      <c r="USN141" s="205"/>
      <c r="USO141" s="204"/>
      <c r="USP141" s="205"/>
      <c r="USQ141" s="204"/>
      <c r="USR141" s="205"/>
      <c r="USS141" s="204"/>
      <c r="UST141" s="205"/>
      <c r="USU141" s="204"/>
      <c r="USV141" s="205"/>
      <c r="USW141" s="204"/>
      <c r="USX141" s="205"/>
      <c r="USY141" s="204"/>
      <c r="USZ141" s="205"/>
      <c r="UTA141" s="204"/>
      <c r="UTB141" s="205"/>
      <c r="UTC141" s="204"/>
      <c r="UTD141" s="205"/>
      <c r="UTE141" s="204"/>
      <c r="UTF141" s="205"/>
      <c r="UTG141" s="204"/>
      <c r="UTH141" s="205"/>
      <c r="UTI141" s="204"/>
      <c r="UTJ141" s="205"/>
      <c r="UTK141" s="204"/>
      <c r="UTL141" s="205"/>
      <c r="UTM141" s="204"/>
      <c r="UTN141" s="205"/>
      <c r="UTO141" s="204"/>
      <c r="UTP141" s="205"/>
      <c r="UTQ141" s="204"/>
      <c r="UTR141" s="205"/>
      <c r="UTS141" s="204"/>
      <c r="UTT141" s="205"/>
      <c r="UTU141" s="204"/>
      <c r="UTV141" s="205"/>
      <c r="UTW141" s="204"/>
      <c r="UTX141" s="205"/>
      <c r="UTY141" s="204"/>
      <c r="UTZ141" s="205"/>
      <c r="UUA141" s="204"/>
      <c r="UUB141" s="205"/>
      <c r="UUC141" s="204"/>
      <c r="UUD141" s="205"/>
      <c r="UUE141" s="204"/>
      <c r="UUF141" s="205"/>
      <c r="UUG141" s="204"/>
      <c r="UUH141" s="205"/>
      <c r="UUI141" s="204"/>
      <c r="UUJ141" s="205"/>
      <c r="UUK141" s="204"/>
      <c r="UUL141" s="205"/>
      <c r="UUM141" s="204"/>
      <c r="UUN141" s="205"/>
      <c r="UUO141" s="204"/>
      <c r="UUP141" s="205"/>
      <c r="UUQ141" s="204"/>
      <c r="UUR141" s="205"/>
      <c r="UUS141" s="204"/>
      <c r="UUT141" s="205"/>
      <c r="UUU141" s="204"/>
      <c r="UUV141" s="205"/>
      <c r="UUW141" s="204"/>
      <c r="UUX141" s="205"/>
      <c r="UUY141" s="204"/>
      <c r="UUZ141" s="205"/>
      <c r="UVA141" s="204"/>
      <c r="UVB141" s="205"/>
      <c r="UVC141" s="204"/>
      <c r="UVD141" s="205"/>
      <c r="UVE141" s="204"/>
      <c r="UVF141" s="205"/>
      <c r="UVG141" s="204"/>
      <c r="UVH141" s="205"/>
      <c r="UVI141" s="204"/>
      <c r="UVJ141" s="205"/>
      <c r="UVK141" s="204"/>
      <c r="UVL141" s="205"/>
      <c r="UVM141" s="204"/>
      <c r="UVN141" s="205"/>
      <c r="UVO141" s="204"/>
      <c r="UVP141" s="205"/>
      <c r="UVQ141" s="204"/>
      <c r="UVR141" s="205"/>
      <c r="UVS141" s="204"/>
      <c r="UVT141" s="205"/>
      <c r="UVU141" s="204"/>
      <c r="UVV141" s="205"/>
      <c r="UVW141" s="204"/>
      <c r="UVX141" s="205"/>
      <c r="UVY141" s="204"/>
      <c r="UVZ141" s="205"/>
      <c r="UWA141" s="204"/>
      <c r="UWB141" s="205"/>
      <c r="UWC141" s="204"/>
      <c r="UWD141" s="205"/>
      <c r="UWE141" s="204"/>
      <c r="UWF141" s="205"/>
      <c r="UWG141" s="204"/>
      <c r="UWH141" s="205"/>
      <c r="UWI141" s="204"/>
      <c r="UWJ141" s="205"/>
      <c r="UWK141" s="204"/>
      <c r="UWL141" s="205"/>
      <c r="UWM141" s="204"/>
      <c r="UWN141" s="205"/>
      <c r="UWO141" s="204"/>
      <c r="UWP141" s="205"/>
      <c r="UWQ141" s="204"/>
      <c r="UWR141" s="205"/>
      <c r="UWS141" s="204"/>
      <c r="UWT141" s="205"/>
      <c r="UWU141" s="204"/>
      <c r="UWV141" s="205"/>
      <c r="UWW141" s="204"/>
      <c r="UWX141" s="205"/>
      <c r="UWY141" s="204"/>
      <c r="UWZ141" s="205"/>
      <c r="UXA141" s="204"/>
      <c r="UXB141" s="205"/>
      <c r="UXC141" s="204"/>
      <c r="UXD141" s="205"/>
      <c r="UXE141" s="204"/>
      <c r="UXF141" s="205"/>
      <c r="UXG141" s="204"/>
      <c r="UXH141" s="205"/>
      <c r="UXI141" s="204"/>
      <c r="UXJ141" s="205"/>
      <c r="UXK141" s="204"/>
      <c r="UXL141" s="205"/>
      <c r="UXM141" s="204"/>
      <c r="UXN141" s="205"/>
      <c r="UXO141" s="204"/>
      <c r="UXP141" s="205"/>
      <c r="UXQ141" s="204"/>
      <c r="UXR141" s="205"/>
      <c r="UXS141" s="204"/>
      <c r="UXT141" s="205"/>
      <c r="UXU141" s="204"/>
      <c r="UXV141" s="205"/>
      <c r="UXW141" s="204"/>
      <c r="UXX141" s="205"/>
      <c r="UXY141" s="204"/>
      <c r="UXZ141" s="205"/>
      <c r="UYA141" s="204"/>
      <c r="UYB141" s="205"/>
      <c r="UYC141" s="204"/>
      <c r="UYD141" s="205"/>
      <c r="UYE141" s="204"/>
      <c r="UYF141" s="205"/>
      <c r="UYG141" s="204"/>
      <c r="UYH141" s="205"/>
      <c r="UYI141" s="204"/>
      <c r="UYJ141" s="205"/>
      <c r="UYK141" s="204"/>
      <c r="UYL141" s="205"/>
      <c r="UYM141" s="204"/>
      <c r="UYN141" s="205"/>
      <c r="UYO141" s="204"/>
      <c r="UYP141" s="205"/>
      <c r="UYQ141" s="204"/>
      <c r="UYR141" s="205"/>
      <c r="UYS141" s="204"/>
      <c r="UYT141" s="205"/>
      <c r="UYU141" s="204"/>
      <c r="UYV141" s="205"/>
      <c r="UYW141" s="204"/>
      <c r="UYX141" s="205"/>
      <c r="UYY141" s="204"/>
      <c r="UYZ141" s="205"/>
      <c r="UZA141" s="204"/>
      <c r="UZB141" s="205"/>
      <c r="UZC141" s="204"/>
      <c r="UZD141" s="205"/>
      <c r="UZE141" s="204"/>
      <c r="UZF141" s="205"/>
      <c r="UZG141" s="204"/>
      <c r="UZH141" s="205"/>
      <c r="UZI141" s="204"/>
      <c r="UZJ141" s="205"/>
      <c r="UZK141" s="204"/>
      <c r="UZL141" s="205"/>
      <c r="UZM141" s="204"/>
      <c r="UZN141" s="205"/>
      <c r="UZO141" s="204"/>
      <c r="UZP141" s="205"/>
      <c r="UZQ141" s="204"/>
      <c r="UZR141" s="205"/>
      <c r="UZS141" s="204"/>
      <c r="UZT141" s="205"/>
      <c r="UZU141" s="204"/>
      <c r="UZV141" s="205"/>
      <c r="UZW141" s="204"/>
      <c r="UZX141" s="205"/>
      <c r="UZY141" s="204"/>
      <c r="UZZ141" s="205"/>
      <c r="VAA141" s="204"/>
      <c r="VAB141" s="205"/>
      <c r="VAC141" s="204"/>
      <c r="VAD141" s="205"/>
      <c r="VAE141" s="204"/>
      <c r="VAF141" s="205"/>
      <c r="VAG141" s="204"/>
      <c r="VAH141" s="205"/>
      <c r="VAI141" s="204"/>
      <c r="VAJ141" s="205"/>
      <c r="VAK141" s="204"/>
      <c r="VAL141" s="205"/>
      <c r="VAM141" s="204"/>
      <c r="VAN141" s="205"/>
      <c r="VAO141" s="204"/>
      <c r="VAP141" s="205"/>
      <c r="VAQ141" s="204"/>
      <c r="VAR141" s="205"/>
      <c r="VAS141" s="204"/>
      <c r="VAT141" s="205"/>
      <c r="VAU141" s="204"/>
      <c r="VAV141" s="205"/>
      <c r="VAW141" s="204"/>
      <c r="VAX141" s="205"/>
      <c r="VAY141" s="204"/>
      <c r="VAZ141" s="205"/>
      <c r="VBA141" s="204"/>
      <c r="VBB141" s="205"/>
      <c r="VBC141" s="204"/>
      <c r="VBD141" s="205"/>
      <c r="VBE141" s="204"/>
      <c r="VBF141" s="205"/>
      <c r="VBG141" s="204"/>
      <c r="VBH141" s="205"/>
      <c r="VBI141" s="204"/>
      <c r="VBJ141" s="205"/>
      <c r="VBK141" s="204"/>
      <c r="VBL141" s="205"/>
      <c r="VBM141" s="204"/>
      <c r="VBN141" s="205"/>
      <c r="VBO141" s="204"/>
      <c r="VBP141" s="205"/>
      <c r="VBQ141" s="204"/>
      <c r="VBR141" s="205"/>
      <c r="VBS141" s="204"/>
      <c r="VBT141" s="205"/>
      <c r="VBU141" s="204"/>
      <c r="VBV141" s="205"/>
      <c r="VBW141" s="204"/>
      <c r="VBX141" s="205"/>
      <c r="VBY141" s="204"/>
      <c r="VBZ141" s="205"/>
      <c r="VCA141" s="204"/>
      <c r="VCB141" s="205"/>
      <c r="VCC141" s="204"/>
      <c r="VCD141" s="205"/>
      <c r="VCE141" s="204"/>
      <c r="VCF141" s="205"/>
      <c r="VCG141" s="204"/>
      <c r="VCH141" s="205"/>
      <c r="VCI141" s="204"/>
      <c r="VCJ141" s="205"/>
      <c r="VCK141" s="204"/>
      <c r="VCL141" s="205"/>
      <c r="VCM141" s="204"/>
      <c r="VCN141" s="205"/>
      <c r="VCO141" s="204"/>
      <c r="VCP141" s="205"/>
      <c r="VCQ141" s="204"/>
      <c r="VCR141" s="205"/>
      <c r="VCS141" s="204"/>
      <c r="VCT141" s="205"/>
      <c r="VCU141" s="204"/>
      <c r="VCV141" s="205"/>
      <c r="VCW141" s="204"/>
      <c r="VCX141" s="205"/>
      <c r="VCY141" s="204"/>
      <c r="VCZ141" s="205"/>
      <c r="VDA141" s="204"/>
      <c r="VDB141" s="205"/>
      <c r="VDC141" s="204"/>
      <c r="VDD141" s="205"/>
      <c r="VDE141" s="204"/>
      <c r="VDF141" s="205"/>
      <c r="VDG141" s="204"/>
      <c r="VDH141" s="205"/>
      <c r="VDI141" s="204"/>
      <c r="VDJ141" s="205"/>
      <c r="VDK141" s="204"/>
      <c r="VDL141" s="205"/>
      <c r="VDM141" s="204"/>
      <c r="VDN141" s="205"/>
      <c r="VDO141" s="204"/>
      <c r="VDP141" s="205"/>
      <c r="VDQ141" s="204"/>
      <c r="VDR141" s="205"/>
      <c r="VDS141" s="204"/>
      <c r="VDT141" s="205"/>
      <c r="VDU141" s="204"/>
      <c r="VDV141" s="205"/>
      <c r="VDW141" s="204"/>
      <c r="VDX141" s="205"/>
      <c r="VDY141" s="204"/>
      <c r="VDZ141" s="205"/>
      <c r="VEA141" s="204"/>
      <c r="VEB141" s="205"/>
      <c r="VEC141" s="204"/>
      <c r="VED141" s="205"/>
      <c r="VEE141" s="204"/>
      <c r="VEF141" s="205"/>
      <c r="VEG141" s="204"/>
      <c r="VEH141" s="205"/>
      <c r="VEI141" s="204"/>
      <c r="VEJ141" s="205"/>
      <c r="VEK141" s="204"/>
      <c r="VEL141" s="205"/>
      <c r="VEM141" s="204"/>
      <c r="VEN141" s="205"/>
      <c r="VEO141" s="204"/>
      <c r="VEP141" s="205"/>
      <c r="VEQ141" s="204"/>
      <c r="VER141" s="205"/>
      <c r="VES141" s="204"/>
      <c r="VET141" s="205"/>
      <c r="VEU141" s="204"/>
      <c r="VEV141" s="205"/>
      <c r="VEW141" s="204"/>
      <c r="VEX141" s="205"/>
      <c r="VEY141" s="204"/>
      <c r="VEZ141" s="205"/>
      <c r="VFA141" s="204"/>
      <c r="VFB141" s="205"/>
      <c r="VFC141" s="204"/>
      <c r="VFD141" s="205"/>
      <c r="VFE141" s="204"/>
      <c r="VFF141" s="205"/>
      <c r="VFG141" s="204"/>
      <c r="VFH141" s="205"/>
      <c r="VFI141" s="204"/>
      <c r="VFJ141" s="205"/>
      <c r="VFK141" s="204"/>
      <c r="VFL141" s="205"/>
      <c r="VFM141" s="204"/>
      <c r="VFN141" s="205"/>
      <c r="VFO141" s="204"/>
      <c r="VFP141" s="205"/>
      <c r="VFQ141" s="204"/>
      <c r="VFR141" s="205"/>
      <c r="VFS141" s="204"/>
      <c r="VFT141" s="205"/>
      <c r="VFU141" s="204"/>
      <c r="VFV141" s="205"/>
      <c r="VFW141" s="204"/>
      <c r="VFX141" s="205"/>
      <c r="VFY141" s="204"/>
      <c r="VFZ141" s="205"/>
      <c r="VGA141" s="204"/>
      <c r="VGB141" s="205"/>
      <c r="VGC141" s="204"/>
      <c r="VGD141" s="205"/>
      <c r="VGE141" s="204"/>
      <c r="VGF141" s="205"/>
      <c r="VGG141" s="204"/>
      <c r="VGH141" s="205"/>
      <c r="VGI141" s="204"/>
      <c r="VGJ141" s="205"/>
      <c r="VGK141" s="204"/>
      <c r="VGL141" s="205"/>
      <c r="VGM141" s="204"/>
      <c r="VGN141" s="205"/>
      <c r="VGO141" s="204"/>
      <c r="VGP141" s="205"/>
      <c r="VGQ141" s="204"/>
      <c r="VGR141" s="205"/>
      <c r="VGS141" s="204"/>
      <c r="VGT141" s="205"/>
      <c r="VGU141" s="204"/>
      <c r="VGV141" s="205"/>
      <c r="VGW141" s="204"/>
      <c r="VGX141" s="205"/>
      <c r="VGY141" s="204"/>
      <c r="VGZ141" s="205"/>
      <c r="VHA141" s="204"/>
      <c r="VHB141" s="205"/>
      <c r="VHC141" s="204"/>
      <c r="VHD141" s="205"/>
      <c r="VHE141" s="204"/>
      <c r="VHF141" s="205"/>
      <c r="VHG141" s="204"/>
      <c r="VHH141" s="205"/>
      <c r="VHI141" s="204"/>
      <c r="VHJ141" s="205"/>
      <c r="VHK141" s="204"/>
      <c r="VHL141" s="205"/>
      <c r="VHM141" s="204"/>
      <c r="VHN141" s="205"/>
      <c r="VHO141" s="204"/>
      <c r="VHP141" s="205"/>
      <c r="VHQ141" s="204"/>
      <c r="VHR141" s="205"/>
      <c r="VHS141" s="204"/>
      <c r="VHT141" s="205"/>
      <c r="VHU141" s="204"/>
      <c r="VHV141" s="205"/>
      <c r="VHW141" s="204"/>
      <c r="VHX141" s="205"/>
      <c r="VHY141" s="204"/>
      <c r="VHZ141" s="205"/>
      <c r="VIA141" s="204"/>
      <c r="VIB141" s="205"/>
      <c r="VIC141" s="204"/>
      <c r="VID141" s="205"/>
      <c r="VIE141" s="204"/>
      <c r="VIF141" s="205"/>
      <c r="VIG141" s="204"/>
      <c r="VIH141" s="205"/>
      <c r="VII141" s="204"/>
      <c r="VIJ141" s="205"/>
      <c r="VIK141" s="204"/>
      <c r="VIL141" s="205"/>
      <c r="VIM141" s="204"/>
      <c r="VIN141" s="205"/>
      <c r="VIO141" s="204"/>
      <c r="VIP141" s="205"/>
      <c r="VIQ141" s="204"/>
      <c r="VIR141" s="205"/>
      <c r="VIS141" s="204"/>
      <c r="VIT141" s="205"/>
      <c r="VIU141" s="204"/>
      <c r="VIV141" s="205"/>
      <c r="VIW141" s="204"/>
      <c r="VIX141" s="205"/>
      <c r="VIY141" s="204"/>
      <c r="VIZ141" s="205"/>
      <c r="VJA141" s="204"/>
      <c r="VJB141" s="205"/>
      <c r="VJC141" s="204"/>
      <c r="VJD141" s="205"/>
      <c r="VJE141" s="204"/>
      <c r="VJF141" s="205"/>
      <c r="VJG141" s="204"/>
      <c r="VJH141" s="205"/>
      <c r="VJI141" s="204"/>
      <c r="VJJ141" s="205"/>
      <c r="VJK141" s="204"/>
      <c r="VJL141" s="205"/>
      <c r="VJM141" s="204"/>
      <c r="VJN141" s="205"/>
      <c r="VJO141" s="204"/>
      <c r="VJP141" s="205"/>
      <c r="VJQ141" s="204"/>
      <c r="VJR141" s="205"/>
      <c r="VJS141" s="204"/>
      <c r="VJT141" s="205"/>
      <c r="VJU141" s="204"/>
      <c r="VJV141" s="205"/>
      <c r="VJW141" s="204"/>
      <c r="VJX141" s="205"/>
      <c r="VJY141" s="204"/>
      <c r="VJZ141" s="205"/>
      <c r="VKA141" s="204"/>
      <c r="VKB141" s="205"/>
      <c r="VKC141" s="204"/>
      <c r="VKD141" s="205"/>
      <c r="VKE141" s="204"/>
      <c r="VKF141" s="205"/>
      <c r="VKG141" s="204"/>
      <c r="VKH141" s="205"/>
      <c r="VKI141" s="204"/>
      <c r="VKJ141" s="205"/>
      <c r="VKK141" s="204"/>
      <c r="VKL141" s="205"/>
      <c r="VKM141" s="204"/>
      <c r="VKN141" s="205"/>
      <c r="VKO141" s="204"/>
      <c r="VKP141" s="205"/>
      <c r="VKQ141" s="204"/>
      <c r="VKR141" s="205"/>
      <c r="VKS141" s="204"/>
      <c r="VKT141" s="205"/>
      <c r="VKU141" s="204"/>
      <c r="VKV141" s="205"/>
      <c r="VKW141" s="204"/>
      <c r="VKX141" s="205"/>
      <c r="VKY141" s="204"/>
      <c r="VKZ141" s="205"/>
      <c r="VLA141" s="204"/>
      <c r="VLB141" s="205"/>
      <c r="VLC141" s="204"/>
      <c r="VLD141" s="205"/>
      <c r="VLE141" s="204"/>
      <c r="VLF141" s="205"/>
      <c r="VLG141" s="204"/>
      <c r="VLH141" s="205"/>
      <c r="VLI141" s="204"/>
      <c r="VLJ141" s="205"/>
      <c r="VLK141" s="204"/>
      <c r="VLL141" s="205"/>
      <c r="VLM141" s="204"/>
      <c r="VLN141" s="205"/>
      <c r="VLO141" s="204"/>
      <c r="VLP141" s="205"/>
      <c r="VLQ141" s="204"/>
      <c r="VLR141" s="205"/>
      <c r="VLS141" s="204"/>
      <c r="VLT141" s="205"/>
      <c r="VLU141" s="204"/>
      <c r="VLV141" s="205"/>
      <c r="VLW141" s="204"/>
      <c r="VLX141" s="205"/>
      <c r="VLY141" s="204"/>
      <c r="VLZ141" s="205"/>
      <c r="VMA141" s="204"/>
      <c r="VMB141" s="205"/>
      <c r="VMC141" s="204"/>
      <c r="VMD141" s="205"/>
      <c r="VME141" s="204"/>
      <c r="VMF141" s="205"/>
      <c r="VMG141" s="204"/>
      <c r="VMH141" s="205"/>
      <c r="VMI141" s="204"/>
      <c r="VMJ141" s="205"/>
      <c r="VMK141" s="204"/>
      <c r="VML141" s="205"/>
      <c r="VMM141" s="204"/>
      <c r="VMN141" s="205"/>
      <c r="VMO141" s="204"/>
      <c r="VMP141" s="205"/>
      <c r="VMQ141" s="204"/>
      <c r="VMR141" s="205"/>
      <c r="VMS141" s="204"/>
      <c r="VMT141" s="205"/>
      <c r="VMU141" s="204"/>
      <c r="VMV141" s="205"/>
      <c r="VMW141" s="204"/>
      <c r="VMX141" s="205"/>
      <c r="VMY141" s="204"/>
      <c r="VMZ141" s="205"/>
      <c r="VNA141" s="204"/>
      <c r="VNB141" s="205"/>
      <c r="VNC141" s="204"/>
      <c r="VND141" s="205"/>
      <c r="VNE141" s="204"/>
      <c r="VNF141" s="205"/>
      <c r="VNG141" s="204"/>
      <c r="VNH141" s="205"/>
      <c r="VNI141" s="204"/>
      <c r="VNJ141" s="205"/>
      <c r="VNK141" s="204"/>
      <c r="VNL141" s="205"/>
      <c r="VNM141" s="204"/>
      <c r="VNN141" s="205"/>
      <c r="VNO141" s="204"/>
      <c r="VNP141" s="205"/>
      <c r="VNQ141" s="204"/>
      <c r="VNR141" s="205"/>
      <c r="VNS141" s="204"/>
      <c r="VNT141" s="205"/>
      <c r="VNU141" s="204"/>
      <c r="VNV141" s="205"/>
      <c r="VNW141" s="204"/>
      <c r="VNX141" s="205"/>
      <c r="VNY141" s="204"/>
      <c r="VNZ141" s="205"/>
      <c r="VOA141" s="204"/>
      <c r="VOB141" s="205"/>
      <c r="VOC141" s="204"/>
      <c r="VOD141" s="205"/>
      <c r="VOE141" s="204"/>
      <c r="VOF141" s="205"/>
      <c r="VOG141" s="204"/>
      <c r="VOH141" s="205"/>
      <c r="VOI141" s="204"/>
      <c r="VOJ141" s="205"/>
      <c r="VOK141" s="204"/>
      <c r="VOL141" s="205"/>
      <c r="VOM141" s="204"/>
      <c r="VON141" s="205"/>
      <c r="VOO141" s="204"/>
      <c r="VOP141" s="205"/>
      <c r="VOQ141" s="204"/>
      <c r="VOR141" s="205"/>
      <c r="VOS141" s="204"/>
      <c r="VOT141" s="205"/>
      <c r="VOU141" s="204"/>
      <c r="VOV141" s="205"/>
      <c r="VOW141" s="204"/>
      <c r="VOX141" s="205"/>
      <c r="VOY141" s="204"/>
      <c r="VOZ141" s="205"/>
      <c r="VPA141" s="204"/>
      <c r="VPB141" s="205"/>
      <c r="VPC141" s="204"/>
      <c r="VPD141" s="205"/>
      <c r="VPE141" s="204"/>
      <c r="VPF141" s="205"/>
      <c r="VPG141" s="204"/>
      <c r="VPH141" s="205"/>
      <c r="VPI141" s="204"/>
      <c r="VPJ141" s="205"/>
      <c r="VPK141" s="204"/>
      <c r="VPL141" s="205"/>
      <c r="VPM141" s="204"/>
      <c r="VPN141" s="205"/>
      <c r="VPO141" s="204"/>
      <c r="VPP141" s="205"/>
      <c r="VPQ141" s="204"/>
      <c r="VPR141" s="205"/>
      <c r="VPS141" s="204"/>
      <c r="VPT141" s="205"/>
      <c r="VPU141" s="204"/>
      <c r="VPV141" s="205"/>
      <c r="VPW141" s="204"/>
      <c r="VPX141" s="205"/>
      <c r="VPY141" s="204"/>
      <c r="VPZ141" s="205"/>
      <c r="VQA141" s="204"/>
      <c r="VQB141" s="205"/>
      <c r="VQC141" s="204"/>
      <c r="VQD141" s="205"/>
      <c r="VQE141" s="204"/>
      <c r="VQF141" s="205"/>
      <c r="VQG141" s="204"/>
      <c r="VQH141" s="205"/>
      <c r="VQI141" s="204"/>
      <c r="VQJ141" s="205"/>
      <c r="VQK141" s="204"/>
      <c r="VQL141" s="205"/>
      <c r="VQM141" s="204"/>
      <c r="VQN141" s="205"/>
      <c r="VQO141" s="204"/>
      <c r="VQP141" s="205"/>
      <c r="VQQ141" s="204"/>
      <c r="VQR141" s="205"/>
      <c r="VQS141" s="204"/>
      <c r="VQT141" s="205"/>
      <c r="VQU141" s="204"/>
      <c r="VQV141" s="205"/>
      <c r="VQW141" s="204"/>
      <c r="VQX141" s="205"/>
      <c r="VQY141" s="204"/>
      <c r="VQZ141" s="205"/>
      <c r="VRA141" s="204"/>
      <c r="VRB141" s="205"/>
      <c r="VRC141" s="204"/>
      <c r="VRD141" s="205"/>
      <c r="VRE141" s="204"/>
      <c r="VRF141" s="205"/>
      <c r="VRG141" s="204"/>
      <c r="VRH141" s="205"/>
      <c r="VRI141" s="204"/>
      <c r="VRJ141" s="205"/>
      <c r="VRK141" s="204"/>
      <c r="VRL141" s="205"/>
      <c r="VRM141" s="204"/>
      <c r="VRN141" s="205"/>
      <c r="VRO141" s="204"/>
      <c r="VRP141" s="205"/>
      <c r="VRQ141" s="204"/>
      <c r="VRR141" s="205"/>
      <c r="VRS141" s="204"/>
      <c r="VRT141" s="205"/>
      <c r="VRU141" s="204"/>
      <c r="VRV141" s="205"/>
      <c r="VRW141" s="204"/>
      <c r="VRX141" s="205"/>
      <c r="VRY141" s="204"/>
      <c r="VRZ141" s="205"/>
      <c r="VSA141" s="204"/>
      <c r="VSB141" s="205"/>
      <c r="VSC141" s="204"/>
      <c r="VSD141" s="205"/>
      <c r="VSE141" s="204"/>
      <c r="VSF141" s="205"/>
      <c r="VSG141" s="204"/>
      <c r="VSH141" s="205"/>
      <c r="VSI141" s="204"/>
      <c r="VSJ141" s="205"/>
      <c r="VSK141" s="204"/>
      <c r="VSL141" s="205"/>
      <c r="VSM141" s="204"/>
      <c r="VSN141" s="205"/>
      <c r="VSO141" s="204"/>
      <c r="VSP141" s="205"/>
      <c r="VSQ141" s="204"/>
      <c r="VSR141" s="205"/>
      <c r="VSS141" s="204"/>
      <c r="VST141" s="205"/>
      <c r="VSU141" s="204"/>
      <c r="VSV141" s="205"/>
      <c r="VSW141" s="204"/>
      <c r="VSX141" s="205"/>
      <c r="VSY141" s="204"/>
      <c r="VSZ141" s="205"/>
      <c r="VTA141" s="204"/>
      <c r="VTB141" s="205"/>
      <c r="VTC141" s="204"/>
      <c r="VTD141" s="205"/>
      <c r="VTE141" s="204"/>
      <c r="VTF141" s="205"/>
      <c r="VTG141" s="204"/>
      <c r="VTH141" s="205"/>
      <c r="VTI141" s="204"/>
      <c r="VTJ141" s="205"/>
      <c r="VTK141" s="204"/>
      <c r="VTL141" s="205"/>
      <c r="VTM141" s="204"/>
      <c r="VTN141" s="205"/>
      <c r="VTO141" s="204"/>
      <c r="VTP141" s="205"/>
      <c r="VTQ141" s="204"/>
      <c r="VTR141" s="205"/>
      <c r="VTS141" s="204"/>
      <c r="VTT141" s="205"/>
      <c r="VTU141" s="204"/>
      <c r="VTV141" s="205"/>
      <c r="VTW141" s="204"/>
      <c r="VTX141" s="205"/>
      <c r="VTY141" s="204"/>
      <c r="VTZ141" s="205"/>
      <c r="VUA141" s="204"/>
      <c r="VUB141" s="205"/>
      <c r="VUC141" s="204"/>
      <c r="VUD141" s="205"/>
      <c r="VUE141" s="204"/>
      <c r="VUF141" s="205"/>
      <c r="VUG141" s="204"/>
      <c r="VUH141" s="205"/>
      <c r="VUI141" s="204"/>
      <c r="VUJ141" s="205"/>
      <c r="VUK141" s="204"/>
      <c r="VUL141" s="205"/>
      <c r="VUM141" s="204"/>
      <c r="VUN141" s="205"/>
      <c r="VUO141" s="204"/>
      <c r="VUP141" s="205"/>
      <c r="VUQ141" s="204"/>
      <c r="VUR141" s="205"/>
      <c r="VUS141" s="204"/>
      <c r="VUT141" s="205"/>
      <c r="VUU141" s="204"/>
      <c r="VUV141" s="205"/>
      <c r="VUW141" s="204"/>
      <c r="VUX141" s="205"/>
      <c r="VUY141" s="204"/>
      <c r="VUZ141" s="205"/>
      <c r="VVA141" s="204"/>
      <c r="VVB141" s="205"/>
      <c r="VVC141" s="204"/>
      <c r="VVD141" s="205"/>
      <c r="VVE141" s="204"/>
      <c r="VVF141" s="205"/>
      <c r="VVG141" s="204"/>
      <c r="VVH141" s="205"/>
      <c r="VVI141" s="204"/>
      <c r="VVJ141" s="205"/>
      <c r="VVK141" s="204"/>
      <c r="VVL141" s="205"/>
      <c r="VVM141" s="204"/>
      <c r="VVN141" s="205"/>
      <c r="VVO141" s="204"/>
      <c r="VVP141" s="205"/>
      <c r="VVQ141" s="204"/>
      <c r="VVR141" s="205"/>
      <c r="VVS141" s="204"/>
      <c r="VVT141" s="205"/>
      <c r="VVU141" s="204"/>
      <c r="VVV141" s="205"/>
      <c r="VVW141" s="204"/>
      <c r="VVX141" s="205"/>
      <c r="VVY141" s="204"/>
      <c r="VVZ141" s="205"/>
      <c r="VWA141" s="204"/>
      <c r="VWB141" s="205"/>
      <c r="VWC141" s="204"/>
      <c r="VWD141" s="205"/>
      <c r="VWE141" s="204"/>
      <c r="VWF141" s="205"/>
      <c r="VWG141" s="204"/>
      <c r="VWH141" s="205"/>
      <c r="VWI141" s="204"/>
      <c r="VWJ141" s="205"/>
      <c r="VWK141" s="204"/>
      <c r="VWL141" s="205"/>
      <c r="VWM141" s="204"/>
      <c r="VWN141" s="205"/>
      <c r="VWO141" s="204"/>
      <c r="VWP141" s="205"/>
      <c r="VWQ141" s="204"/>
      <c r="VWR141" s="205"/>
      <c r="VWS141" s="204"/>
      <c r="VWT141" s="205"/>
      <c r="VWU141" s="204"/>
      <c r="VWV141" s="205"/>
      <c r="VWW141" s="204"/>
      <c r="VWX141" s="205"/>
      <c r="VWY141" s="204"/>
      <c r="VWZ141" s="205"/>
      <c r="VXA141" s="204"/>
      <c r="VXB141" s="205"/>
      <c r="VXC141" s="204"/>
      <c r="VXD141" s="205"/>
      <c r="VXE141" s="204"/>
      <c r="VXF141" s="205"/>
      <c r="VXG141" s="204"/>
      <c r="VXH141" s="205"/>
      <c r="VXI141" s="204"/>
      <c r="VXJ141" s="205"/>
      <c r="VXK141" s="204"/>
      <c r="VXL141" s="205"/>
      <c r="VXM141" s="204"/>
      <c r="VXN141" s="205"/>
      <c r="VXO141" s="204"/>
      <c r="VXP141" s="205"/>
      <c r="VXQ141" s="204"/>
      <c r="VXR141" s="205"/>
      <c r="VXS141" s="204"/>
      <c r="VXT141" s="205"/>
      <c r="VXU141" s="204"/>
      <c r="VXV141" s="205"/>
      <c r="VXW141" s="204"/>
      <c r="VXX141" s="205"/>
      <c r="VXY141" s="204"/>
      <c r="VXZ141" s="205"/>
      <c r="VYA141" s="204"/>
      <c r="VYB141" s="205"/>
      <c r="VYC141" s="204"/>
      <c r="VYD141" s="205"/>
      <c r="VYE141" s="204"/>
      <c r="VYF141" s="205"/>
      <c r="VYG141" s="204"/>
      <c r="VYH141" s="205"/>
      <c r="VYI141" s="204"/>
      <c r="VYJ141" s="205"/>
      <c r="VYK141" s="204"/>
      <c r="VYL141" s="205"/>
      <c r="VYM141" s="204"/>
      <c r="VYN141" s="205"/>
      <c r="VYO141" s="204"/>
      <c r="VYP141" s="205"/>
      <c r="VYQ141" s="204"/>
      <c r="VYR141" s="205"/>
      <c r="VYS141" s="204"/>
      <c r="VYT141" s="205"/>
      <c r="VYU141" s="204"/>
      <c r="VYV141" s="205"/>
      <c r="VYW141" s="204"/>
      <c r="VYX141" s="205"/>
      <c r="VYY141" s="204"/>
      <c r="VYZ141" s="205"/>
      <c r="VZA141" s="204"/>
      <c r="VZB141" s="205"/>
      <c r="VZC141" s="204"/>
      <c r="VZD141" s="205"/>
      <c r="VZE141" s="204"/>
      <c r="VZF141" s="205"/>
      <c r="VZG141" s="204"/>
      <c r="VZH141" s="205"/>
      <c r="VZI141" s="204"/>
      <c r="VZJ141" s="205"/>
      <c r="VZK141" s="204"/>
      <c r="VZL141" s="205"/>
      <c r="VZM141" s="204"/>
      <c r="VZN141" s="205"/>
      <c r="VZO141" s="204"/>
      <c r="VZP141" s="205"/>
      <c r="VZQ141" s="204"/>
      <c r="VZR141" s="205"/>
      <c r="VZS141" s="204"/>
      <c r="VZT141" s="205"/>
      <c r="VZU141" s="204"/>
      <c r="VZV141" s="205"/>
      <c r="VZW141" s="204"/>
      <c r="VZX141" s="205"/>
      <c r="VZY141" s="204"/>
      <c r="VZZ141" s="205"/>
      <c r="WAA141" s="204"/>
      <c r="WAB141" s="205"/>
      <c r="WAC141" s="204"/>
      <c r="WAD141" s="205"/>
      <c r="WAE141" s="204"/>
      <c r="WAF141" s="205"/>
      <c r="WAG141" s="204"/>
      <c r="WAH141" s="205"/>
      <c r="WAI141" s="204"/>
      <c r="WAJ141" s="205"/>
      <c r="WAK141" s="204"/>
      <c r="WAL141" s="205"/>
      <c r="WAM141" s="204"/>
      <c r="WAN141" s="205"/>
      <c r="WAO141" s="204"/>
      <c r="WAP141" s="205"/>
      <c r="WAQ141" s="204"/>
      <c r="WAR141" s="205"/>
      <c r="WAS141" s="204"/>
      <c r="WAT141" s="205"/>
      <c r="WAU141" s="204"/>
      <c r="WAV141" s="205"/>
      <c r="WAW141" s="204"/>
      <c r="WAX141" s="205"/>
      <c r="WAY141" s="204"/>
      <c r="WAZ141" s="205"/>
      <c r="WBA141" s="204"/>
      <c r="WBB141" s="205"/>
      <c r="WBC141" s="204"/>
      <c r="WBD141" s="205"/>
      <c r="WBE141" s="204"/>
      <c r="WBF141" s="205"/>
      <c r="WBG141" s="204"/>
      <c r="WBH141" s="205"/>
      <c r="WBI141" s="204"/>
      <c r="WBJ141" s="205"/>
      <c r="WBK141" s="204"/>
      <c r="WBL141" s="205"/>
      <c r="WBM141" s="204"/>
      <c r="WBN141" s="205"/>
      <c r="WBO141" s="204"/>
      <c r="WBP141" s="205"/>
      <c r="WBQ141" s="204"/>
      <c r="WBR141" s="205"/>
      <c r="WBS141" s="204"/>
      <c r="WBT141" s="205"/>
      <c r="WBU141" s="204"/>
      <c r="WBV141" s="205"/>
      <c r="WBW141" s="204"/>
      <c r="WBX141" s="205"/>
      <c r="WBY141" s="204"/>
      <c r="WBZ141" s="205"/>
      <c r="WCA141" s="204"/>
      <c r="WCB141" s="205"/>
      <c r="WCC141" s="204"/>
      <c r="WCD141" s="205"/>
      <c r="WCE141" s="204"/>
      <c r="WCF141" s="205"/>
      <c r="WCG141" s="204"/>
      <c r="WCH141" s="205"/>
      <c r="WCI141" s="204"/>
      <c r="WCJ141" s="205"/>
      <c r="WCK141" s="204"/>
      <c r="WCL141" s="205"/>
      <c r="WCM141" s="204"/>
      <c r="WCN141" s="205"/>
      <c r="WCO141" s="204"/>
      <c r="WCP141" s="205"/>
      <c r="WCQ141" s="204"/>
      <c r="WCR141" s="205"/>
      <c r="WCS141" s="204"/>
      <c r="WCT141" s="205"/>
      <c r="WCU141" s="204"/>
      <c r="WCV141" s="205"/>
      <c r="WCW141" s="204"/>
      <c r="WCX141" s="205"/>
      <c r="WCY141" s="204"/>
      <c r="WCZ141" s="205"/>
      <c r="WDA141" s="204"/>
      <c r="WDB141" s="205"/>
      <c r="WDC141" s="204"/>
      <c r="WDD141" s="205"/>
      <c r="WDE141" s="204"/>
      <c r="WDF141" s="205"/>
      <c r="WDG141" s="204"/>
      <c r="WDH141" s="205"/>
      <c r="WDI141" s="204"/>
      <c r="WDJ141" s="205"/>
      <c r="WDK141" s="204"/>
      <c r="WDL141" s="205"/>
      <c r="WDM141" s="204"/>
      <c r="WDN141" s="205"/>
      <c r="WDO141" s="204"/>
      <c r="WDP141" s="205"/>
      <c r="WDQ141" s="204"/>
      <c r="WDR141" s="205"/>
      <c r="WDS141" s="204"/>
      <c r="WDT141" s="205"/>
      <c r="WDU141" s="204"/>
      <c r="WDV141" s="205"/>
      <c r="WDW141" s="204"/>
      <c r="WDX141" s="205"/>
      <c r="WDY141" s="204"/>
      <c r="WDZ141" s="205"/>
      <c r="WEA141" s="204"/>
      <c r="WEB141" s="205"/>
      <c r="WEC141" s="204"/>
      <c r="WED141" s="205"/>
      <c r="WEE141" s="204"/>
      <c r="WEF141" s="205"/>
      <c r="WEG141" s="204"/>
      <c r="WEH141" s="205"/>
      <c r="WEI141" s="204"/>
      <c r="WEJ141" s="205"/>
      <c r="WEK141" s="204"/>
      <c r="WEL141" s="205"/>
      <c r="WEM141" s="204"/>
      <c r="WEN141" s="205"/>
      <c r="WEO141" s="204"/>
      <c r="WEP141" s="205"/>
      <c r="WEQ141" s="204"/>
      <c r="WER141" s="205"/>
      <c r="WES141" s="204"/>
      <c r="WET141" s="205"/>
      <c r="WEU141" s="204"/>
      <c r="WEV141" s="205"/>
      <c r="WEW141" s="204"/>
      <c r="WEX141" s="205"/>
      <c r="WEY141" s="204"/>
      <c r="WEZ141" s="205"/>
      <c r="WFA141" s="204"/>
      <c r="WFB141" s="205"/>
      <c r="WFC141" s="204"/>
      <c r="WFD141" s="205"/>
      <c r="WFE141" s="204"/>
      <c r="WFF141" s="205"/>
      <c r="WFG141" s="204"/>
      <c r="WFH141" s="205"/>
      <c r="WFI141" s="204"/>
      <c r="WFJ141" s="205"/>
      <c r="WFK141" s="204"/>
      <c r="WFL141" s="205"/>
      <c r="WFM141" s="204"/>
      <c r="WFN141" s="205"/>
      <c r="WFO141" s="204"/>
      <c r="WFP141" s="205"/>
      <c r="WFQ141" s="204"/>
      <c r="WFR141" s="205"/>
      <c r="WFS141" s="204"/>
      <c r="WFT141" s="205"/>
      <c r="WFU141" s="204"/>
      <c r="WFV141" s="205"/>
      <c r="WFW141" s="204"/>
      <c r="WFX141" s="205"/>
      <c r="WFY141" s="204"/>
      <c r="WFZ141" s="205"/>
      <c r="WGA141" s="204"/>
      <c r="WGB141" s="205"/>
      <c r="WGC141" s="204"/>
      <c r="WGD141" s="205"/>
      <c r="WGE141" s="204"/>
      <c r="WGF141" s="205"/>
      <c r="WGG141" s="204"/>
      <c r="WGH141" s="205"/>
      <c r="WGI141" s="204"/>
      <c r="WGJ141" s="205"/>
      <c r="WGK141" s="204"/>
      <c r="WGL141" s="205"/>
      <c r="WGM141" s="204"/>
      <c r="WGN141" s="205"/>
      <c r="WGO141" s="204"/>
      <c r="WGP141" s="205"/>
      <c r="WGQ141" s="204"/>
      <c r="WGR141" s="205"/>
      <c r="WGS141" s="204"/>
      <c r="WGT141" s="205"/>
      <c r="WGU141" s="204"/>
      <c r="WGV141" s="205"/>
      <c r="WGW141" s="204"/>
      <c r="WGX141" s="205"/>
      <c r="WGY141" s="204"/>
      <c r="WGZ141" s="205"/>
      <c r="WHA141" s="204"/>
      <c r="WHB141" s="205"/>
      <c r="WHC141" s="204"/>
      <c r="WHD141" s="205"/>
      <c r="WHE141" s="204"/>
      <c r="WHF141" s="205"/>
      <c r="WHG141" s="204"/>
      <c r="WHH141" s="205"/>
      <c r="WHI141" s="204"/>
      <c r="WHJ141" s="205"/>
      <c r="WHK141" s="204"/>
      <c r="WHL141" s="205"/>
      <c r="WHM141" s="204"/>
      <c r="WHN141" s="205"/>
      <c r="WHO141" s="204"/>
      <c r="WHP141" s="205"/>
      <c r="WHQ141" s="204"/>
      <c r="WHR141" s="205"/>
      <c r="WHS141" s="204"/>
      <c r="WHT141" s="205"/>
      <c r="WHU141" s="204"/>
      <c r="WHV141" s="205"/>
      <c r="WHW141" s="204"/>
      <c r="WHX141" s="205"/>
      <c r="WHY141" s="204"/>
      <c r="WHZ141" s="205"/>
      <c r="WIA141" s="204"/>
      <c r="WIB141" s="205"/>
      <c r="WIC141" s="204"/>
      <c r="WID141" s="205"/>
      <c r="WIE141" s="204"/>
      <c r="WIF141" s="205"/>
      <c r="WIG141" s="204"/>
      <c r="WIH141" s="205"/>
      <c r="WII141" s="204"/>
      <c r="WIJ141" s="205"/>
      <c r="WIK141" s="204"/>
      <c r="WIL141" s="205"/>
      <c r="WIM141" s="204"/>
      <c r="WIN141" s="205"/>
      <c r="WIO141" s="204"/>
      <c r="WIP141" s="205"/>
      <c r="WIQ141" s="204"/>
      <c r="WIR141" s="205"/>
      <c r="WIS141" s="204"/>
      <c r="WIT141" s="205"/>
      <c r="WIU141" s="204"/>
      <c r="WIV141" s="205"/>
      <c r="WIW141" s="204"/>
      <c r="WIX141" s="205"/>
      <c r="WIY141" s="204"/>
      <c r="WIZ141" s="205"/>
      <c r="WJA141" s="204"/>
      <c r="WJB141" s="205"/>
      <c r="WJC141" s="204"/>
      <c r="WJD141" s="205"/>
      <c r="WJE141" s="204"/>
      <c r="WJF141" s="205"/>
      <c r="WJG141" s="204"/>
      <c r="WJH141" s="205"/>
      <c r="WJI141" s="204"/>
      <c r="WJJ141" s="205"/>
      <c r="WJK141" s="204"/>
      <c r="WJL141" s="205"/>
      <c r="WJM141" s="204"/>
      <c r="WJN141" s="205"/>
      <c r="WJO141" s="204"/>
      <c r="WJP141" s="205"/>
      <c r="WJQ141" s="204"/>
      <c r="WJR141" s="205"/>
      <c r="WJS141" s="204"/>
      <c r="WJT141" s="205"/>
      <c r="WJU141" s="204"/>
      <c r="WJV141" s="205"/>
      <c r="WJW141" s="204"/>
      <c r="WJX141" s="205"/>
      <c r="WJY141" s="204"/>
      <c r="WJZ141" s="205"/>
      <c r="WKA141" s="204"/>
      <c r="WKB141" s="205"/>
      <c r="WKC141" s="204"/>
      <c r="WKD141" s="205"/>
      <c r="WKE141" s="204"/>
      <c r="WKF141" s="205"/>
      <c r="WKG141" s="204"/>
      <c r="WKH141" s="205"/>
      <c r="WKI141" s="204"/>
      <c r="WKJ141" s="205"/>
      <c r="WKK141" s="204"/>
      <c r="WKL141" s="205"/>
      <c r="WKM141" s="204"/>
      <c r="WKN141" s="205"/>
      <c r="WKO141" s="204"/>
      <c r="WKP141" s="205"/>
      <c r="WKQ141" s="204"/>
      <c r="WKR141" s="205"/>
      <c r="WKS141" s="204"/>
      <c r="WKT141" s="205"/>
      <c r="WKU141" s="204"/>
      <c r="WKV141" s="205"/>
      <c r="WKW141" s="204"/>
      <c r="WKX141" s="205"/>
      <c r="WKY141" s="204"/>
      <c r="WKZ141" s="205"/>
      <c r="WLA141" s="204"/>
      <c r="WLB141" s="205"/>
      <c r="WLC141" s="204"/>
      <c r="WLD141" s="205"/>
      <c r="WLE141" s="204"/>
      <c r="WLF141" s="205"/>
      <c r="WLG141" s="204"/>
      <c r="WLH141" s="205"/>
      <c r="WLI141" s="204"/>
      <c r="WLJ141" s="205"/>
      <c r="WLK141" s="204"/>
      <c r="WLL141" s="205"/>
      <c r="WLM141" s="204"/>
      <c r="WLN141" s="205"/>
      <c r="WLO141" s="204"/>
      <c r="WLP141" s="205"/>
      <c r="WLQ141" s="204"/>
      <c r="WLR141" s="205"/>
      <c r="WLS141" s="204"/>
      <c r="WLT141" s="205"/>
      <c r="WLU141" s="204"/>
      <c r="WLV141" s="205"/>
      <c r="WLW141" s="204"/>
      <c r="WLX141" s="205"/>
      <c r="WLY141" s="204"/>
      <c r="WLZ141" s="205"/>
      <c r="WMA141" s="204"/>
      <c r="WMB141" s="205"/>
      <c r="WMC141" s="204"/>
      <c r="WMD141" s="205"/>
      <c r="WME141" s="204"/>
      <c r="WMF141" s="205"/>
      <c r="WMG141" s="204"/>
      <c r="WMH141" s="205"/>
      <c r="WMI141" s="204"/>
      <c r="WMJ141" s="205"/>
      <c r="WMK141" s="204"/>
      <c r="WML141" s="205"/>
      <c r="WMM141" s="204"/>
      <c r="WMN141" s="205"/>
      <c r="WMO141" s="204"/>
      <c r="WMP141" s="205"/>
      <c r="WMQ141" s="204"/>
      <c r="WMR141" s="205"/>
      <c r="WMS141" s="204"/>
      <c r="WMT141" s="205"/>
      <c r="WMU141" s="204"/>
      <c r="WMV141" s="205"/>
      <c r="WMW141" s="204"/>
      <c r="WMX141" s="205"/>
      <c r="WMY141" s="204"/>
      <c r="WMZ141" s="205"/>
      <c r="WNA141" s="204"/>
      <c r="WNB141" s="205"/>
      <c r="WNC141" s="204"/>
      <c r="WND141" s="205"/>
      <c r="WNE141" s="204"/>
      <c r="WNF141" s="205"/>
      <c r="WNG141" s="204"/>
      <c r="WNH141" s="205"/>
      <c r="WNI141" s="204"/>
      <c r="WNJ141" s="205"/>
      <c r="WNK141" s="204"/>
      <c r="WNL141" s="205"/>
      <c r="WNM141" s="204"/>
      <c r="WNN141" s="205"/>
      <c r="WNO141" s="204"/>
      <c r="WNP141" s="205"/>
      <c r="WNQ141" s="204"/>
      <c r="WNR141" s="205"/>
      <c r="WNS141" s="204"/>
      <c r="WNT141" s="205"/>
      <c r="WNU141" s="204"/>
      <c r="WNV141" s="205"/>
      <c r="WNW141" s="204"/>
      <c r="WNX141" s="205"/>
      <c r="WNY141" s="204"/>
      <c r="WNZ141" s="205"/>
      <c r="WOA141" s="204"/>
      <c r="WOB141" s="205"/>
      <c r="WOC141" s="204"/>
      <c r="WOD141" s="205"/>
      <c r="WOE141" s="204"/>
      <c r="WOF141" s="205"/>
      <c r="WOG141" s="204"/>
      <c r="WOH141" s="205"/>
      <c r="WOI141" s="204"/>
      <c r="WOJ141" s="205"/>
      <c r="WOK141" s="204"/>
      <c r="WOL141" s="205"/>
      <c r="WOM141" s="204"/>
      <c r="WON141" s="205"/>
      <c r="WOO141" s="204"/>
      <c r="WOP141" s="205"/>
      <c r="WOQ141" s="204"/>
      <c r="WOR141" s="205"/>
      <c r="WOS141" s="204"/>
      <c r="WOT141" s="205"/>
      <c r="WOU141" s="204"/>
      <c r="WOV141" s="205"/>
      <c r="WOW141" s="204"/>
      <c r="WOX141" s="205"/>
      <c r="WOY141" s="204"/>
      <c r="WOZ141" s="205"/>
      <c r="WPA141" s="204"/>
      <c r="WPB141" s="205"/>
      <c r="WPC141" s="204"/>
      <c r="WPD141" s="205"/>
      <c r="WPE141" s="204"/>
      <c r="WPF141" s="205"/>
      <c r="WPG141" s="204"/>
      <c r="WPH141" s="205"/>
      <c r="WPI141" s="204"/>
      <c r="WPJ141" s="205"/>
      <c r="WPK141" s="204"/>
      <c r="WPL141" s="205"/>
      <c r="WPM141" s="204"/>
      <c r="WPN141" s="205"/>
      <c r="WPO141" s="204"/>
      <c r="WPP141" s="205"/>
      <c r="WPQ141" s="204"/>
      <c r="WPR141" s="205"/>
      <c r="WPS141" s="204"/>
      <c r="WPT141" s="205"/>
      <c r="WPU141" s="204"/>
      <c r="WPV141" s="205"/>
      <c r="WPW141" s="204"/>
      <c r="WPX141" s="205"/>
      <c r="WPY141" s="204"/>
      <c r="WPZ141" s="205"/>
      <c r="WQA141" s="204"/>
      <c r="WQB141" s="205"/>
      <c r="WQC141" s="204"/>
      <c r="WQD141" s="205"/>
      <c r="WQE141" s="204"/>
      <c r="WQF141" s="205"/>
      <c r="WQG141" s="204"/>
      <c r="WQH141" s="205"/>
      <c r="WQI141" s="204"/>
      <c r="WQJ141" s="205"/>
      <c r="WQK141" s="204"/>
      <c r="WQL141" s="205"/>
      <c r="WQM141" s="204"/>
      <c r="WQN141" s="205"/>
      <c r="WQO141" s="204"/>
      <c r="WQP141" s="205"/>
      <c r="WQQ141" s="204"/>
      <c r="WQR141" s="205"/>
      <c r="WQS141" s="204"/>
      <c r="WQT141" s="205"/>
      <c r="WQU141" s="204"/>
      <c r="WQV141" s="205"/>
      <c r="WQW141" s="204"/>
      <c r="WQX141" s="205"/>
      <c r="WQY141" s="204"/>
      <c r="WQZ141" s="205"/>
      <c r="WRA141" s="204"/>
      <c r="WRB141" s="205"/>
      <c r="WRC141" s="204"/>
      <c r="WRD141" s="205"/>
      <c r="WRE141" s="204"/>
      <c r="WRF141" s="205"/>
      <c r="WRG141" s="204"/>
      <c r="WRH141" s="205"/>
      <c r="WRI141" s="204"/>
      <c r="WRJ141" s="205"/>
      <c r="WRK141" s="204"/>
      <c r="WRL141" s="205"/>
      <c r="WRM141" s="204"/>
      <c r="WRN141" s="205"/>
      <c r="WRO141" s="204"/>
      <c r="WRP141" s="205"/>
      <c r="WRQ141" s="204"/>
      <c r="WRR141" s="205"/>
      <c r="WRS141" s="204"/>
      <c r="WRT141" s="205"/>
      <c r="WRU141" s="204"/>
      <c r="WRV141" s="205"/>
      <c r="WRW141" s="204"/>
      <c r="WRX141" s="205"/>
      <c r="WRY141" s="204"/>
      <c r="WRZ141" s="205"/>
      <c r="WSA141" s="204"/>
      <c r="WSB141" s="205"/>
      <c r="WSC141" s="204"/>
      <c r="WSD141" s="205"/>
      <c r="WSE141" s="204"/>
      <c r="WSF141" s="205"/>
      <c r="WSG141" s="204"/>
      <c r="WSH141" s="205"/>
      <c r="WSI141" s="204"/>
      <c r="WSJ141" s="205"/>
      <c r="WSK141" s="204"/>
      <c r="WSL141" s="205"/>
      <c r="WSM141" s="204"/>
      <c r="WSN141" s="205"/>
      <c r="WSO141" s="204"/>
      <c r="WSP141" s="205"/>
      <c r="WSQ141" s="204"/>
      <c r="WSR141" s="205"/>
      <c r="WSS141" s="204"/>
      <c r="WST141" s="205"/>
      <c r="WSU141" s="204"/>
      <c r="WSV141" s="205"/>
      <c r="WSW141" s="204"/>
      <c r="WSX141" s="205"/>
      <c r="WSY141" s="204"/>
      <c r="WSZ141" s="205"/>
      <c r="WTA141" s="204"/>
      <c r="WTB141" s="205"/>
      <c r="WTC141" s="204"/>
      <c r="WTD141" s="205"/>
      <c r="WTE141" s="204"/>
      <c r="WTF141" s="205"/>
      <c r="WTG141" s="204"/>
      <c r="WTH141" s="205"/>
      <c r="WTI141" s="204"/>
      <c r="WTJ141" s="205"/>
      <c r="WTK141" s="204"/>
      <c r="WTL141" s="205"/>
      <c r="WTM141" s="204"/>
      <c r="WTN141" s="205"/>
      <c r="WTO141" s="204"/>
      <c r="WTP141" s="205"/>
      <c r="WTQ141" s="204"/>
      <c r="WTR141" s="205"/>
      <c r="WTS141" s="204"/>
      <c r="WTT141" s="205"/>
      <c r="WTU141" s="204"/>
      <c r="WTV141" s="205"/>
      <c r="WTW141" s="204"/>
      <c r="WTX141" s="205"/>
      <c r="WTY141" s="204"/>
      <c r="WTZ141" s="205"/>
      <c r="WUA141" s="204"/>
      <c r="WUB141" s="205"/>
      <c r="WUC141" s="204"/>
      <c r="WUD141" s="205"/>
      <c r="WUE141" s="204"/>
      <c r="WUF141" s="205"/>
      <c r="WUG141" s="204"/>
      <c r="WUH141" s="205"/>
      <c r="WUI141" s="204"/>
      <c r="WUJ141" s="205"/>
      <c r="WUK141" s="204"/>
      <c r="WUL141" s="205"/>
      <c r="WUM141" s="204"/>
      <c r="WUN141" s="205"/>
      <c r="WUO141" s="204"/>
      <c r="WUP141" s="205"/>
      <c r="WUQ141" s="204"/>
      <c r="WUR141" s="205"/>
      <c r="WUS141" s="204"/>
      <c r="WUT141" s="205"/>
      <c r="WUU141" s="204"/>
      <c r="WUV141" s="205"/>
      <c r="WUW141" s="204"/>
      <c r="WUX141" s="205"/>
      <c r="WUY141" s="204"/>
      <c r="WUZ141" s="205"/>
      <c r="WVA141" s="204"/>
      <c r="WVB141" s="205"/>
      <c r="WVC141" s="204"/>
      <c r="WVD141" s="205"/>
      <c r="WVE141" s="204"/>
      <c r="WVF141" s="205"/>
      <c r="WVG141" s="204"/>
      <c r="WVH141" s="205"/>
      <c r="WVI141" s="204"/>
      <c r="WVJ141" s="205"/>
      <c r="WVK141" s="204"/>
      <c r="WVL141" s="205"/>
      <c r="WVM141" s="204"/>
      <c r="WVN141" s="205"/>
      <c r="WVO141" s="204"/>
      <c r="WVP141" s="205"/>
      <c r="WVQ141" s="204"/>
      <c r="WVR141" s="205"/>
      <c r="WVS141" s="204"/>
      <c r="WVT141" s="205"/>
      <c r="WVU141" s="204"/>
      <c r="WVV141" s="205"/>
      <c r="WVW141" s="204"/>
      <c r="WVX141" s="205"/>
      <c r="WVY141" s="204"/>
      <c r="WVZ141" s="205"/>
      <c r="WWA141" s="204"/>
      <c r="WWB141" s="205"/>
      <c r="WWC141" s="204"/>
      <c r="WWD141" s="205"/>
      <c r="WWE141" s="204"/>
      <c r="WWF141" s="205"/>
      <c r="WWG141" s="204"/>
      <c r="WWH141" s="205"/>
      <c r="WWI141" s="204"/>
      <c r="WWJ141" s="205"/>
      <c r="WWK141" s="204"/>
      <c r="WWL141" s="205"/>
      <c r="WWM141" s="204"/>
      <c r="WWN141" s="205"/>
      <c r="WWO141" s="204"/>
      <c r="WWP141" s="205"/>
      <c r="WWQ141" s="204"/>
      <c r="WWR141" s="205"/>
      <c r="WWS141" s="204"/>
      <c r="WWT141" s="205"/>
      <c r="WWU141" s="204"/>
      <c r="WWV141" s="205"/>
      <c r="WWW141" s="204"/>
      <c r="WWX141" s="205"/>
      <c r="WWY141" s="204"/>
      <c r="WWZ141" s="205"/>
      <c r="WXA141" s="204"/>
      <c r="WXB141" s="205"/>
      <c r="WXC141" s="204"/>
      <c r="WXD141" s="205"/>
      <c r="WXE141" s="204"/>
      <c r="WXF141" s="205"/>
      <c r="WXG141" s="204"/>
      <c r="WXH141" s="205"/>
      <c r="WXI141" s="204"/>
      <c r="WXJ141" s="205"/>
      <c r="WXK141" s="204"/>
      <c r="WXL141" s="205"/>
      <c r="WXM141" s="204"/>
      <c r="WXN141" s="205"/>
      <c r="WXO141" s="204"/>
      <c r="WXP141" s="205"/>
      <c r="WXQ141" s="204"/>
      <c r="WXR141" s="205"/>
      <c r="WXS141" s="204"/>
      <c r="WXT141" s="205"/>
      <c r="WXU141" s="204"/>
      <c r="WXV141" s="205"/>
      <c r="WXW141" s="204"/>
      <c r="WXX141" s="205"/>
      <c r="WXY141" s="204"/>
      <c r="WXZ141" s="205"/>
      <c r="WYA141" s="204"/>
      <c r="WYB141" s="205"/>
      <c r="WYC141" s="204"/>
      <c r="WYD141" s="205"/>
      <c r="WYE141" s="204"/>
      <c r="WYF141" s="205"/>
      <c r="WYG141" s="204"/>
      <c r="WYH141" s="205"/>
      <c r="WYI141" s="204"/>
      <c r="WYJ141" s="205"/>
      <c r="WYK141" s="204"/>
      <c r="WYL141" s="205"/>
      <c r="WYM141" s="204"/>
      <c r="WYN141" s="205"/>
      <c r="WYO141" s="204"/>
      <c r="WYP141" s="205"/>
      <c r="WYQ141" s="204"/>
      <c r="WYR141" s="205"/>
      <c r="WYS141" s="204"/>
      <c r="WYT141" s="205"/>
      <c r="WYU141" s="204"/>
      <c r="WYV141" s="205"/>
      <c r="WYW141" s="204"/>
      <c r="WYX141" s="205"/>
      <c r="WYY141" s="204"/>
      <c r="WYZ141" s="205"/>
      <c r="WZA141" s="204"/>
      <c r="WZB141" s="205"/>
      <c r="WZC141" s="204"/>
      <c r="WZD141" s="205"/>
      <c r="WZE141" s="204"/>
      <c r="WZF141" s="205"/>
      <c r="WZG141" s="204"/>
      <c r="WZH141" s="205"/>
      <c r="WZI141" s="204"/>
      <c r="WZJ141" s="205"/>
      <c r="WZK141" s="204"/>
      <c r="WZL141" s="205"/>
      <c r="WZM141" s="204"/>
      <c r="WZN141" s="205"/>
      <c r="WZO141" s="204"/>
      <c r="WZP141" s="205"/>
      <c r="WZQ141" s="204"/>
      <c r="WZR141" s="205"/>
      <c r="WZS141" s="204"/>
      <c r="WZT141" s="205"/>
      <c r="WZU141" s="204"/>
      <c r="WZV141" s="205"/>
      <c r="WZW141" s="204"/>
      <c r="WZX141" s="205"/>
      <c r="WZY141" s="204"/>
      <c r="WZZ141" s="205"/>
      <c r="XAA141" s="204"/>
      <c r="XAB141" s="205"/>
      <c r="XAC141" s="204"/>
      <c r="XAD141" s="205"/>
      <c r="XAE141" s="204"/>
      <c r="XAF141" s="205"/>
      <c r="XAG141" s="204"/>
      <c r="XAH141" s="205"/>
      <c r="XAI141" s="204"/>
      <c r="XAJ141" s="205"/>
      <c r="XAK141" s="204"/>
      <c r="XAL141" s="205"/>
      <c r="XAM141" s="204"/>
      <c r="XAN141" s="205"/>
      <c r="XAO141" s="204"/>
      <c r="XAP141" s="205"/>
      <c r="XAQ141" s="204"/>
      <c r="XAR141" s="205"/>
      <c r="XAS141" s="204"/>
      <c r="XAT141" s="205"/>
      <c r="XAU141" s="204"/>
      <c r="XAV141" s="205"/>
      <c r="XAW141" s="204"/>
      <c r="XAX141" s="205"/>
      <c r="XAY141" s="204"/>
      <c r="XAZ141" s="205"/>
      <c r="XBA141" s="204"/>
      <c r="XBB141" s="205"/>
      <c r="XBC141" s="204"/>
      <c r="XBD141" s="205"/>
      <c r="XBE141" s="204"/>
      <c r="XBF141" s="205"/>
      <c r="XBG141" s="204"/>
      <c r="XBH141" s="205"/>
      <c r="XBI141" s="204"/>
      <c r="XBJ141" s="205"/>
      <c r="XBK141" s="204"/>
      <c r="XBL141" s="205"/>
      <c r="XBM141" s="204"/>
      <c r="XBN141" s="205"/>
      <c r="XBO141" s="204"/>
      <c r="XBP141" s="205"/>
      <c r="XBQ141" s="204"/>
      <c r="XBR141" s="205"/>
      <c r="XBS141" s="204"/>
      <c r="XBT141" s="205"/>
      <c r="XBU141" s="204"/>
      <c r="XBV141" s="205"/>
      <c r="XBW141" s="204"/>
      <c r="XBX141" s="205"/>
      <c r="XBY141" s="204"/>
      <c r="XBZ141" s="205"/>
      <c r="XCA141" s="204"/>
      <c r="XCB141" s="205"/>
      <c r="XCC141" s="204"/>
      <c r="XCD141" s="205"/>
      <c r="XCE141" s="204"/>
      <c r="XCF141" s="205"/>
      <c r="XCG141" s="204"/>
      <c r="XCH141" s="205"/>
      <c r="XCI141" s="204"/>
      <c r="XCJ141" s="205"/>
      <c r="XCK141" s="204"/>
      <c r="XCL141" s="205"/>
      <c r="XCM141" s="204"/>
      <c r="XCN141" s="205"/>
      <c r="XCO141" s="204"/>
      <c r="XCP141" s="205"/>
      <c r="XCQ141" s="204"/>
      <c r="XCR141" s="205"/>
      <c r="XCS141" s="204"/>
      <c r="XCT141" s="205"/>
      <c r="XCU141" s="204"/>
      <c r="XCV141" s="205"/>
      <c r="XCW141" s="204"/>
      <c r="XCX141" s="205"/>
      <c r="XCY141" s="204"/>
      <c r="XCZ141" s="205"/>
      <c r="XDA141" s="204"/>
      <c r="XDB141" s="205"/>
      <c r="XDC141" s="204"/>
      <c r="XDD141" s="205"/>
      <c r="XDE141" s="204"/>
      <c r="XDF141" s="205"/>
      <c r="XDG141" s="204"/>
      <c r="XDH141" s="205"/>
      <c r="XDI141" s="204"/>
      <c r="XDJ141" s="205"/>
      <c r="XDK141" s="204"/>
      <c r="XDL141" s="205"/>
      <c r="XDM141" s="204"/>
      <c r="XDN141" s="205"/>
      <c r="XDO141" s="204"/>
      <c r="XDP141" s="205"/>
      <c r="XDQ141" s="204"/>
      <c r="XDR141" s="205"/>
      <c r="XDS141" s="204"/>
      <c r="XDT141" s="205"/>
      <c r="XDU141" s="204"/>
      <c r="XDV141" s="205"/>
      <c r="XDW141" s="204"/>
      <c r="XDX141" s="205"/>
      <c r="XDY141" s="204"/>
      <c r="XDZ141" s="205"/>
      <c r="XEA141" s="204"/>
      <c r="XEB141" s="205"/>
      <c r="XEC141" s="204"/>
      <c r="XED141" s="205"/>
      <c r="XEE141" s="204"/>
      <c r="XEF141" s="205"/>
      <c r="XEG141" s="204"/>
      <c r="XEH141" s="205"/>
      <c r="XEI141" s="204"/>
      <c r="XEJ141" s="205"/>
      <c r="XEK141" s="204"/>
      <c r="XEL141" s="205"/>
      <c r="XEM141" s="204"/>
      <c r="XEN141" s="205"/>
      <c r="XEO141" s="204"/>
      <c r="XEP141" s="205"/>
      <c r="XEQ141" s="204"/>
      <c r="XER141" s="205"/>
      <c r="XES141" s="204"/>
      <c r="XET141" s="205"/>
      <c r="XEU141" s="204"/>
      <c r="XEV141" s="205"/>
      <c r="XEW141" s="204"/>
      <c r="XEX141" s="205"/>
      <c r="XEY141" s="204"/>
      <c r="XEZ141" s="205"/>
      <c r="XFA141" s="204"/>
      <c r="XFB141" s="205"/>
      <c r="XFC141" s="204"/>
      <c r="XFD141" s="205"/>
    </row>
    <row r="142" spans="1:16384">
      <c r="A142" s="212" t="str">
        <f t="shared" si="14"/>
        <v/>
      </c>
      <c r="B142" s="213" t="s">
        <v>259</v>
      </c>
      <c r="C142" s="214">
        <v>171391</v>
      </c>
      <c r="D142" s="215">
        <f>COUNTIF('Awards Summary'!B:B,"171391")</f>
        <v>0</v>
      </c>
      <c r="E142" s="216">
        <f>SUMIFS('Awards Summary'!H:H,'Awards Summary'!B:B,"171391")</f>
        <v>0</v>
      </c>
      <c r="F142" s="217">
        <f>SUMIFS('Disbursements Summary'!E:E,'Disbursements Summary'!C:C, "171391")</f>
        <v>0</v>
      </c>
      <c r="G142" s="30"/>
      <c r="H142" s="55">
        <f>SUMIFS('Awards Summary'!$H:$H,'Awards Summary'!$B:$B,$C142,'Awards Summary'!$J:$J,"APA")</f>
        <v>0</v>
      </c>
      <c r="I142" s="55">
        <f>SUMIFS('Disbursements Summary'!$E:$E,'Disbursements Summary'!$C:$C,$C142,'Disbursements Summary'!$A:$A,"APA")</f>
        <v>0</v>
      </c>
      <c r="J142" s="55">
        <f>SUMIFS('Awards Summary'!$H:$H,'Awards Summary'!$B:$B,$C142,'Awards Summary'!$J:$J,"Ag&amp;Horse")</f>
        <v>0</v>
      </c>
      <c r="K142" s="55">
        <f>SUMIFS('Disbursements Summary'!$E:$E,'Disbursements Summary'!$C:$C,$C142,'Disbursements Summary'!$A:$A,"Ag&amp;Horse")</f>
        <v>0</v>
      </c>
      <c r="L142" s="55">
        <f>SUMIFS('Awards Summary'!$H:$H,'Awards Summary'!$B:$B,$C142,'Awards Summary'!$J:$J,"ACAA")</f>
        <v>0</v>
      </c>
      <c r="M142" s="55">
        <f>SUMIFS('Disbursements Summary'!$E:$E,'Disbursements Summary'!$C:$C,$C142,'Disbursements Summary'!$A:$A,"ACAA")</f>
        <v>0</v>
      </c>
      <c r="N142" s="55">
        <f>SUMIFS('Awards Summary'!$H:$H,'Awards Summary'!$B:$B,$C142,'Awards Summary'!$J:$J,"PortAlbany")</f>
        <v>0</v>
      </c>
      <c r="O142" s="55">
        <f>SUMIFS('Disbursements Summary'!$E:$E,'Disbursements Summary'!$C:$C,$C142,'Disbursements Summary'!$A:$A,"PortAlbany")</f>
        <v>0</v>
      </c>
      <c r="P142" s="55">
        <f>SUMIFS('Awards Summary'!$H:$H,'Awards Summary'!$B:$B,$C142,'Awards Summary'!$J:$J,"SLA")</f>
        <v>0</v>
      </c>
      <c r="Q142" s="55">
        <f>SUMIFS('Disbursements Summary'!$E:$E,'Disbursements Summary'!$C:$C,$C142,'Disbursements Summary'!$A:$A,"SLA")</f>
        <v>0</v>
      </c>
      <c r="R142" s="55">
        <f>SUMIFS('Awards Summary'!$H:$H,'Awards Summary'!$B:$B,$C142,'Awards Summary'!$J:$J,"BPCA")</f>
        <v>0</v>
      </c>
      <c r="S142" s="55">
        <f>SUMIFS('Disbursements Summary'!$E:$E,'Disbursements Summary'!$C:$C,$C142,'Disbursements Summary'!$A:$A,"BPCA")</f>
        <v>0</v>
      </c>
      <c r="T142" s="55">
        <f>SUMIFS('Awards Summary'!$H:$H,'Awards Summary'!$B:$B,$C142,'Awards Summary'!$J:$J,"ELECTIONS")</f>
        <v>0</v>
      </c>
      <c r="U142" s="55">
        <f>SUMIFS('Disbursements Summary'!$E:$E,'Disbursements Summary'!$C:$C,$C142,'Disbursements Summary'!$A:$A,"ELECTIONS")</f>
        <v>0</v>
      </c>
      <c r="V142" s="55">
        <f>SUMIFS('Awards Summary'!$H:$H,'Awards Summary'!$B:$B,$C142,'Awards Summary'!$J:$J,"BFSA")</f>
        <v>0</v>
      </c>
      <c r="W142" s="55">
        <f>SUMIFS('Disbursements Summary'!$E:$E,'Disbursements Summary'!$C:$C,$C142,'Disbursements Summary'!$A:$A,"BFSA")</f>
        <v>0</v>
      </c>
      <c r="X142" s="55">
        <f>SUMIFS('Awards Summary'!$H:$H,'Awards Summary'!$B:$B,$C142,'Awards Summary'!$J:$J,"CDTA")</f>
        <v>0</v>
      </c>
      <c r="Y142" s="55">
        <f>SUMIFS('Disbursements Summary'!$E:$E,'Disbursements Summary'!$C:$C,$C142,'Disbursements Summary'!$A:$A,"CDTA")</f>
        <v>0</v>
      </c>
      <c r="Z142" s="55">
        <f>SUMIFS('Awards Summary'!$H:$H,'Awards Summary'!$B:$B,$C142,'Awards Summary'!$J:$J,"CCWSA")</f>
        <v>0</v>
      </c>
      <c r="AA142" s="55">
        <f>SUMIFS('Disbursements Summary'!$E:$E,'Disbursements Summary'!$C:$C,$C142,'Disbursements Summary'!$A:$A,"CCWSA")</f>
        <v>0</v>
      </c>
      <c r="AB142" s="55">
        <f>SUMIFS('Awards Summary'!$H:$H,'Awards Summary'!$B:$B,$C142,'Awards Summary'!$J:$J,"CNYRTA")</f>
        <v>0</v>
      </c>
      <c r="AC142" s="55">
        <f>SUMIFS('Disbursements Summary'!$E:$E,'Disbursements Summary'!$C:$C,$C142,'Disbursements Summary'!$A:$A,"CNYRTA")</f>
        <v>0</v>
      </c>
      <c r="AD142" s="55">
        <f>SUMIFS('Awards Summary'!$H:$H,'Awards Summary'!$B:$B,$C142,'Awards Summary'!$J:$J,"CUCF")</f>
        <v>0</v>
      </c>
      <c r="AE142" s="55">
        <f>SUMIFS('Disbursements Summary'!$E:$E,'Disbursements Summary'!$C:$C,$C142,'Disbursements Summary'!$A:$A,"CUCF")</f>
        <v>0</v>
      </c>
      <c r="AF142" s="55">
        <f>SUMIFS('Awards Summary'!$H:$H,'Awards Summary'!$B:$B,$C142,'Awards Summary'!$J:$J,"CUNY")</f>
        <v>0</v>
      </c>
      <c r="AG142" s="55">
        <f>SUMIFS('Disbursements Summary'!$E:$E,'Disbursements Summary'!$C:$C,$C142,'Disbursements Summary'!$A:$A,"CUNY")</f>
        <v>0</v>
      </c>
      <c r="AH142" s="55">
        <f>SUMIFS('Awards Summary'!$H:$H,'Awards Summary'!$B:$B,$C142,'Awards Summary'!$J:$J,"ARTS")</f>
        <v>0</v>
      </c>
      <c r="AI142" s="55">
        <f>SUMIFS('Disbursements Summary'!$E:$E,'Disbursements Summary'!$C:$C,$C142,'Disbursements Summary'!$A:$A,"ARTS")</f>
        <v>0</v>
      </c>
      <c r="AJ142" s="55">
        <f>SUMIFS('Awards Summary'!$H:$H,'Awards Summary'!$B:$B,$C142,'Awards Summary'!$J:$J,"AG&amp;MKTS")</f>
        <v>0</v>
      </c>
      <c r="AK142" s="55">
        <f>SUMIFS('Disbursements Summary'!$E:$E,'Disbursements Summary'!$C:$C,$C142,'Disbursements Summary'!$A:$A,"AG&amp;MKTS")</f>
        <v>0</v>
      </c>
      <c r="AL142" s="55">
        <f>SUMIFS('Awards Summary'!$H:$H,'Awards Summary'!$B:$B,$C142,'Awards Summary'!$J:$J,"CS")</f>
        <v>0</v>
      </c>
      <c r="AM142" s="55">
        <f>SUMIFS('Disbursements Summary'!$E:$E,'Disbursements Summary'!$C:$C,$C142,'Disbursements Summary'!$A:$A,"CS")</f>
        <v>0</v>
      </c>
      <c r="AN142" s="55">
        <f>SUMIFS('Awards Summary'!$H:$H,'Awards Summary'!$B:$B,$C142,'Awards Summary'!$J:$J,"DOCCS")</f>
        <v>0</v>
      </c>
      <c r="AO142" s="55">
        <f>SUMIFS('Disbursements Summary'!$E:$E,'Disbursements Summary'!$C:$C,$C142,'Disbursements Summary'!$A:$A,"DOCCS")</f>
        <v>0</v>
      </c>
      <c r="AP142" s="55">
        <f>SUMIFS('Awards Summary'!$H:$H,'Awards Summary'!$B:$B,$C142,'Awards Summary'!$J:$J,"DED")</f>
        <v>0</v>
      </c>
      <c r="AQ142" s="55">
        <f>SUMIFS('Disbursements Summary'!$E:$E,'Disbursements Summary'!$C:$C,$C142,'Disbursements Summary'!$A:$A,"DED")</f>
        <v>0</v>
      </c>
      <c r="AR142" s="55">
        <f>SUMIFS('Awards Summary'!$H:$H,'Awards Summary'!$B:$B,$C142,'Awards Summary'!$J:$J,"DEC")</f>
        <v>0</v>
      </c>
      <c r="AS142" s="55">
        <f>SUMIFS('Disbursements Summary'!$E:$E,'Disbursements Summary'!$C:$C,$C142,'Disbursements Summary'!$A:$A,"DEC")</f>
        <v>0</v>
      </c>
      <c r="AT142" s="55">
        <f>SUMIFS('Awards Summary'!$H:$H,'Awards Summary'!$B:$B,$C142,'Awards Summary'!$J:$J,"DFS")</f>
        <v>0</v>
      </c>
      <c r="AU142" s="55">
        <f>SUMIFS('Disbursements Summary'!$E:$E,'Disbursements Summary'!$C:$C,$C142,'Disbursements Summary'!$A:$A,"DFS")</f>
        <v>0</v>
      </c>
      <c r="AV142" s="55">
        <f>SUMIFS('Awards Summary'!$H:$H,'Awards Summary'!$B:$B,$C142,'Awards Summary'!$J:$J,"DOH")</f>
        <v>0</v>
      </c>
      <c r="AW142" s="55">
        <f>SUMIFS('Disbursements Summary'!$E:$E,'Disbursements Summary'!$C:$C,$C142,'Disbursements Summary'!$A:$A,"DOH")</f>
        <v>0</v>
      </c>
      <c r="AX142" s="55">
        <f>SUMIFS('Awards Summary'!$H:$H,'Awards Summary'!$B:$B,$C142,'Awards Summary'!$J:$J,"DOL")</f>
        <v>0</v>
      </c>
      <c r="AY142" s="55">
        <f>SUMIFS('Disbursements Summary'!$E:$E,'Disbursements Summary'!$C:$C,$C142,'Disbursements Summary'!$A:$A,"DOL")</f>
        <v>0</v>
      </c>
      <c r="AZ142" s="55">
        <f>SUMIFS('Awards Summary'!$H:$H,'Awards Summary'!$B:$B,$C142,'Awards Summary'!$J:$J,"DMV")</f>
        <v>0</v>
      </c>
      <c r="BA142" s="55">
        <f>SUMIFS('Disbursements Summary'!$E:$E,'Disbursements Summary'!$C:$C,$C142,'Disbursements Summary'!$A:$A,"DMV")</f>
        <v>0</v>
      </c>
      <c r="BB142" s="55">
        <f>SUMIFS('Awards Summary'!$H:$H,'Awards Summary'!$B:$B,$C142,'Awards Summary'!$J:$J,"DPS")</f>
        <v>0</v>
      </c>
      <c r="BC142" s="55">
        <f>SUMIFS('Disbursements Summary'!$E:$E,'Disbursements Summary'!$C:$C,$C142,'Disbursements Summary'!$A:$A,"DPS")</f>
        <v>0</v>
      </c>
      <c r="BD142" s="55">
        <f>SUMIFS('Awards Summary'!$H:$H,'Awards Summary'!$B:$B,$C142,'Awards Summary'!$J:$J,"DOS")</f>
        <v>0</v>
      </c>
      <c r="BE142" s="55">
        <f>SUMIFS('Disbursements Summary'!$E:$E,'Disbursements Summary'!$C:$C,$C142,'Disbursements Summary'!$A:$A,"DOS")</f>
        <v>0</v>
      </c>
      <c r="BF142" s="55">
        <f>SUMIFS('Awards Summary'!$H:$H,'Awards Summary'!$B:$B,$C142,'Awards Summary'!$J:$J,"TAX")</f>
        <v>0</v>
      </c>
      <c r="BG142" s="55">
        <f>SUMIFS('Disbursements Summary'!$E:$E,'Disbursements Summary'!$C:$C,$C142,'Disbursements Summary'!$A:$A,"TAX")</f>
        <v>0</v>
      </c>
      <c r="BH142" s="55">
        <f>SUMIFS('Awards Summary'!$H:$H,'Awards Summary'!$B:$B,$C142,'Awards Summary'!$J:$J,"DOT")</f>
        <v>0</v>
      </c>
      <c r="BI142" s="55">
        <f>SUMIFS('Disbursements Summary'!$E:$E,'Disbursements Summary'!$C:$C,$C142,'Disbursements Summary'!$A:$A,"DOT")</f>
        <v>0</v>
      </c>
      <c r="BJ142" s="55">
        <f>SUMIFS('Awards Summary'!$H:$H,'Awards Summary'!$B:$B,$C142,'Awards Summary'!$J:$J,"DANC")</f>
        <v>0</v>
      </c>
      <c r="BK142" s="55">
        <f>SUMIFS('Disbursements Summary'!$E:$E,'Disbursements Summary'!$C:$C,$C142,'Disbursements Summary'!$A:$A,"DANC")</f>
        <v>0</v>
      </c>
      <c r="BL142" s="55">
        <f>SUMIFS('Awards Summary'!$H:$H,'Awards Summary'!$B:$B,$C142,'Awards Summary'!$J:$J,"DOB")</f>
        <v>0</v>
      </c>
      <c r="BM142" s="55">
        <f>SUMIFS('Disbursements Summary'!$E:$E,'Disbursements Summary'!$C:$C,$C142,'Disbursements Summary'!$A:$A,"DOB")</f>
        <v>0</v>
      </c>
      <c r="BN142" s="55">
        <f>SUMIFS('Awards Summary'!$H:$H,'Awards Summary'!$B:$B,$C142,'Awards Summary'!$J:$J,"DCJS")</f>
        <v>0</v>
      </c>
      <c r="BO142" s="55">
        <f>SUMIFS('Disbursements Summary'!$E:$E,'Disbursements Summary'!$C:$C,$C142,'Disbursements Summary'!$A:$A,"DCJS")</f>
        <v>0</v>
      </c>
      <c r="BP142" s="55">
        <f>SUMIFS('Awards Summary'!$H:$H,'Awards Summary'!$B:$B,$C142,'Awards Summary'!$J:$J,"DHSES")</f>
        <v>0</v>
      </c>
      <c r="BQ142" s="55">
        <f>SUMIFS('Disbursements Summary'!$E:$E,'Disbursements Summary'!$C:$C,$C142,'Disbursements Summary'!$A:$A,"DHSES")</f>
        <v>0</v>
      </c>
      <c r="BR142" s="55">
        <f>SUMIFS('Awards Summary'!$H:$H,'Awards Summary'!$B:$B,$C142,'Awards Summary'!$J:$J,"DHR")</f>
        <v>0</v>
      </c>
      <c r="BS142" s="55">
        <f>SUMIFS('Disbursements Summary'!$E:$E,'Disbursements Summary'!$C:$C,$C142,'Disbursements Summary'!$A:$A,"DHR")</f>
        <v>0</v>
      </c>
      <c r="BT142" s="55">
        <f>SUMIFS('Awards Summary'!$H:$H,'Awards Summary'!$B:$B,$C142,'Awards Summary'!$J:$J,"DMNA")</f>
        <v>0</v>
      </c>
      <c r="BU142" s="55">
        <f>SUMIFS('Disbursements Summary'!$E:$E,'Disbursements Summary'!$C:$C,$C142,'Disbursements Summary'!$A:$A,"DMNA")</f>
        <v>0</v>
      </c>
      <c r="BV142" s="55">
        <f>SUMIFS('Awards Summary'!$H:$H,'Awards Summary'!$B:$B,$C142,'Awards Summary'!$J:$J,"TROOPERS")</f>
        <v>0</v>
      </c>
      <c r="BW142" s="55">
        <f>SUMIFS('Disbursements Summary'!$E:$E,'Disbursements Summary'!$C:$C,$C142,'Disbursements Summary'!$A:$A,"TROOPERS")</f>
        <v>0</v>
      </c>
      <c r="BX142" s="55">
        <f>SUMIFS('Awards Summary'!$H:$H,'Awards Summary'!$B:$B,$C142,'Awards Summary'!$J:$J,"DVA")</f>
        <v>0</v>
      </c>
      <c r="BY142" s="55">
        <f>SUMIFS('Disbursements Summary'!$E:$E,'Disbursements Summary'!$C:$C,$C142,'Disbursements Summary'!$A:$A,"DVA")</f>
        <v>0</v>
      </c>
      <c r="BZ142" s="55">
        <f>SUMIFS('Awards Summary'!$H:$H,'Awards Summary'!$B:$B,$C142,'Awards Summary'!$J:$J,"DASNY")</f>
        <v>0</v>
      </c>
      <c r="CA142" s="55">
        <f>SUMIFS('Disbursements Summary'!$E:$E,'Disbursements Summary'!$C:$C,$C142,'Disbursements Summary'!$A:$A,"DASNY")</f>
        <v>0</v>
      </c>
      <c r="CB142" s="55">
        <f>SUMIFS('Awards Summary'!$H:$H,'Awards Summary'!$B:$B,$C142,'Awards Summary'!$J:$J,"EGG")</f>
        <v>0</v>
      </c>
      <c r="CC142" s="55">
        <f>SUMIFS('Disbursements Summary'!$E:$E,'Disbursements Summary'!$C:$C,$C142,'Disbursements Summary'!$A:$A,"EGG")</f>
        <v>0</v>
      </c>
      <c r="CD142" s="55">
        <f>SUMIFS('Awards Summary'!$H:$H,'Awards Summary'!$B:$B,$C142,'Awards Summary'!$J:$J,"ESD")</f>
        <v>0</v>
      </c>
      <c r="CE142" s="55">
        <f>SUMIFS('Disbursements Summary'!$E:$E,'Disbursements Summary'!$C:$C,$C142,'Disbursements Summary'!$A:$A,"ESD")</f>
        <v>0</v>
      </c>
      <c r="CF142" s="55">
        <f>SUMIFS('Awards Summary'!$H:$H,'Awards Summary'!$B:$B,$C142,'Awards Summary'!$J:$J,"EFC")</f>
        <v>0</v>
      </c>
      <c r="CG142" s="55">
        <f>SUMIFS('Disbursements Summary'!$E:$E,'Disbursements Summary'!$C:$C,$C142,'Disbursements Summary'!$A:$A,"EFC")</f>
        <v>0</v>
      </c>
      <c r="CH142" s="55">
        <f>SUMIFS('Awards Summary'!$H:$H,'Awards Summary'!$B:$B,$C142,'Awards Summary'!$J:$J,"ECFSA")</f>
        <v>0</v>
      </c>
      <c r="CI142" s="55">
        <f>SUMIFS('Disbursements Summary'!$E:$E,'Disbursements Summary'!$C:$C,$C142,'Disbursements Summary'!$A:$A,"ECFSA")</f>
        <v>0</v>
      </c>
      <c r="CJ142" s="55">
        <f>SUMIFS('Awards Summary'!$H:$H,'Awards Summary'!$B:$B,$C142,'Awards Summary'!$J:$J,"ECMC")</f>
        <v>0</v>
      </c>
      <c r="CK142" s="55">
        <f>SUMIFS('Disbursements Summary'!$E:$E,'Disbursements Summary'!$C:$C,$C142,'Disbursements Summary'!$A:$A,"ECMC")</f>
        <v>0</v>
      </c>
      <c r="CL142" s="55">
        <f>SUMIFS('Awards Summary'!$H:$H,'Awards Summary'!$B:$B,$C142,'Awards Summary'!$J:$J,"CHAMBER")</f>
        <v>0</v>
      </c>
      <c r="CM142" s="55">
        <f>SUMIFS('Disbursements Summary'!$E:$E,'Disbursements Summary'!$C:$C,$C142,'Disbursements Summary'!$A:$A,"CHAMBER")</f>
        <v>0</v>
      </c>
      <c r="CN142" s="55">
        <f>SUMIFS('Awards Summary'!$H:$H,'Awards Summary'!$B:$B,$C142,'Awards Summary'!$J:$J,"GAMING")</f>
        <v>0</v>
      </c>
      <c r="CO142" s="55">
        <f>SUMIFS('Disbursements Summary'!$E:$E,'Disbursements Summary'!$C:$C,$C142,'Disbursements Summary'!$A:$A,"GAMING")</f>
        <v>0</v>
      </c>
      <c r="CP142" s="55">
        <f>SUMIFS('Awards Summary'!$H:$H,'Awards Summary'!$B:$B,$C142,'Awards Summary'!$J:$J,"GOER")</f>
        <v>0</v>
      </c>
      <c r="CQ142" s="55">
        <f>SUMIFS('Disbursements Summary'!$E:$E,'Disbursements Summary'!$C:$C,$C142,'Disbursements Summary'!$A:$A,"GOER")</f>
        <v>0</v>
      </c>
      <c r="CR142" s="55">
        <f>SUMIFS('Awards Summary'!$H:$H,'Awards Summary'!$B:$B,$C142,'Awards Summary'!$J:$J,"HESC")</f>
        <v>0</v>
      </c>
      <c r="CS142" s="55">
        <f>SUMIFS('Disbursements Summary'!$E:$E,'Disbursements Summary'!$C:$C,$C142,'Disbursements Summary'!$A:$A,"HESC")</f>
        <v>0</v>
      </c>
      <c r="CT142" s="55">
        <f>SUMIFS('Awards Summary'!$H:$H,'Awards Summary'!$B:$B,$C142,'Awards Summary'!$J:$J,"GOSR")</f>
        <v>0</v>
      </c>
      <c r="CU142" s="55">
        <f>SUMIFS('Disbursements Summary'!$E:$E,'Disbursements Summary'!$C:$C,$C142,'Disbursements Summary'!$A:$A,"GOSR")</f>
        <v>0</v>
      </c>
      <c r="CV142" s="55">
        <f>SUMIFS('Awards Summary'!$H:$H,'Awards Summary'!$B:$B,$C142,'Awards Summary'!$J:$J,"HRPT")</f>
        <v>0</v>
      </c>
      <c r="CW142" s="55">
        <f>SUMIFS('Disbursements Summary'!$E:$E,'Disbursements Summary'!$C:$C,$C142,'Disbursements Summary'!$A:$A,"HRPT")</f>
        <v>0</v>
      </c>
      <c r="CX142" s="55">
        <f>SUMIFS('Awards Summary'!$H:$H,'Awards Summary'!$B:$B,$C142,'Awards Summary'!$J:$J,"HRBRRD")</f>
        <v>0</v>
      </c>
      <c r="CY142" s="55">
        <f>SUMIFS('Disbursements Summary'!$E:$E,'Disbursements Summary'!$C:$C,$C142,'Disbursements Summary'!$A:$A,"HRBRRD")</f>
        <v>0</v>
      </c>
      <c r="CZ142" s="55">
        <f>SUMIFS('Awards Summary'!$H:$H,'Awards Summary'!$B:$B,$C142,'Awards Summary'!$J:$J,"ITS")</f>
        <v>0</v>
      </c>
      <c r="DA142" s="55">
        <f>SUMIFS('Disbursements Summary'!$E:$E,'Disbursements Summary'!$C:$C,$C142,'Disbursements Summary'!$A:$A,"ITS")</f>
        <v>0</v>
      </c>
      <c r="DB142" s="55">
        <f>SUMIFS('Awards Summary'!$H:$H,'Awards Summary'!$B:$B,$C142,'Awards Summary'!$J:$J,"JAVITS")</f>
        <v>0</v>
      </c>
      <c r="DC142" s="55">
        <f>SUMIFS('Disbursements Summary'!$E:$E,'Disbursements Summary'!$C:$C,$C142,'Disbursements Summary'!$A:$A,"JAVITS")</f>
        <v>0</v>
      </c>
      <c r="DD142" s="55">
        <f>SUMIFS('Awards Summary'!$H:$H,'Awards Summary'!$B:$B,$C142,'Awards Summary'!$J:$J,"JCOPE")</f>
        <v>0</v>
      </c>
      <c r="DE142" s="55">
        <f>SUMIFS('Disbursements Summary'!$E:$E,'Disbursements Summary'!$C:$C,$C142,'Disbursements Summary'!$A:$A,"JCOPE")</f>
        <v>0</v>
      </c>
      <c r="DF142" s="55">
        <f>SUMIFS('Awards Summary'!$H:$H,'Awards Summary'!$B:$B,$C142,'Awards Summary'!$J:$J,"JUSTICE")</f>
        <v>0</v>
      </c>
      <c r="DG142" s="55">
        <f>SUMIFS('Disbursements Summary'!$E:$E,'Disbursements Summary'!$C:$C,$C142,'Disbursements Summary'!$A:$A,"JUSTICE")</f>
        <v>0</v>
      </c>
      <c r="DH142" s="55">
        <f>SUMIFS('Awards Summary'!$H:$H,'Awards Summary'!$B:$B,$C142,'Awards Summary'!$J:$J,"LCWSA")</f>
        <v>0</v>
      </c>
      <c r="DI142" s="55">
        <f>SUMIFS('Disbursements Summary'!$E:$E,'Disbursements Summary'!$C:$C,$C142,'Disbursements Summary'!$A:$A,"LCWSA")</f>
        <v>0</v>
      </c>
      <c r="DJ142" s="55">
        <f>SUMIFS('Awards Summary'!$H:$H,'Awards Summary'!$B:$B,$C142,'Awards Summary'!$J:$J,"LIPA")</f>
        <v>0</v>
      </c>
      <c r="DK142" s="55">
        <f>SUMIFS('Disbursements Summary'!$E:$E,'Disbursements Summary'!$C:$C,$C142,'Disbursements Summary'!$A:$A,"LIPA")</f>
        <v>0</v>
      </c>
      <c r="DL142" s="55">
        <f>SUMIFS('Awards Summary'!$H:$H,'Awards Summary'!$B:$B,$C142,'Awards Summary'!$J:$J,"MTA")</f>
        <v>0</v>
      </c>
      <c r="DM142" s="55">
        <f>SUMIFS('Disbursements Summary'!$E:$E,'Disbursements Summary'!$C:$C,$C142,'Disbursements Summary'!$A:$A,"MTA")</f>
        <v>0</v>
      </c>
      <c r="DN142" s="55">
        <f>SUMIFS('Awards Summary'!$H:$H,'Awards Summary'!$B:$B,$C142,'Awards Summary'!$J:$J,"NIFA")</f>
        <v>0</v>
      </c>
      <c r="DO142" s="55">
        <f>SUMIFS('Disbursements Summary'!$E:$E,'Disbursements Summary'!$C:$C,$C142,'Disbursements Summary'!$A:$A,"NIFA")</f>
        <v>0</v>
      </c>
      <c r="DP142" s="55">
        <f>SUMIFS('Awards Summary'!$H:$H,'Awards Summary'!$B:$B,$C142,'Awards Summary'!$J:$J,"NHCC")</f>
        <v>0</v>
      </c>
      <c r="DQ142" s="55">
        <f>SUMIFS('Disbursements Summary'!$E:$E,'Disbursements Summary'!$C:$C,$C142,'Disbursements Summary'!$A:$A,"NHCC")</f>
        <v>0</v>
      </c>
      <c r="DR142" s="55">
        <f>SUMIFS('Awards Summary'!$H:$H,'Awards Summary'!$B:$B,$C142,'Awards Summary'!$J:$J,"NHT")</f>
        <v>0</v>
      </c>
      <c r="DS142" s="55">
        <f>SUMIFS('Disbursements Summary'!$E:$E,'Disbursements Summary'!$C:$C,$C142,'Disbursements Summary'!$A:$A,"NHT")</f>
        <v>0</v>
      </c>
      <c r="DT142" s="55">
        <f>SUMIFS('Awards Summary'!$H:$H,'Awards Summary'!$B:$B,$C142,'Awards Summary'!$J:$J,"NYPA")</f>
        <v>0</v>
      </c>
      <c r="DU142" s="55">
        <f>SUMIFS('Disbursements Summary'!$E:$E,'Disbursements Summary'!$C:$C,$C142,'Disbursements Summary'!$A:$A,"NYPA")</f>
        <v>0</v>
      </c>
      <c r="DV142" s="55">
        <f>SUMIFS('Awards Summary'!$H:$H,'Awards Summary'!$B:$B,$C142,'Awards Summary'!$J:$J,"NYSBA")</f>
        <v>0</v>
      </c>
      <c r="DW142" s="55">
        <f>SUMIFS('Disbursements Summary'!$E:$E,'Disbursements Summary'!$C:$C,$C142,'Disbursements Summary'!$A:$A,"NYSBA")</f>
        <v>0</v>
      </c>
      <c r="DX142" s="55">
        <f>SUMIFS('Awards Summary'!$H:$H,'Awards Summary'!$B:$B,$C142,'Awards Summary'!$J:$J,"NYSERDA")</f>
        <v>0</v>
      </c>
      <c r="DY142" s="55">
        <f>SUMIFS('Disbursements Summary'!$E:$E,'Disbursements Summary'!$C:$C,$C142,'Disbursements Summary'!$A:$A,"NYSERDA")</f>
        <v>0</v>
      </c>
      <c r="DZ142" s="55">
        <f>SUMIFS('Awards Summary'!$H:$H,'Awards Summary'!$B:$B,$C142,'Awards Summary'!$J:$J,"DHCR")</f>
        <v>0</v>
      </c>
      <c r="EA142" s="55">
        <f>SUMIFS('Disbursements Summary'!$E:$E,'Disbursements Summary'!$C:$C,$C142,'Disbursements Summary'!$A:$A,"DHCR")</f>
        <v>0</v>
      </c>
      <c r="EB142" s="55">
        <f>SUMIFS('Awards Summary'!$H:$H,'Awards Summary'!$B:$B,$C142,'Awards Summary'!$J:$J,"HFA")</f>
        <v>0</v>
      </c>
      <c r="EC142" s="55">
        <f>SUMIFS('Disbursements Summary'!$E:$E,'Disbursements Summary'!$C:$C,$C142,'Disbursements Summary'!$A:$A,"HFA")</f>
        <v>0</v>
      </c>
      <c r="ED142" s="55">
        <f>SUMIFS('Awards Summary'!$H:$H,'Awards Summary'!$B:$B,$C142,'Awards Summary'!$J:$J,"NYSIF")</f>
        <v>0</v>
      </c>
      <c r="EE142" s="55">
        <f>SUMIFS('Disbursements Summary'!$E:$E,'Disbursements Summary'!$C:$C,$C142,'Disbursements Summary'!$A:$A,"NYSIF")</f>
        <v>0</v>
      </c>
      <c r="EF142" s="55">
        <f>SUMIFS('Awards Summary'!$H:$H,'Awards Summary'!$B:$B,$C142,'Awards Summary'!$J:$J,"NYBREDS")</f>
        <v>0</v>
      </c>
      <c r="EG142" s="55">
        <f>SUMIFS('Disbursements Summary'!$E:$E,'Disbursements Summary'!$C:$C,$C142,'Disbursements Summary'!$A:$A,"NYBREDS")</f>
        <v>0</v>
      </c>
      <c r="EH142" s="55">
        <f>SUMIFS('Awards Summary'!$H:$H,'Awards Summary'!$B:$B,$C142,'Awards Summary'!$J:$J,"NYSTA")</f>
        <v>0</v>
      </c>
      <c r="EI142" s="55">
        <f>SUMIFS('Disbursements Summary'!$E:$E,'Disbursements Summary'!$C:$C,$C142,'Disbursements Summary'!$A:$A,"NYSTA")</f>
        <v>0</v>
      </c>
      <c r="EJ142" s="55">
        <f>SUMIFS('Awards Summary'!$H:$H,'Awards Summary'!$B:$B,$C142,'Awards Summary'!$J:$J,"NFWB")</f>
        <v>0</v>
      </c>
      <c r="EK142" s="55">
        <f>SUMIFS('Disbursements Summary'!$E:$E,'Disbursements Summary'!$C:$C,$C142,'Disbursements Summary'!$A:$A,"NFWB")</f>
        <v>0</v>
      </c>
      <c r="EL142" s="55">
        <f>SUMIFS('Awards Summary'!$H:$H,'Awards Summary'!$B:$B,$C142,'Awards Summary'!$J:$J,"NFTA")</f>
        <v>0</v>
      </c>
      <c r="EM142" s="55">
        <f>SUMIFS('Disbursements Summary'!$E:$E,'Disbursements Summary'!$C:$C,$C142,'Disbursements Summary'!$A:$A,"NFTA")</f>
        <v>0</v>
      </c>
      <c r="EN142" s="55">
        <f>SUMIFS('Awards Summary'!$H:$H,'Awards Summary'!$B:$B,$C142,'Awards Summary'!$J:$J,"OPWDD")</f>
        <v>0</v>
      </c>
      <c r="EO142" s="55">
        <f>SUMIFS('Disbursements Summary'!$E:$E,'Disbursements Summary'!$C:$C,$C142,'Disbursements Summary'!$A:$A,"OPWDD")</f>
        <v>0</v>
      </c>
      <c r="EP142" s="55">
        <f>SUMIFS('Awards Summary'!$H:$H,'Awards Summary'!$B:$B,$C142,'Awards Summary'!$J:$J,"AGING")</f>
        <v>0</v>
      </c>
      <c r="EQ142" s="55">
        <f>SUMIFS('Disbursements Summary'!$E:$E,'Disbursements Summary'!$C:$C,$C142,'Disbursements Summary'!$A:$A,"AGING")</f>
        <v>0</v>
      </c>
      <c r="ER142" s="55">
        <f>SUMIFS('Awards Summary'!$H:$H,'Awards Summary'!$B:$B,$C142,'Awards Summary'!$J:$J,"OPDV")</f>
        <v>0</v>
      </c>
      <c r="ES142" s="55">
        <f>SUMIFS('Disbursements Summary'!$E:$E,'Disbursements Summary'!$C:$C,$C142,'Disbursements Summary'!$A:$A,"OPDV")</f>
        <v>0</v>
      </c>
      <c r="ET142" s="55">
        <f>SUMIFS('Awards Summary'!$H:$H,'Awards Summary'!$B:$B,$C142,'Awards Summary'!$J:$J,"OVS")</f>
        <v>0</v>
      </c>
      <c r="EU142" s="55">
        <f>SUMIFS('Disbursements Summary'!$E:$E,'Disbursements Summary'!$C:$C,$C142,'Disbursements Summary'!$A:$A,"OVS")</f>
        <v>0</v>
      </c>
      <c r="EV142" s="55">
        <f>SUMIFS('Awards Summary'!$H:$H,'Awards Summary'!$B:$B,$C142,'Awards Summary'!$J:$J,"OASAS")</f>
        <v>0</v>
      </c>
      <c r="EW142" s="55">
        <f>SUMIFS('Disbursements Summary'!$E:$E,'Disbursements Summary'!$C:$C,$C142,'Disbursements Summary'!$A:$A,"OASAS")</f>
        <v>0</v>
      </c>
      <c r="EX142" s="55">
        <f>SUMIFS('Awards Summary'!$H:$H,'Awards Summary'!$B:$B,$C142,'Awards Summary'!$J:$J,"OCFS")</f>
        <v>0</v>
      </c>
      <c r="EY142" s="55">
        <f>SUMIFS('Disbursements Summary'!$E:$E,'Disbursements Summary'!$C:$C,$C142,'Disbursements Summary'!$A:$A,"OCFS")</f>
        <v>0</v>
      </c>
      <c r="EZ142" s="55">
        <f>SUMIFS('Awards Summary'!$H:$H,'Awards Summary'!$B:$B,$C142,'Awards Summary'!$J:$J,"OGS")</f>
        <v>0</v>
      </c>
      <c r="FA142" s="55">
        <f>SUMIFS('Disbursements Summary'!$E:$E,'Disbursements Summary'!$C:$C,$C142,'Disbursements Summary'!$A:$A,"OGS")</f>
        <v>0</v>
      </c>
      <c r="FB142" s="55">
        <f>SUMIFS('Awards Summary'!$H:$H,'Awards Summary'!$B:$B,$C142,'Awards Summary'!$J:$J,"OMH")</f>
        <v>0</v>
      </c>
      <c r="FC142" s="55">
        <f>SUMIFS('Disbursements Summary'!$E:$E,'Disbursements Summary'!$C:$C,$C142,'Disbursements Summary'!$A:$A,"OMH")</f>
        <v>0</v>
      </c>
      <c r="FD142" s="55">
        <f>SUMIFS('Awards Summary'!$H:$H,'Awards Summary'!$B:$B,$C142,'Awards Summary'!$J:$J,"PARKS")</f>
        <v>0</v>
      </c>
      <c r="FE142" s="55">
        <f>SUMIFS('Disbursements Summary'!$E:$E,'Disbursements Summary'!$C:$C,$C142,'Disbursements Summary'!$A:$A,"PARKS")</f>
        <v>0</v>
      </c>
      <c r="FF142" s="55">
        <f>SUMIFS('Awards Summary'!$H:$H,'Awards Summary'!$B:$B,$C142,'Awards Summary'!$J:$J,"OTDA")</f>
        <v>0</v>
      </c>
      <c r="FG142" s="55">
        <f>SUMIFS('Disbursements Summary'!$E:$E,'Disbursements Summary'!$C:$C,$C142,'Disbursements Summary'!$A:$A,"OTDA")</f>
        <v>0</v>
      </c>
      <c r="FH142" s="55">
        <f>SUMIFS('Awards Summary'!$H:$H,'Awards Summary'!$B:$B,$C142,'Awards Summary'!$J:$J,"OIG")</f>
        <v>0</v>
      </c>
      <c r="FI142" s="55">
        <f>SUMIFS('Disbursements Summary'!$E:$E,'Disbursements Summary'!$C:$C,$C142,'Disbursements Summary'!$A:$A,"OIG")</f>
        <v>0</v>
      </c>
      <c r="FJ142" s="55">
        <f>SUMIFS('Awards Summary'!$H:$H,'Awards Summary'!$B:$B,$C142,'Awards Summary'!$J:$J,"OMIG")</f>
        <v>0</v>
      </c>
      <c r="FK142" s="55">
        <f>SUMIFS('Disbursements Summary'!$E:$E,'Disbursements Summary'!$C:$C,$C142,'Disbursements Summary'!$A:$A,"OMIG")</f>
        <v>0</v>
      </c>
      <c r="FL142" s="55">
        <f>SUMIFS('Awards Summary'!$H:$H,'Awards Summary'!$B:$B,$C142,'Awards Summary'!$J:$J,"OSC")</f>
        <v>0</v>
      </c>
      <c r="FM142" s="55">
        <f>SUMIFS('Disbursements Summary'!$E:$E,'Disbursements Summary'!$C:$C,$C142,'Disbursements Summary'!$A:$A,"OSC")</f>
        <v>0</v>
      </c>
      <c r="FN142" s="55">
        <f>SUMIFS('Awards Summary'!$H:$H,'Awards Summary'!$B:$B,$C142,'Awards Summary'!$J:$J,"OWIG")</f>
        <v>0</v>
      </c>
      <c r="FO142" s="55">
        <f>SUMIFS('Disbursements Summary'!$E:$E,'Disbursements Summary'!$C:$C,$C142,'Disbursements Summary'!$A:$A,"OWIG")</f>
        <v>0</v>
      </c>
      <c r="FP142" s="55">
        <f>SUMIFS('Awards Summary'!$H:$H,'Awards Summary'!$B:$B,$C142,'Awards Summary'!$J:$J,"OGDEN")</f>
        <v>0</v>
      </c>
      <c r="FQ142" s="55">
        <f>SUMIFS('Disbursements Summary'!$E:$E,'Disbursements Summary'!$C:$C,$C142,'Disbursements Summary'!$A:$A,"OGDEN")</f>
        <v>0</v>
      </c>
      <c r="FR142" s="55">
        <f>SUMIFS('Awards Summary'!$H:$H,'Awards Summary'!$B:$B,$C142,'Awards Summary'!$J:$J,"ORDA")</f>
        <v>0</v>
      </c>
      <c r="FS142" s="55">
        <f>SUMIFS('Disbursements Summary'!$E:$E,'Disbursements Summary'!$C:$C,$C142,'Disbursements Summary'!$A:$A,"ORDA")</f>
        <v>0</v>
      </c>
      <c r="FT142" s="55">
        <f>SUMIFS('Awards Summary'!$H:$H,'Awards Summary'!$B:$B,$C142,'Awards Summary'!$J:$J,"OSWEGO")</f>
        <v>0</v>
      </c>
      <c r="FU142" s="55">
        <f>SUMIFS('Disbursements Summary'!$E:$E,'Disbursements Summary'!$C:$C,$C142,'Disbursements Summary'!$A:$A,"OSWEGO")</f>
        <v>0</v>
      </c>
      <c r="FV142" s="55">
        <f>SUMIFS('Awards Summary'!$H:$H,'Awards Summary'!$B:$B,$C142,'Awards Summary'!$J:$J,"PERB")</f>
        <v>0</v>
      </c>
      <c r="FW142" s="55">
        <f>SUMIFS('Disbursements Summary'!$E:$E,'Disbursements Summary'!$C:$C,$C142,'Disbursements Summary'!$A:$A,"PERB")</f>
        <v>0</v>
      </c>
      <c r="FX142" s="55">
        <f>SUMIFS('Awards Summary'!$H:$H,'Awards Summary'!$B:$B,$C142,'Awards Summary'!$J:$J,"RGRTA")</f>
        <v>0</v>
      </c>
      <c r="FY142" s="55">
        <f>SUMIFS('Disbursements Summary'!$E:$E,'Disbursements Summary'!$C:$C,$C142,'Disbursements Summary'!$A:$A,"RGRTA")</f>
        <v>0</v>
      </c>
      <c r="FZ142" s="55">
        <f>SUMIFS('Awards Summary'!$H:$H,'Awards Summary'!$B:$B,$C142,'Awards Summary'!$J:$J,"RIOC")</f>
        <v>0</v>
      </c>
      <c r="GA142" s="55">
        <f>SUMIFS('Disbursements Summary'!$E:$E,'Disbursements Summary'!$C:$C,$C142,'Disbursements Summary'!$A:$A,"RIOC")</f>
        <v>0</v>
      </c>
      <c r="GB142" s="55">
        <f>SUMIFS('Awards Summary'!$H:$H,'Awards Summary'!$B:$B,$C142,'Awards Summary'!$J:$J,"RPCI")</f>
        <v>0</v>
      </c>
      <c r="GC142" s="55">
        <f>SUMIFS('Disbursements Summary'!$E:$E,'Disbursements Summary'!$C:$C,$C142,'Disbursements Summary'!$A:$A,"RPCI")</f>
        <v>0</v>
      </c>
      <c r="GD142" s="55">
        <f>SUMIFS('Awards Summary'!$H:$H,'Awards Summary'!$B:$B,$C142,'Awards Summary'!$J:$J,"SMDA")</f>
        <v>0</v>
      </c>
      <c r="GE142" s="55">
        <f>SUMIFS('Disbursements Summary'!$E:$E,'Disbursements Summary'!$C:$C,$C142,'Disbursements Summary'!$A:$A,"SMDA")</f>
        <v>0</v>
      </c>
      <c r="GF142" s="55">
        <f>SUMIFS('Awards Summary'!$H:$H,'Awards Summary'!$B:$B,$C142,'Awards Summary'!$J:$J,"SCOC")</f>
        <v>0</v>
      </c>
      <c r="GG142" s="55">
        <f>SUMIFS('Disbursements Summary'!$E:$E,'Disbursements Summary'!$C:$C,$C142,'Disbursements Summary'!$A:$A,"SCOC")</f>
        <v>0</v>
      </c>
      <c r="GH142" s="55">
        <f>SUMIFS('Awards Summary'!$H:$H,'Awards Summary'!$B:$B,$C142,'Awards Summary'!$J:$J,"SUCF")</f>
        <v>0</v>
      </c>
      <c r="GI142" s="55">
        <f>SUMIFS('Disbursements Summary'!$E:$E,'Disbursements Summary'!$C:$C,$C142,'Disbursements Summary'!$A:$A,"SUCF")</f>
        <v>0</v>
      </c>
      <c r="GJ142" s="55">
        <f>SUMIFS('Awards Summary'!$H:$H,'Awards Summary'!$B:$B,$C142,'Awards Summary'!$J:$J,"SUNY")</f>
        <v>0</v>
      </c>
      <c r="GK142" s="55">
        <f>SUMIFS('Disbursements Summary'!$E:$E,'Disbursements Summary'!$C:$C,$C142,'Disbursements Summary'!$A:$A,"SUNY")</f>
        <v>0</v>
      </c>
      <c r="GL142" s="55">
        <f>SUMIFS('Awards Summary'!$H:$H,'Awards Summary'!$B:$B,$C142,'Awards Summary'!$J:$J,"SRAA")</f>
        <v>0</v>
      </c>
      <c r="GM142" s="55">
        <f>SUMIFS('Disbursements Summary'!$E:$E,'Disbursements Summary'!$C:$C,$C142,'Disbursements Summary'!$A:$A,"SRAA")</f>
        <v>0</v>
      </c>
      <c r="GN142" s="55">
        <f>SUMIFS('Awards Summary'!$H:$H,'Awards Summary'!$B:$B,$C142,'Awards Summary'!$J:$J,"UNDC")</f>
        <v>0</v>
      </c>
      <c r="GO142" s="55">
        <f>SUMIFS('Disbursements Summary'!$E:$E,'Disbursements Summary'!$C:$C,$C142,'Disbursements Summary'!$A:$A,"UNDC")</f>
        <v>0</v>
      </c>
      <c r="GP142" s="55">
        <f>SUMIFS('Awards Summary'!$H:$H,'Awards Summary'!$B:$B,$C142,'Awards Summary'!$J:$J,"MVWA")</f>
        <v>0</v>
      </c>
      <c r="GQ142" s="55">
        <f>SUMIFS('Disbursements Summary'!$E:$E,'Disbursements Summary'!$C:$C,$C142,'Disbursements Summary'!$A:$A,"MVWA")</f>
        <v>0</v>
      </c>
      <c r="GR142" s="55">
        <f>SUMIFS('Awards Summary'!$H:$H,'Awards Summary'!$B:$B,$C142,'Awards Summary'!$J:$J,"WMC")</f>
        <v>0</v>
      </c>
      <c r="GS142" s="55">
        <f>SUMIFS('Disbursements Summary'!$E:$E,'Disbursements Summary'!$C:$C,$C142,'Disbursements Summary'!$A:$A,"WMC")</f>
        <v>0</v>
      </c>
      <c r="GT142" s="55">
        <f>SUMIFS('Awards Summary'!$H:$H,'Awards Summary'!$B:$B,$C142,'Awards Summary'!$J:$J,"WCB")</f>
        <v>0</v>
      </c>
      <c r="GU142" s="55">
        <f>SUMIFS('Disbursements Summary'!$E:$E,'Disbursements Summary'!$C:$C,$C142,'Disbursements Summary'!$A:$A,"WCB")</f>
        <v>0</v>
      </c>
      <c r="GV142" s="32">
        <f t="shared" si="10"/>
        <v>0</v>
      </c>
      <c r="GW142" s="32">
        <f t="shared" si="11"/>
        <v>0</v>
      </c>
      <c r="GX142" s="30" t="b">
        <f t="shared" si="12"/>
        <v>1</v>
      </c>
      <c r="GY142" s="30" t="b">
        <f t="shared" si="13"/>
        <v>1</v>
      </c>
    </row>
    <row r="143" spans="1:16384" s="61" customFormat="1">
      <c r="A143" s="22" t="str">
        <f t="shared" si="14"/>
        <v/>
      </c>
      <c r="B143" s="195" t="s">
        <v>487</v>
      </c>
      <c r="C143" s="71">
        <v>171395</v>
      </c>
      <c r="D143" s="26">
        <f>COUNTIF('Awards Summary'!B:B,"171395")</f>
        <v>0</v>
      </c>
      <c r="E143" s="45">
        <f>SUMIFS('Awards Summary'!H:H,'Awards Summary'!B:B,"171395")</f>
        <v>0</v>
      </c>
      <c r="F143" s="46">
        <f>SUMIFS('Disbursements Summary'!E:E,'Disbursements Summary'!C:C, "171395")</f>
        <v>0</v>
      </c>
      <c r="G143" s="30"/>
      <c r="H143" s="55">
        <f>SUMIFS('Awards Summary'!$H:$H,'Awards Summary'!$B:$B,$C143,'Awards Summary'!$J:$J,"APA")</f>
        <v>0</v>
      </c>
      <c r="I143" s="55">
        <f>SUMIFS('Disbursements Summary'!$E:$E,'Disbursements Summary'!$C:$C,$C143,'Disbursements Summary'!$A:$A,"APA")</f>
        <v>0</v>
      </c>
      <c r="J143" s="55">
        <f>SUMIFS('Awards Summary'!$H:$H,'Awards Summary'!$B:$B,$C143,'Awards Summary'!$J:$J,"Ag&amp;Horse")</f>
        <v>0</v>
      </c>
      <c r="K143" s="55">
        <f>SUMIFS('Disbursements Summary'!$E:$E,'Disbursements Summary'!$C:$C,$C143,'Disbursements Summary'!$A:$A,"Ag&amp;Horse")</f>
        <v>0</v>
      </c>
      <c r="L143" s="55">
        <f>SUMIFS('Awards Summary'!$H:$H,'Awards Summary'!$B:$B,$C143,'Awards Summary'!$J:$J,"ACAA")</f>
        <v>0</v>
      </c>
      <c r="M143" s="55">
        <f>SUMIFS('Disbursements Summary'!$E:$E,'Disbursements Summary'!$C:$C,$C143,'Disbursements Summary'!$A:$A,"ACAA")</f>
        <v>0</v>
      </c>
      <c r="N143" s="55">
        <f>SUMIFS('Awards Summary'!$H:$H,'Awards Summary'!$B:$B,$C143,'Awards Summary'!$J:$J,"PortAlbany")</f>
        <v>0</v>
      </c>
      <c r="O143" s="55">
        <f>SUMIFS('Disbursements Summary'!$E:$E,'Disbursements Summary'!$C:$C,$C143,'Disbursements Summary'!$A:$A,"PortAlbany")</f>
        <v>0</v>
      </c>
      <c r="P143" s="55">
        <f>SUMIFS('Awards Summary'!$H:$H,'Awards Summary'!$B:$B,$C143,'Awards Summary'!$J:$J,"SLA")</f>
        <v>0</v>
      </c>
      <c r="Q143" s="55">
        <f>SUMIFS('Disbursements Summary'!$E:$E,'Disbursements Summary'!$C:$C,$C143,'Disbursements Summary'!$A:$A,"SLA")</f>
        <v>0</v>
      </c>
      <c r="R143" s="55">
        <f>SUMIFS('Awards Summary'!$H:$H,'Awards Summary'!$B:$B,$C143,'Awards Summary'!$J:$J,"BPCA")</f>
        <v>0</v>
      </c>
      <c r="S143" s="55">
        <f>SUMIFS('Disbursements Summary'!$E:$E,'Disbursements Summary'!$C:$C,$C143,'Disbursements Summary'!$A:$A,"BPCA")</f>
        <v>0</v>
      </c>
      <c r="T143" s="55">
        <f>SUMIFS('Awards Summary'!$H:$H,'Awards Summary'!$B:$B,$C143,'Awards Summary'!$J:$J,"ELECTIONS")</f>
        <v>0</v>
      </c>
      <c r="U143" s="55">
        <f>SUMIFS('Disbursements Summary'!$E:$E,'Disbursements Summary'!$C:$C,$C143,'Disbursements Summary'!$A:$A,"ELECTIONS")</f>
        <v>0</v>
      </c>
      <c r="V143" s="55">
        <f>SUMIFS('Awards Summary'!$H:$H,'Awards Summary'!$B:$B,$C143,'Awards Summary'!$J:$J,"BFSA")</f>
        <v>0</v>
      </c>
      <c r="W143" s="55">
        <f>SUMIFS('Disbursements Summary'!$E:$E,'Disbursements Summary'!$C:$C,$C143,'Disbursements Summary'!$A:$A,"BFSA")</f>
        <v>0</v>
      </c>
      <c r="X143" s="55">
        <f>SUMIFS('Awards Summary'!$H:$H,'Awards Summary'!$B:$B,$C143,'Awards Summary'!$J:$J,"CDTA")</f>
        <v>0</v>
      </c>
      <c r="Y143" s="55">
        <f>SUMIFS('Disbursements Summary'!$E:$E,'Disbursements Summary'!$C:$C,$C143,'Disbursements Summary'!$A:$A,"CDTA")</f>
        <v>0</v>
      </c>
      <c r="Z143" s="55">
        <f>SUMIFS('Awards Summary'!$H:$H,'Awards Summary'!$B:$B,$C143,'Awards Summary'!$J:$J,"CCWSA")</f>
        <v>0</v>
      </c>
      <c r="AA143" s="55">
        <f>SUMIFS('Disbursements Summary'!$E:$E,'Disbursements Summary'!$C:$C,$C143,'Disbursements Summary'!$A:$A,"CCWSA")</f>
        <v>0</v>
      </c>
      <c r="AB143" s="55">
        <f>SUMIFS('Awards Summary'!$H:$H,'Awards Summary'!$B:$B,$C143,'Awards Summary'!$J:$J,"CNYRTA")</f>
        <v>0</v>
      </c>
      <c r="AC143" s="55">
        <f>SUMIFS('Disbursements Summary'!$E:$E,'Disbursements Summary'!$C:$C,$C143,'Disbursements Summary'!$A:$A,"CNYRTA")</f>
        <v>0</v>
      </c>
      <c r="AD143" s="55">
        <f>SUMIFS('Awards Summary'!$H:$H,'Awards Summary'!$B:$B,$C143,'Awards Summary'!$J:$J,"CUCF")</f>
        <v>0</v>
      </c>
      <c r="AE143" s="55">
        <f>SUMIFS('Disbursements Summary'!$E:$E,'Disbursements Summary'!$C:$C,$C143,'Disbursements Summary'!$A:$A,"CUCF")</f>
        <v>0</v>
      </c>
      <c r="AF143" s="55">
        <f>SUMIFS('Awards Summary'!$H:$H,'Awards Summary'!$B:$B,$C143,'Awards Summary'!$J:$J,"CUNY")</f>
        <v>0</v>
      </c>
      <c r="AG143" s="55">
        <f>SUMIFS('Disbursements Summary'!$E:$E,'Disbursements Summary'!$C:$C,$C143,'Disbursements Summary'!$A:$A,"CUNY")</f>
        <v>0</v>
      </c>
      <c r="AH143" s="55">
        <f>SUMIFS('Awards Summary'!$H:$H,'Awards Summary'!$B:$B,$C143,'Awards Summary'!$J:$J,"ARTS")</f>
        <v>0</v>
      </c>
      <c r="AI143" s="55">
        <f>SUMIFS('Disbursements Summary'!$E:$E,'Disbursements Summary'!$C:$C,$C143,'Disbursements Summary'!$A:$A,"ARTS")</f>
        <v>0</v>
      </c>
      <c r="AJ143" s="55">
        <f>SUMIFS('Awards Summary'!$H:$H,'Awards Summary'!$B:$B,$C143,'Awards Summary'!$J:$J,"AG&amp;MKTS")</f>
        <v>0</v>
      </c>
      <c r="AK143" s="55">
        <f>SUMIFS('Disbursements Summary'!$E:$E,'Disbursements Summary'!$C:$C,$C143,'Disbursements Summary'!$A:$A,"AG&amp;MKTS")</f>
        <v>0</v>
      </c>
      <c r="AL143" s="55">
        <f>SUMIFS('Awards Summary'!$H:$H,'Awards Summary'!$B:$B,$C143,'Awards Summary'!$J:$J,"CS")</f>
        <v>0</v>
      </c>
      <c r="AM143" s="55">
        <f>SUMIFS('Disbursements Summary'!$E:$E,'Disbursements Summary'!$C:$C,$C143,'Disbursements Summary'!$A:$A,"CS")</f>
        <v>0</v>
      </c>
      <c r="AN143" s="55">
        <f>SUMIFS('Awards Summary'!$H:$H,'Awards Summary'!$B:$B,$C143,'Awards Summary'!$J:$J,"DOCCS")</f>
        <v>0</v>
      </c>
      <c r="AO143" s="55">
        <f>SUMIFS('Disbursements Summary'!$E:$E,'Disbursements Summary'!$C:$C,$C143,'Disbursements Summary'!$A:$A,"DOCCS")</f>
        <v>0</v>
      </c>
      <c r="AP143" s="55">
        <f>SUMIFS('Awards Summary'!$H:$H,'Awards Summary'!$B:$B,$C143,'Awards Summary'!$J:$J,"DED")</f>
        <v>0</v>
      </c>
      <c r="AQ143" s="55">
        <f>SUMIFS('Disbursements Summary'!$E:$E,'Disbursements Summary'!$C:$C,$C143,'Disbursements Summary'!$A:$A,"DED")</f>
        <v>0</v>
      </c>
      <c r="AR143" s="55">
        <f>SUMIFS('Awards Summary'!$H:$H,'Awards Summary'!$B:$B,$C143,'Awards Summary'!$J:$J,"DEC")</f>
        <v>0</v>
      </c>
      <c r="AS143" s="55">
        <f>SUMIFS('Disbursements Summary'!$E:$E,'Disbursements Summary'!$C:$C,$C143,'Disbursements Summary'!$A:$A,"DEC")</f>
        <v>0</v>
      </c>
      <c r="AT143" s="55">
        <f>SUMIFS('Awards Summary'!$H:$H,'Awards Summary'!$B:$B,$C143,'Awards Summary'!$J:$J,"DFS")</f>
        <v>0</v>
      </c>
      <c r="AU143" s="55">
        <f>SUMIFS('Disbursements Summary'!$E:$E,'Disbursements Summary'!$C:$C,$C143,'Disbursements Summary'!$A:$A,"DFS")</f>
        <v>0</v>
      </c>
      <c r="AV143" s="55">
        <f>SUMIFS('Awards Summary'!$H:$H,'Awards Summary'!$B:$B,$C143,'Awards Summary'!$J:$J,"DOH")</f>
        <v>0</v>
      </c>
      <c r="AW143" s="55">
        <f>SUMIFS('Disbursements Summary'!$E:$E,'Disbursements Summary'!$C:$C,$C143,'Disbursements Summary'!$A:$A,"DOH")</f>
        <v>0</v>
      </c>
      <c r="AX143" s="55">
        <f>SUMIFS('Awards Summary'!$H:$H,'Awards Summary'!$B:$B,$C143,'Awards Summary'!$J:$J,"DOL")</f>
        <v>0</v>
      </c>
      <c r="AY143" s="55">
        <f>SUMIFS('Disbursements Summary'!$E:$E,'Disbursements Summary'!$C:$C,$C143,'Disbursements Summary'!$A:$A,"DOL")</f>
        <v>0</v>
      </c>
      <c r="AZ143" s="55">
        <f>SUMIFS('Awards Summary'!$H:$H,'Awards Summary'!$B:$B,$C143,'Awards Summary'!$J:$J,"DMV")</f>
        <v>0</v>
      </c>
      <c r="BA143" s="55">
        <f>SUMIFS('Disbursements Summary'!$E:$E,'Disbursements Summary'!$C:$C,$C143,'Disbursements Summary'!$A:$A,"DMV")</f>
        <v>0</v>
      </c>
      <c r="BB143" s="55">
        <f>SUMIFS('Awards Summary'!$H:$H,'Awards Summary'!$B:$B,$C143,'Awards Summary'!$J:$J,"DPS")</f>
        <v>0</v>
      </c>
      <c r="BC143" s="55">
        <f>SUMIFS('Disbursements Summary'!$E:$E,'Disbursements Summary'!$C:$C,$C143,'Disbursements Summary'!$A:$A,"DPS")</f>
        <v>0</v>
      </c>
      <c r="BD143" s="55">
        <f>SUMIFS('Awards Summary'!$H:$H,'Awards Summary'!$B:$B,$C143,'Awards Summary'!$J:$J,"DOS")</f>
        <v>0</v>
      </c>
      <c r="BE143" s="55">
        <f>SUMIFS('Disbursements Summary'!$E:$E,'Disbursements Summary'!$C:$C,$C143,'Disbursements Summary'!$A:$A,"DOS")</f>
        <v>0</v>
      </c>
      <c r="BF143" s="55">
        <f>SUMIFS('Awards Summary'!$H:$H,'Awards Summary'!$B:$B,$C143,'Awards Summary'!$J:$J,"TAX")</f>
        <v>0</v>
      </c>
      <c r="BG143" s="55">
        <f>SUMIFS('Disbursements Summary'!$E:$E,'Disbursements Summary'!$C:$C,$C143,'Disbursements Summary'!$A:$A,"TAX")</f>
        <v>0</v>
      </c>
      <c r="BH143" s="55">
        <f>SUMIFS('Awards Summary'!$H:$H,'Awards Summary'!$B:$B,$C143,'Awards Summary'!$J:$J,"DOT")</f>
        <v>0</v>
      </c>
      <c r="BI143" s="55">
        <f>SUMIFS('Disbursements Summary'!$E:$E,'Disbursements Summary'!$C:$C,$C143,'Disbursements Summary'!$A:$A,"DOT")</f>
        <v>0</v>
      </c>
      <c r="BJ143" s="55">
        <f>SUMIFS('Awards Summary'!$H:$H,'Awards Summary'!$B:$B,$C143,'Awards Summary'!$J:$J,"DANC")</f>
        <v>0</v>
      </c>
      <c r="BK143" s="55">
        <f>SUMIFS('Disbursements Summary'!$E:$E,'Disbursements Summary'!$C:$C,$C143,'Disbursements Summary'!$A:$A,"DANC")</f>
        <v>0</v>
      </c>
      <c r="BL143" s="55">
        <f>SUMIFS('Awards Summary'!$H:$H,'Awards Summary'!$B:$B,$C143,'Awards Summary'!$J:$J,"DOB")</f>
        <v>0</v>
      </c>
      <c r="BM143" s="55">
        <f>SUMIFS('Disbursements Summary'!$E:$E,'Disbursements Summary'!$C:$C,$C143,'Disbursements Summary'!$A:$A,"DOB")</f>
        <v>0</v>
      </c>
      <c r="BN143" s="55">
        <f>SUMIFS('Awards Summary'!$H:$H,'Awards Summary'!$B:$B,$C143,'Awards Summary'!$J:$J,"DCJS")</f>
        <v>0</v>
      </c>
      <c r="BO143" s="55">
        <f>SUMIFS('Disbursements Summary'!$E:$E,'Disbursements Summary'!$C:$C,$C143,'Disbursements Summary'!$A:$A,"DCJS")</f>
        <v>0</v>
      </c>
      <c r="BP143" s="55">
        <f>SUMIFS('Awards Summary'!$H:$H,'Awards Summary'!$B:$B,$C143,'Awards Summary'!$J:$J,"DHSES")</f>
        <v>0</v>
      </c>
      <c r="BQ143" s="55">
        <f>SUMIFS('Disbursements Summary'!$E:$E,'Disbursements Summary'!$C:$C,$C143,'Disbursements Summary'!$A:$A,"DHSES")</f>
        <v>0</v>
      </c>
      <c r="BR143" s="55">
        <f>SUMIFS('Awards Summary'!$H:$H,'Awards Summary'!$B:$B,$C143,'Awards Summary'!$J:$J,"DHR")</f>
        <v>0</v>
      </c>
      <c r="BS143" s="55">
        <f>SUMIFS('Disbursements Summary'!$E:$E,'Disbursements Summary'!$C:$C,$C143,'Disbursements Summary'!$A:$A,"DHR")</f>
        <v>0</v>
      </c>
      <c r="BT143" s="55">
        <f>SUMIFS('Awards Summary'!$H:$H,'Awards Summary'!$B:$B,$C143,'Awards Summary'!$J:$J,"DMNA")</f>
        <v>0</v>
      </c>
      <c r="BU143" s="55">
        <f>SUMIFS('Disbursements Summary'!$E:$E,'Disbursements Summary'!$C:$C,$C143,'Disbursements Summary'!$A:$A,"DMNA")</f>
        <v>0</v>
      </c>
      <c r="BV143" s="55">
        <f>SUMIFS('Awards Summary'!$H:$H,'Awards Summary'!$B:$B,$C143,'Awards Summary'!$J:$J,"TROOPERS")</f>
        <v>0</v>
      </c>
      <c r="BW143" s="55">
        <f>SUMIFS('Disbursements Summary'!$E:$E,'Disbursements Summary'!$C:$C,$C143,'Disbursements Summary'!$A:$A,"TROOPERS")</f>
        <v>0</v>
      </c>
      <c r="BX143" s="55">
        <f>SUMIFS('Awards Summary'!$H:$H,'Awards Summary'!$B:$B,$C143,'Awards Summary'!$J:$J,"DVA")</f>
        <v>0</v>
      </c>
      <c r="BY143" s="55">
        <f>SUMIFS('Disbursements Summary'!$E:$E,'Disbursements Summary'!$C:$C,$C143,'Disbursements Summary'!$A:$A,"DVA")</f>
        <v>0</v>
      </c>
      <c r="BZ143" s="55">
        <f>SUMIFS('Awards Summary'!$H:$H,'Awards Summary'!$B:$B,$C143,'Awards Summary'!$J:$J,"DASNY")</f>
        <v>0</v>
      </c>
      <c r="CA143" s="55">
        <f>SUMIFS('Disbursements Summary'!$E:$E,'Disbursements Summary'!$C:$C,$C143,'Disbursements Summary'!$A:$A,"DASNY")</f>
        <v>0</v>
      </c>
      <c r="CB143" s="55">
        <f>SUMIFS('Awards Summary'!$H:$H,'Awards Summary'!$B:$B,$C143,'Awards Summary'!$J:$J,"EGG")</f>
        <v>0</v>
      </c>
      <c r="CC143" s="55">
        <f>SUMIFS('Disbursements Summary'!$E:$E,'Disbursements Summary'!$C:$C,$C143,'Disbursements Summary'!$A:$A,"EGG")</f>
        <v>0</v>
      </c>
      <c r="CD143" s="55">
        <f>SUMIFS('Awards Summary'!$H:$H,'Awards Summary'!$B:$B,$C143,'Awards Summary'!$J:$J,"ESD")</f>
        <v>0</v>
      </c>
      <c r="CE143" s="55">
        <f>SUMIFS('Disbursements Summary'!$E:$E,'Disbursements Summary'!$C:$C,$C143,'Disbursements Summary'!$A:$A,"ESD")</f>
        <v>0</v>
      </c>
      <c r="CF143" s="55">
        <f>SUMIFS('Awards Summary'!$H:$H,'Awards Summary'!$B:$B,$C143,'Awards Summary'!$J:$J,"EFC")</f>
        <v>0</v>
      </c>
      <c r="CG143" s="55">
        <f>SUMIFS('Disbursements Summary'!$E:$E,'Disbursements Summary'!$C:$C,$C143,'Disbursements Summary'!$A:$A,"EFC")</f>
        <v>0</v>
      </c>
      <c r="CH143" s="55">
        <f>SUMIFS('Awards Summary'!$H:$H,'Awards Summary'!$B:$B,$C143,'Awards Summary'!$J:$J,"ECFSA")</f>
        <v>0</v>
      </c>
      <c r="CI143" s="55">
        <f>SUMIFS('Disbursements Summary'!$E:$E,'Disbursements Summary'!$C:$C,$C143,'Disbursements Summary'!$A:$A,"ECFSA")</f>
        <v>0</v>
      </c>
      <c r="CJ143" s="55">
        <f>SUMIFS('Awards Summary'!$H:$H,'Awards Summary'!$B:$B,$C143,'Awards Summary'!$J:$J,"ECMC")</f>
        <v>0</v>
      </c>
      <c r="CK143" s="55">
        <f>SUMIFS('Disbursements Summary'!$E:$E,'Disbursements Summary'!$C:$C,$C143,'Disbursements Summary'!$A:$A,"ECMC")</f>
        <v>0</v>
      </c>
      <c r="CL143" s="55">
        <f>SUMIFS('Awards Summary'!$H:$H,'Awards Summary'!$B:$B,$C143,'Awards Summary'!$J:$J,"CHAMBER")</f>
        <v>0</v>
      </c>
      <c r="CM143" s="55">
        <f>SUMIFS('Disbursements Summary'!$E:$E,'Disbursements Summary'!$C:$C,$C143,'Disbursements Summary'!$A:$A,"CHAMBER")</f>
        <v>0</v>
      </c>
      <c r="CN143" s="55">
        <f>SUMIFS('Awards Summary'!$H:$H,'Awards Summary'!$B:$B,$C143,'Awards Summary'!$J:$J,"GAMING")</f>
        <v>0</v>
      </c>
      <c r="CO143" s="55">
        <f>SUMIFS('Disbursements Summary'!$E:$E,'Disbursements Summary'!$C:$C,$C143,'Disbursements Summary'!$A:$A,"GAMING")</f>
        <v>0</v>
      </c>
      <c r="CP143" s="55">
        <f>SUMIFS('Awards Summary'!$H:$H,'Awards Summary'!$B:$B,$C143,'Awards Summary'!$J:$J,"GOER")</f>
        <v>0</v>
      </c>
      <c r="CQ143" s="55">
        <f>SUMIFS('Disbursements Summary'!$E:$E,'Disbursements Summary'!$C:$C,$C143,'Disbursements Summary'!$A:$A,"GOER")</f>
        <v>0</v>
      </c>
      <c r="CR143" s="55">
        <f>SUMIFS('Awards Summary'!$H:$H,'Awards Summary'!$B:$B,$C143,'Awards Summary'!$J:$J,"HESC")</f>
        <v>0</v>
      </c>
      <c r="CS143" s="55">
        <f>SUMIFS('Disbursements Summary'!$E:$E,'Disbursements Summary'!$C:$C,$C143,'Disbursements Summary'!$A:$A,"HESC")</f>
        <v>0</v>
      </c>
      <c r="CT143" s="55">
        <f>SUMIFS('Awards Summary'!$H:$H,'Awards Summary'!$B:$B,$C143,'Awards Summary'!$J:$J,"GOSR")</f>
        <v>0</v>
      </c>
      <c r="CU143" s="55">
        <f>SUMIFS('Disbursements Summary'!$E:$E,'Disbursements Summary'!$C:$C,$C143,'Disbursements Summary'!$A:$A,"GOSR")</f>
        <v>0</v>
      </c>
      <c r="CV143" s="55">
        <f>SUMIFS('Awards Summary'!$H:$H,'Awards Summary'!$B:$B,$C143,'Awards Summary'!$J:$J,"HRPT")</f>
        <v>0</v>
      </c>
      <c r="CW143" s="55">
        <f>SUMIFS('Disbursements Summary'!$E:$E,'Disbursements Summary'!$C:$C,$C143,'Disbursements Summary'!$A:$A,"HRPT")</f>
        <v>0</v>
      </c>
      <c r="CX143" s="55">
        <f>SUMIFS('Awards Summary'!$H:$H,'Awards Summary'!$B:$B,$C143,'Awards Summary'!$J:$J,"HRBRRD")</f>
        <v>0</v>
      </c>
      <c r="CY143" s="55">
        <f>SUMIFS('Disbursements Summary'!$E:$E,'Disbursements Summary'!$C:$C,$C143,'Disbursements Summary'!$A:$A,"HRBRRD")</f>
        <v>0</v>
      </c>
      <c r="CZ143" s="55">
        <f>SUMIFS('Awards Summary'!$H:$H,'Awards Summary'!$B:$B,$C143,'Awards Summary'!$J:$J,"ITS")</f>
        <v>0</v>
      </c>
      <c r="DA143" s="55">
        <f>SUMIFS('Disbursements Summary'!$E:$E,'Disbursements Summary'!$C:$C,$C143,'Disbursements Summary'!$A:$A,"ITS")</f>
        <v>0</v>
      </c>
      <c r="DB143" s="55">
        <f>SUMIFS('Awards Summary'!$H:$H,'Awards Summary'!$B:$B,$C143,'Awards Summary'!$J:$J,"JAVITS")</f>
        <v>0</v>
      </c>
      <c r="DC143" s="55">
        <f>SUMIFS('Disbursements Summary'!$E:$E,'Disbursements Summary'!$C:$C,$C143,'Disbursements Summary'!$A:$A,"JAVITS")</f>
        <v>0</v>
      </c>
      <c r="DD143" s="55">
        <f>SUMIFS('Awards Summary'!$H:$H,'Awards Summary'!$B:$B,$C143,'Awards Summary'!$J:$J,"JCOPE")</f>
        <v>0</v>
      </c>
      <c r="DE143" s="55">
        <f>SUMIFS('Disbursements Summary'!$E:$E,'Disbursements Summary'!$C:$C,$C143,'Disbursements Summary'!$A:$A,"JCOPE")</f>
        <v>0</v>
      </c>
      <c r="DF143" s="55">
        <f>SUMIFS('Awards Summary'!$H:$H,'Awards Summary'!$B:$B,$C143,'Awards Summary'!$J:$J,"JUSTICE")</f>
        <v>0</v>
      </c>
      <c r="DG143" s="55">
        <f>SUMIFS('Disbursements Summary'!$E:$E,'Disbursements Summary'!$C:$C,$C143,'Disbursements Summary'!$A:$A,"JUSTICE")</f>
        <v>0</v>
      </c>
      <c r="DH143" s="55">
        <f>SUMIFS('Awards Summary'!$H:$H,'Awards Summary'!$B:$B,$C143,'Awards Summary'!$J:$J,"LCWSA")</f>
        <v>0</v>
      </c>
      <c r="DI143" s="55">
        <f>SUMIFS('Disbursements Summary'!$E:$E,'Disbursements Summary'!$C:$C,$C143,'Disbursements Summary'!$A:$A,"LCWSA")</f>
        <v>0</v>
      </c>
      <c r="DJ143" s="55">
        <f>SUMIFS('Awards Summary'!$H:$H,'Awards Summary'!$B:$B,$C143,'Awards Summary'!$J:$J,"LIPA")</f>
        <v>0</v>
      </c>
      <c r="DK143" s="55">
        <f>SUMIFS('Disbursements Summary'!$E:$E,'Disbursements Summary'!$C:$C,$C143,'Disbursements Summary'!$A:$A,"LIPA")</f>
        <v>0</v>
      </c>
      <c r="DL143" s="55">
        <f>SUMIFS('Awards Summary'!$H:$H,'Awards Summary'!$B:$B,$C143,'Awards Summary'!$J:$J,"MTA")</f>
        <v>0</v>
      </c>
      <c r="DM143" s="55">
        <f>SUMIFS('Disbursements Summary'!$E:$E,'Disbursements Summary'!$C:$C,$C143,'Disbursements Summary'!$A:$A,"MTA")</f>
        <v>0</v>
      </c>
      <c r="DN143" s="55">
        <f>SUMIFS('Awards Summary'!$H:$H,'Awards Summary'!$B:$B,$C143,'Awards Summary'!$J:$J,"NIFA")</f>
        <v>0</v>
      </c>
      <c r="DO143" s="55">
        <f>SUMIFS('Disbursements Summary'!$E:$E,'Disbursements Summary'!$C:$C,$C143,'Disbursements Summary'!$A:$A,"NIFA")</f>
        <v>0</v>
      </c>
      <c r="DP143" s="55">
        <f>SUMIFS('Awards Summary'!$H:$H,'Awards Summary'!$B:$B,$C143,'Awards Summary'!$J:$J,"NHCC")</f>
        <v>0</v>
      </c>
      <c r="DQ143" s="55">
        <f>SUMIFS('Disbursements Summary'!$E:$E,'Disbursements Summary'!$C:$C,$C143,'Disbursements Summary'!$A:$A,"NHCC")</f>
        <v>0</v>
      </c>
      <c r="DR143" s="55">
        <f>SUMIFS('Awards Summary'!$H:$H,'Awards Summary'!$B:$B,$C143,'Awards Summary'!$J:$J,"NHT")</f>
        <v>0</v>
      </c>
      <c r="DS143" s="55">
        <f>SUMIFS('Disbursements Summary'!$E:$E,'Disbursements Summary'!$C:$C,$C143,'Disbursements Summary'!$A:$A,"NHT")</f>
        <v>0</v>
      </c>
      <c r="DT143" s="55">
        <f>SUMIFS('Awards Summary'!$H:$H,'Awards Summary'!$B:$B,$C143,'Awards Summary'!$J:$J,"NYPA")</f>
        <v>0</v>
      </c>
      <c r="DU143" s="55">
        <f>SUMIFS('Disbursements Summary'!$E:$E,'Disbursements Summary'!$C:$C,$C143,'Disbursements Summary'!$A:$A,"NYPA")</f>
        <v>0</v>
      </c>
      <c r="DV143" s="55">
        <f>SUMIFS('Awards Summary'!$H:$H,'Awards Summary'!$B:$B,$C143,'Awards Summary'!$J:$J,"NYSBA")</f>
        <v>0</v>
      </c>
      <c r="DW143" s="55">
        <f>SUMIFS('Disbursements Summary'!$E:$E,'Disbursements Summary'!$C:$C,$C143,'Disbursements Summary'!$A:$A,"NYSBA")</f>
        <v>0</v>
      </c>
      <c r="DX143" s="55">
        <f>SUMIFS('Awards Summary'!$H:$H,'Awards Summary'!$B:$B,$C143,'Awards Summary'!$J:$J,"NYSERDA")</f>
        <v>0</v>
      </c>
      <c r="DY143" s="55">
        <f>SUMIFS('Disbursements Summary'!$E:$E,'Disbursements Summary'!$C:$C,$C143,'Disbursements Summary'!$A:$A,"NYSERDA")</f>
        <v>0</v>
      </c>
      <c r="DZ143" s="55">
        <f>SUMIFS('Awards Summary'!$H:$H,'Awards Summary'!$B:$B,$C143,'Awards Summary'!$J:$J,"DHCR")</f>
        <v>0</v>
      </c>
      <c r="EA143" s="55">
        <f>SUMIFS('Disbursements Summary'!$E:$E,'Disbursements Summary'!$C:$C,$C143,'Disbursements Summary'!$A:$A,"DHCR")</f>
        <v>0</v>
      </c>
      <c r="EB143" s="55">
        <f>SUMIFS('Awards Summary'!$H:$H,'Awards Summary'!$B:$B,$C143,'Awards Summary'!$J:$J,"HFA")</f>
        <v>0</v>
      </c>
      <c r="EC143" s="55">
        <f>SUMIFS('Disbursements Summary'!$E:$E,'Disbursements Summary'!$C:$C,$C143,'Disbursements Summary'!$A:$A,"HFA")</f>
        <v>0</v>
      </c>
      <c r="ED143" s="55">
        <f>SUMIFS('Awards Summary'!$H:$H,'Awards Summary'!$B:$B,$C143,'Awards Summary'!$J:$J,"NYSIF")</f>
        <v>0</v>
      </c>
      <c r="EE143" s="55">
        <f>SUMIFS('Disbursements Summary'!$E:$E,'Disbursements Summary'!$C:$C,$C143,'Disbursements Summary'!$A:$A,"NYSIF")</f>
        <v>0</v>
      </c>
      <c r="EF143" s="55">
        <f>SUMIFS('Awards Summary'!$H:$H,'Awards Summary'!$B:$B,$C143,'Awards Summary'!$J:$J,"NYBREDS")</f>
        <v>0</v>
      </c>
      <c r="EG143" s="55">
        <f>SUMIFS('Disbursements Summary'!$E:$E,'Disbursements Summary'!$C:$C,$C143,'Disbursements Summary'!$A:$A,"NYBREDS")</f>
        <v>0</v>
      </c>
      <c r="EH143" s="55">
        <f>SUMIFS('Awards Summary'!$H:$H,'Awards Summary'!$B:$B,$C143,'Awards Summary'!$J:$J,"NYSTA")</f>
        <v>0</v>
      </c>
      <c r="EI143" s="55">
        <f>SUMIFS('Disbursements Summary'!$E:$E,'Disbursements Summary'!$C:$C,$C143,'Disbursements Summary'!$A:$A,"NYSTA")</f>
        <v>0</v>
      </c>
      <c r="EJ143" s="55">
        <f>SUMIFS('Awards Summary'!$H:$H,'Awards Summary'!$B:$B,$C143,'Awards Summary'!$J:$J,"NFWB")</f>
        <v>0</v>
      </c>
      <c r="EK143" s="55">
        <f>SUMIFS('Disbursements Summary'!$E:$E,'Disbursements Summary'!$C:$C,$C143,'Disbursements Summary'!$A:$A,"NFWB")</f>
        <v>0</v>
      </c>
      <c r="EL143" s="55">
        <f>SUMIFS('Awards Summary'!$H:$H,'Awards Summary'!$B:$B,$C143,'Awards Summary'!$J:$J,"NFTA")</f>
        <v>0</v>
      </c>
      <c r="EM143" s="55">
        <f>SUMIFS('Disbursements Summary'!$E:$E,'Disbursements Summary'!$C:$C,$C143,'Disbursements Summary'!$A:$A,"NFTA")</f>
        <v>0</v>
      </c>
      <c r="EN143" s="55">
        <f>SUMIFS('Awards Summary'!$H:$H,'Awards Summary'!$B:$B,$C143,'Awards Summary'!$J:$J,"OPWDD")</f>
        <v>0</v>
      </c>
      <c r="EO143" s="55">
        <f>SUMIFS('Disbursements Summary'!$E:$E,'Disbursements Summary'!$C:$C,$C143,'Disbursements Summary'!$A:$A,"OPWDD")</f>
        <v>0</v>
      </c>
      <c r="EP143" s="55">
        <f>SUMIFS('Awards Summary'!$H:$H,'Awards Summary'!$B:$B,$C143,'Awards Summary'!$J:$J,"AGING")</f>
        <v>0</v>
      </c>
      <c r="EQ143" s="55">
        <f>SUMIFS('Disbursements Summary'!$E:$E,'Disbursements Summary'!$C:$C,$C143,'Disbursements Summary'!$A:$A,"AGING")</f>
        <v>0</v>
      </c>
      <c r="ER143" s="55">
        <f>SUMIFS('Awards Summary'!$H:$H,'Awards Summary'!$B:$B,$C143,'Awards Summary'!$J:$J,"OPDV")</f>
        <v>0</v>
      </c>
      <c r="ES143" s="55">
        <f>SUMIFS('Disbursements Summary'!$E:$E,'Disbursements Summary'!$C:$C,$C143,'Disbursements Summary'!$A:$A,"OPDV")</f>
        <v>0</v>
      </c>
      <c r="ET143" s="55">
        <f>SUMIFS('Awards Summary'!$H:$H,'Awards Summary'!$B:$B,$C143,'Awards Summary'!$J:$J,"OVS")</f>
        <v>0</v>
      </c>
      <c r="EU143" s="55">
        <f>SUMIFS('Disbursements Summary'!$E:$E,'Disbursements Summary'!$C:$C,$C143,'Disbursements Summary'!$A:$A,"OVS")</f>
        <v>0</v>
      </c>
      <c r="EV143" s="55">
        <f>SUMIFS('Awards Summary'!$H:$H,'Awards Summary'!$B:$B,$C143,'Awards Summary'!$J:$J,"OASAS")</f>
        <v>0</v>
      </c>
      <c r="EW143" s="55">
        <f>SUMIFS('Disbursements Summary'!$E:$E,'Disbursements Summary'!$C:$C,$C143,'Disbursements Summary'!$A:$A,"OASAS")</f>
        <v>0</v>
      </c>
      <c r="EX143" s="55">
        <f>SUMIFS('Awards Summary'!$H:$H,'Awards Summary'!$B:$B,$C143,'Awards Summary'!$J:$J,"OCFS")</f>
        <v>0</v>
      </c>
      <c r="EY143" s="55">
        <f>SUMIFS('Disbursements Summary'!$E:$E,'Disbursements Summary'!$C:$C,$C143,'Disbursements Summary'!$A:$A,"OCFS")</f>
        <v>0</v>
      </c>
      <c r="EZ143" s="55">
        <f>SUMIFS('Awards Summary'!$H:$H,'Awards Summary'!$B:$B,$C143,'Awards Summary'!$J:$J,"OGS")</f>
        <v>0</v>
      </c>
      <c r="FA143" s="55">
        <f>SUMIFS('Disbursements Summary'!$E:$E,'Disbursements Summary'!$C:$C,$C143,'Disbursements Summary'!$A:$A,"OGS")</f>
        <v>0</v>
      </c>
      <c r="FB143" s="55">
        <f>SUMIFS('Awards Summary'!$H:$H,'Awards Summary'!$B:$B,$C143,'Awards Summary'!$J:$J,"OMH")</f>
        <v>0</v>
      </c>
      <c r="FC143" s="55">
        <f>SUMIFS('Disbursements Summary'!$E:$E,'Disbursements Summary'!$C:$C,$C143,'Disbursements Summary'!$A:$A,"OMH")</f>
        <v>0</v>
      </c>
      <c r="FD143" s="55">
        <f>SUMIFS('Awards Summary'!$H:$H,'Awards Summary'!$B:$B,$C143,'Awards Summary'!$J:$J,"PARKS")</f>
        <v>0</v>
      </c>
      <c r="FE143" s="55">
        <f>SUMIFS('Disbursements Summary'!$E:$E,'Disbursements Summary'!$C:$C,$C143,'Disbursements Summary'!$A:$A,"PARKS")</f>
        <v>0</v>
      </c>
      <c r="FF143" s="55">
        <f>SUMIFS('Awards Summary'!$H:$H,'Awards Summary'!$B:$B,$C143,'Awards Summary'!$J:$J,"OTDA")</f>
        <v>0</v>
      </c>
      <c r="FG143" s="55">
        <f>SUMIFS('Disbursements Summary'!$E:$E,'Disbursements Summary'!$C:$C,$C143,'Disbursements Summary'!$A:$A,"OTDA")</f>
        <v>0</v>
      </c>
      <c r="FH143" s="55">
        <f>SUMIFS('Awards Summary'!$H:$H,'Awards Summary'!$B:$B,$C143,'Awards Summary'!$J:$J,"OIG")</f>
        <v>0</v>
      </c>
      <c r="FI143" s="55">
        <f>SUMIFS('Disbursements Summary'!$E:$E,'Disbursements Summary'!$C:$C,$C143,'Disbursements Summary'!$A:$A,"OIG")</f>
        <v>0</v>
      </c>
      <c r="FJ143" s="55">
        <f>SUMIFS('Awards Summary'!$H:$H,'Awards Summary'!$B:$B,$C143,'Awards Summary'!$J:$J,"OMIG")</f>
        <v>0</v>
      </c>
      <c r="FK143" s="55">
        <f>SUMIFS('Disbursements Summary'!$E:$E,'Disbursements Summary'!$C:$C,$C143,'Disbursements Summary'!$A:$A,"OMIG")</f>
        <v>0</v>
      </c>
      <c r="FL143" s="55">
        <f>SUMIFS('Awards Summary'!$H:$H,'Awards Summary'!$B:$B,$C143,'Awards Summary'!$J:$J,"OSC")</f>
        <v>0</v>
      </c>
      <c r="FM143" s="55">
        <f>SUMIFS('Disbursements Summary'!$E:$E,'Disbursements Summary'!$C:$C,$C143,'Disbursements Summary'!$A:$A,"OSC")</f>
        <v>0</v>
      </c>
      <c r="FN143" s="55">
        <f>SUMIFS('Awards Summary'!$H:$H,'Awards Summary'!$B:$B,$C143,'Awards Summary'!$J:$J,"OWIG")</f>
        <v>0</v>
      </c>
      <c r="FO143" s="55">
        <f>SUMIFS('Disbursements Summary'!$E:$E,'Disbursements Summary'!$C:$C,$C143,'Disbursements Summary'!$A:$A,"OWIG")</f>
        <v>0</v>
      </c>
      <c r="FP143" s="55">
        <f>SUMIFS('Awards Summary'!$H:$H,'Awards Summary'!$B:$B,$C143,'Awards Summary'!$J:$J,"OGDEN")</f>
        <v>0</v>
      </c>
      <c r="FQ143" s="55">
        <f>SUMIFS('Disbursements Summary'!$E:$E,'Disbursements Summary'!$C:$C,$C143,'Disbursements Summary'!$A:$A,"OGDEN")</f>
        <v>0</v>
      </c>
      <c r="FR143" s="55">
        <f>SUMIFS('Awards Summary'!$H:$H,'Awards Summary'!$B:$B,$C143,'Awards Summary'!$J:$J,"ORDA")</f>
        <v>0</v>
      </c>
      <c r="FS143" s="55">
        <f>SUMIFS('Disbursements Summary'!$E:$E,'Disbursements Summary'!$C:$C,$C143,'Disbursements Summary'!$A:$A,"ORDA")</f>
        <v>0</v>
      </c>
      <c r="FT143" s="55">
        <f>SUMIFS('Awards Summary'!$H:$H,'Awards Summary'!$B:$B,$C143,'Awards Summary'!$J:$J,"OSWEGO")</f>
        <v>0</v>
      </c>
      <c r="FU143" s="55">
        <f>SUMIFS('Disbursements Summary'!$E:$E,'Disbursements Summary'!$C:$C,$C143,'Disbursements Summary'!$A:$A,"OSWEGO")</f>
        <v>0</v>
      </c>
      <c r="FV143" s="55">
        <f>SUMIFS('Awards Summary'!$H:$H,'Awards Summary'!$B:$B,$C143,'Awards Summary'!$J:$J,"PERB")</f>
        <v>0</v>
      </c>
      <c r="FW143" s="55">
        <f>SUMIFS('Disbursements Summary'!$E:$E,'Disbursements Summary'!$C:$C,$C143,'Disbursements Summary'!$A:$A,"PERB")</f>
        <v>0</v>
      </c>
      <c r="FX143" s="55">
        <f>SUMIFS('Awards Summary'!$H:$H,'Awards Summary'!$B:$B,$C143,'Awards Summary'!$J:$J,"RGRTA")</f>
        <v>0</v>
      </c>
      <c r="FY143" s="55">
        <f>SUMIFS('Disbursements Summary'!$E:$E,'Disbursements Summary'!$C:$C,$C143,'Disbursements Summary'!$A:$A,"RGRTA")</f>
        <v>0</v>
      </c>
      <c r="FZ143" s="55">
        <f>SUMIFS('Awards Summary'!$H:$H,'Awards Summary'!$B:$B,$C143,'Awards Summary'!$J:$J,"RIOC")</f>
        <v>0</v>
      </c>
      <c r="GA143" s="55">
        <f>SUMIFS('Disbursements Summary'!$E:$E,'Disbursements Summary'!$C:$C,$C143,'Disbursements Summary'!$A:$A,"RIOC")</f>
        <v>0</v>
      </c>
      <c r="GB143" s="55">
        <f>SUMIFS('Awards Summary'!$H:$H,'Awards Summary'!$B:$B,$C143,'Awards Summary'!$J:$J,"RPCI")</f>
        <v>0</v>
      </c>
      <c r="GC143" s="55">
        <f>SUMIFS('Disbursements Summary'!$E:$E,'Disbursements Summary'!$C:$C,$C143,'Disbursements Summary'!$A:$A,"RPCI")</f>
        <v>0</v>
      </c>
      <c r="GD143" s="55">
        <f>SUMIFS('Awards Summary'!$H:$H,'Awards Summary'!$B:$B,$C143,'Awards Summary'!$J:$J,"SMDA")</f>
        <v>0</v>
      </c>
      <c r="GE143" s="55">
        <f>SUMIFS('Disbursements Summary'!$E:$E,'Disbursements Summary'!$C:$C,$C143,'Disbursements Summary'!$A:$A,"SMDA")</f>
        <v>0</v>
      </c>
      <c r="GF143" s="55">
        <f>SUMIFS('Awards Summary'!$H:$H,'Awards Summary'!$B:$B,$C143,'Awards Summary'!$J:$J,"SCOC")</f>
        <v>0</v>
      </c>
      <c r="GG143" s="55">
        <f>SUMIFS('Disbursements Summary'!$E:$E,'Disbursements Summary'!$C:$C,$C143,'Disbursements Summary'!$A:$A,"SCOC")</f>
        <v>0</v>
      </c>
      <c r="GH143" s="55">
        <f>SUMIFS('Awards Summary'!$H:$H,'Awards Summary'!$B:$B,$C143,'Awards Summary'!$J:$J,"SUCF")</f>
        <v>0</v>
      </c>
      <c r="GI143" s="55">
        <f>SUMIFS('Disbursements Summary'!$E:$E,'Disbursements Summary'!$C:$C,$C143,'Disbursements Summary'!$A:$A,"SUCF")</f>
        <v>0</v>
      </c>
      <c r="GJ143" s="55">
        <f>SUMIFS('Awards Summary'!$H:$H,'Awards Summary'!$B:$B,$C143,'Awards Summary'!$J:$J,"SUNY")</f>
        <v>0</v>
      </c>
      <c r="GK143" s="55">
        <f>SUMIFS('Disbursements Summary'!$E:$E,'Disbursements Summary'!$C:$C,$C143,'Disbursements Summary'!$A:$A,"SUNY")</f>
        <v>0</v>
      </c>
      <c r="GL143" s="55">
        <f>SUMIFS('Awards Summary'!$H:$H,'Awards Summary'!$B:$B,$C143,'Awards Summary'!$J:$J,"SRAA")</f>
        <v>0</v>
      </c>
      <c r="GM143" s="55">
        <f>SUMIFS('Disbursements Summary'!$E:$E,'Disbursements Summary'!$C:$C,$C143,'Disbursements Summary'!$A:$A,"SRAA")</f>
        <v>0</v>
      </c>
      <c r="GN143" s="55">
        <f>SUMIFS('Awards Summary'!$H:$H,'Awards Summary'!$B:$B,$C143,'Awards Summary'!$J:$J,"UNDC")</f>
        <v>0</v>
      </c>
      <c r="GO143" s="55">
        <f>SUMIFS('Disbursements Summary'!$E:$E,'Disbursements Summary'!$C:$C,$C143,'Disbursements Summary'!$A:$A,"UNDC")</f>
        <v>0</v>
      </c>
      <c r="GP143" s="55">
        <f>SUMIFS('Awards Summary'!$H:$H,'Awards Summary'!$B:$B,$C143,'Awards Summary'!$J:$J,"MVWA")</f>
        <v>0</v>
      </c>
      <c r="GQ143" s="55">
        <f>SUMIFS('Disbursements Summary'!$E:$E,'Disbursements Summary'!$C:$C,$C143,'Disbursements Summary'!$A:$A,"MVWA")</f>
        <v>0</v>
      </c>
      <c r="GR143" s="55">
        <f>SUMIFS('Awards Summary'!$H:$H,'Awards Summary'!$B:$B,$C143,'Awards Summary'!$J:$J,"WMC")</f>
        <v>0</v>
      </c>
      <c r="GS143" s="55">
        <f>SUMIFS('Disbursements Summary'!$E:$E,'Disbursements Summary'!$C:$C,$C143,'Disbursements Summary'!$A:$A,"WMC")</f>
        <v>0</v>
      </c>
      <c r="GT143" s="55">
        <f>SUMIFS('Awards Summary'!$H:$H,'Awards Summary'!$B:$B,$C143,'Awards Summary'!$J:$J,"WCB")</f>
        <v>0</v>
      </c>
      <c r="GU143" s="55">
        <f>SUMIFS('Disbursements Summary'!$E:$E,'Disbursements Summary'!$C:$C,$C143,'Disbursements Summary'!$A:$A,"WCB")</f>
        <v>0</v>
      </c>
      <c r="GV143" s="32">
        <f t="shared" si="10"/>
        <v>0</v>
      </c>
      <c r="GW143" s="32">
        <f t="shared" si="11"/>
        <v>0</v>
      </c>
      <c r="GX143" s="30" t="b">
        <f t="shared" si="12"/>
        <v>1</v>
      </c>
      <c r="GY143" s="30" t="b">
        <f t="shared" si="13"/>
        <v>1</v>
      </c>
    </row>
    <row r="144" spans="1:16384" s="61" customFormat="1">
      <c r="A144" s="22" t="str">
        <f t="shared" si="14"/>
        <v/>
      </c>
      <c r="B144" s="70" t="s">
        <v>477</v>
      </c>
      <c r="C144" s="71">
        <v>171398</v>
      </c>
      <c r="D144" s="26">
        <f>COUNTIF('Awards Summary'!B:B,"171398")</f>
        <v>0</v>
      </c>
      <c r="E144" s="45">
        <f>SUMIFS('Awards Summary'!H:H,'Awards Summary'!B:B,"171398")</f>
        <v>0</v>
      </c>
      <c r="F144" s="46">
        <f>SUMIFS('Disbursements Summary'!E:E,'Disbursements Summary'!C:C, "171398")</f>
        <v>0</v>
      </c>
      <c r="G144" s="30"/>
      <c r="H144" s="55">
        <f>SUMIFS('Awards Summary'!$H:$H,'Awards Summary'!$B:$B,$C144,'Awards Summary'!$J:$J,"APA")</f>
        <v>0</v>
      </c>
      <c r="I144" s="55">
        <f>SUMIFS('Disbursements Summary'!$E:$E,'Disbursements Summary'!$C:$C,$C144,'Disbursements Summary'!$A:$A,"APA")</f>
        <v>0</v>
      </c>
      <c r="J144" s="55">
        <f>SUMIFS('Awards Summary'!$H:$H,'Awards Summary'!$B:$B,$C144,'Awards Summary'!$J:$J,"Ag&amp;Horse")</f>
        <v>0</v>
      </c>
      <c r="K144" s="55">
        <f>SUMIFS('Disbursements Summary'!$E:$E,'Disbursements Summary'!$C:$C,$C144,'Disbursements Summary'!$A:$A,"Ag&amp;Horse")</f>
        <v>0</v>
      </c>
      <c r="L144" s="55">
        <f>SUMIFS('Awards Summary'!$H:$H,'Awards Summary'!$B:$B,$C144,'Awards Summary'!$J:$J,"ACAA")</f>
        <v>0</v>
      </c>
      <c r="M144" s="55">
        <f>SUMIFS('Disbursements Summary'!$E:$E,'Disbursements Summary'!$C:$C,$C144,'Disbursements Summary'!$A:$A,"ACAA")</f>
        <v>0</v>
      </c>
      <c r="N144" s="55">
        <f>SUMIFS('Awards Summary'!$H:$H,'Awards Summary'!$B:$B,$C144,'Awards Summary'!$J:$J,"PortAlbany")</f>
        <v>0</v>
      </c>
      <c r="O144" s="55">
        <f>SUMIFS('Disbursements Summary'!$E:$E,'Disbursements Summary'!$C:$C,$C144,'Disbursements Summary'!$A:$A,"PortAlbany")</f>
        <v>0</v>
      </c>
      <c r="P144" s="55">
        <f>SUMIFS('Awards Summary'!$H:$H,'Awards Summary'!$B:$B,$C144,'Awards Summary'!$J:$J,"SLA")</f>
        <v>0</v>
      </c>
      <c r="Q144" s="55">
        <f>SUMIFS('Disbursements Summary'!$E:$E,'Disbursements Summary'!$C:$C,$C144,'Disbursements Summary'!$A:$A,"SLA")</f>
        <v>0</v>
      </c>
      <c r="R144" s="55">
        <f>SUMIFS('Awards Summary'!$H:$H,'Awards Summary'!$B:$B,$C144,'Awards Summary'!$J:$J,"BPCA")</f>
        <v>0</v>
      </c>
      <c r="S144" s="55">
        <f>SUMIFS('Disbursements Summary'!$E:$E,'Disbursements Summary'!$C:$C,$C144,'Disbursements Summary'!$A:$A,"BPCA")</f>
        <v>0</v>
      </c>
      <c r="T144" s="55">
        <f>SUMIFS('Awards Summary'!$H:$H,'Awards Summary'!$B:$B,$C144,'Awards Summary'!$J:$J,"ELECTIONS")</f>
        <v>0</v>
      </c>
      <c r="U144" s="55">
        <f>SUMIFS('Disbursements Summary'!$E:$E,'Disbursements Summary'!$C:$C,$C144,'Disbursements Summary'!$A:$A,"ELECTIONS")</f>
        <v>0</v>
      </c>
      <c r="V144" s="55">
        <f>SUMIFS('Awards Summary'!$H:$H,'Awards Summary'!$B:$B,$C144,'Awards Summary'!$J:$J,"BFSA")</f>
        <v>0</v>
      </c>
      <c r="W144" s="55">
        <f>SUMIFS('Disbursements Summary'!$E:$E,'Disbursements Summary'!$C:$C,$C144,'Disbursements Summary'!$A:$A,"BFSA")</f>
        <v>0</v>
      </c>
      <c r="X144" s="55">
        <f>SUMIFS('Awards Summary'!$H:$H,'Awards Summary'!$B:$B,$C144,'Awards Summary'!$J:$J,"CDTA")</f>
        <v>0</v>
      </c>
      <c r="Y144" s="55">
        <f>SUMIFS('Disbursements Summary'!$E:$E,'Disbursements Summary'!$C:$C,$C144,'Disbursements Summary'!$A:$A,"CDTA")</f>
        <v>0</v>
      </c>
      <c r="Z144" s="55">
        <f>SUMIFS('Awards Summary'!$H:$H,'Awards Summary'!$B:$B,$C144,'Awards Summary'!$J:$J,"CCWSA")</f>
        <v>0</v>
      </c>
      <c r="AA144" s="55">
        <f>SUMIFS('Disbursements Summary'!$E:$E,'Disbursements Summary'!$C:$C,$C144,'Disbursements Summary'!$A:$A,"CCWSA")</f>
        <v>0</v>
      </c>
      <c r="AB144" s="55">
        <f>SUMIFS('Awards Summary'!$H:$H,'Awards Summary'!$B:$B,$C144,'Awards Summary'!$J:$J,"CNYRTA")</f>
        <v>0</v>
      </c>
      <c r="AC144" s="55">
        <f>SUMIFS('Disbursements Summary'!$E:$E,'Disbursements Summary'!$C:$C,$C144,'Disbursements Summary'!$A:$A,"CNYRTA")</f>
        <v>0</v>
      </c>
      <c r="AD144" s="55">
        <f>SUMIFS('Awards Summary'!$H:$H,'Awards Summary'!$B:$B,$C144,'Awards Summary'!$J:$J,"CUCF")</f>
        <v>0</v>
      </c>
      <c r="AE144" s="55">
        <f>SUMIFS('Disbursements Summary'!$E:$E,'Disbursements Summary'!$C:$C,$C144,'Disbursements Summary'!$A:$A,"CUCF")</f>
        <v>0</v>
      </c>
      <c r="AF144" s="55">
        <f>SUMIFS('Awards Summary'!$H:$H,'Awards Summary'!$B:$B,$C144,'Awards Summary'!$J:$J,"CUNY")</f>
        <v>0</v>
      </c>
      <c r="AG144" s="55">
        <f>SUMIFS('Disbursements Summary'!$E:$E,'Disbursements Summary'!$C:$C,$C144,'Disbursements Summary'!$A:$A,"CUNY")</f>
        <v>0</v>
      </c>
      <c r="AH144" s="55">
        <f>SUMIFS('Awards Summary'!$H:$H,'Awards Summary'!$B:$B,$C144,'Awards Summary'!$J:$J,"ARTS")</f>
        <v>0</v>
      </c>
      <c r="AI144" s="55">
        <f>SUMIFS('Disbursements Summary'!$E:$E,'Disbursements Summary'!$C:$C,$C144,'Disbursements Summary'!$A:$A,"ARTS")</f>
        <v>0</v>
      </c>
      <c r="AJ144" s="55">
        <f>SUMIFS('Awards Summary'!$H:$H,'Awards Summary'!$B:$B,$C144,'Awards Summary'!$J:$J,"AG&amp;MKTS")</f>
        <v>0</v>
      </c>
      <c r="AK144" s="55">
        <f>SUMIFS('Disbursements Summary'!$E:$E,'Disbursements Summary'!$C:$C,$C144,'Disbursements Summary'!$A:$A,"AG&amp;MKTS")</f>
        <v>0</v>
      </c>
      <c r="AL144" s="55">
        <f>SUMIFS('Awards Summary'!$H:$H,'Awards Summary'!$B:$B,$C144,'Awards Summary'!$J:$J,"CS")</f>
        <v>0</v>
      </c>
      <c r="AM144" s="55">
        <f>SUMIFS('Disbursements Summary'!$E:$E,'Disbursements Summary'!$C:$C,$C144,'Disbursements Summary'!$A:$A,"CS")</f>
        <v>0</v>
      </c>
      <c r="AN144" s="55">
        <f>SUMIFS('Awards Summary'!$H:$H,'Awards Summary'!$B:$B,$C144,'Awards Summary'!$J:$J,"DOCCS")</f>
        <v>0</v>
      </c>
      <c r="AO144" s="55">
        <f>SUMIFS('Disbursements Summary'!$E:$E,'Disbursements Summary'!$C:$C,$C144,'Disbursements Summary'!$A:$A,"DOCCS")</f>
        <v>0</v>
      </c>
      <c r="AP144" s="55">
        <f>SUMIFS('Awards Summary'!$H:$H,'Awards Summary'!$B:$B,$C144,'Awards Summary'!$J:$J,"DED")</f>
        <v>0</v>
      </c>
      <c r="AQ144" s="55">
        <f>SUMIFS('Disbursements Summary'!$E:$E,'Disbursements Summary'!$C:$C,$C144,'Disbursements Summary'!$A:$A,"DED")</f>
        <v>0</v>
      </c>
      <c r="AR144" s="55">
        <f>SUMIFS('Awards Summary'!$H:$H,'Awards Summary'!$B:$B,$C144,'Awards Summary'!$J:$J,"DEC")</f>
        <v>0</v>
      </c>
      <c r="AS144" s="55">
        <f>SUMIFS('Disbursements Summary'!$E:$E,'Disbursements Summary'!$C:$C,$C144,'Disbursements Summary'!$A:$A,"DEC")</f>
        <v>0</v>
      </c>
      <c r="AT144" s="55">
        <f>SUMIFS('Awards Summary'!$H:$H,'Awards Summary'!$B:$B,$C144,'Awards Summary'!$J:$J,"DFS")</f>
        <v>0</v>
      </c>
      <c r="AU144" s="55">
        <f>SUMIFS('Disbursements Summary'!$E:$E,'Disbursements Summary'!$C:$C,$C144,'Disbursements Summary'!$A:$A,"DFS")</f>
        <v>0</v>
      </c>
      <c r="AV144" s="55">
        <f>SUMIFS('Awards Summary'!$H:$H,'Awards Summary'!$B:$B,$C144,'Awards Summary'!$J:$J,"DOH")</f>
        <v>0</v>
      </c>
      <c r="AW144" s="55">
        <f>SUMIFS('Disbursements Summary'!$E:$E,'Disbursements Summary'!$C:$C,$C144,'Disbursements Summary'!$A:$A,"DOH")</f>
        <v>0</v>
      </c>
      <c r="AX144" s="55">
        <f>SUMIFS('Awards Summary'!$H:$H,'Awards Summary'!$B:$B,$C144,'Awards Summary'!$J:$J,"DOL")</f>
        <v>0</v>
      </c>
      <c r="AY144" s="55">
        <f>SUMIFS('Disbursements Summary'!$E:$E,'Disbursements Summary'!$C:$C,$C144,'Disbursements Summary'!$A:$A,"DOL")</f>
        <v>0</v>
      </c>
      <c r="AZ144" s="55">
        <f>SUMIFS('Awards Summary'!$H:$H,'Awards Summary'!$B:$B,$C144,'Awards Summary'!$J:$J,"DMV")</f>
        <v>0</v>
      </c>
      <c r="BA144" s="55">
        <f>SUMIFS('Disbursements Summary'!$E:$E,'Disbursements Summary'!$C:$C,$C144,'Disbursements Summary'!$A:$A,"DMV")</f>
        <v>0</v>
      </c>
      <c r="BB144" s="55">
        <f>SUMIFS('Awards Summary'!$H:$H,'Awards Summary'!$B:$B,$C144,'Awards Summary'!$J:$J,"DPS")</f>
        <v>0</v>
      </c>
      <c r="BC144" s="55">
        <f>SUMIFS('Disbursements Summary'!$E:$E,'Disbursements Summary'!$C:$C,$C144,'Disbursements Summary'!$A:$A,"DPS")</f>
        <v>0</v>
      </c>
      <c r="BD144" s="55">
        <f>SUMIFS('Awards Summary'!$H:$H,'Awards Summary'!$B:$B,$C144,'Awards Summary'!$J:$J,"DOS")</f>
        <v>0</v>
      </c>
      <c r="BE144" s="55">
        <f>SUMIFS('Disbursements Summary'!$E:$E,'Disbursements Summary'!$C:$C,$C144,'Disbursements Summary'!$A:$A,"DOS")</f>
        <v>0</v>
      </c>
      <c r="BF144" s="55">
        <f>SUMIFS('Awards Summary'!$H:$H,'Awards Summary'!$B:$B,$C144,'Awards Summary'!$J:$J,"TAX")</f>
        <v>0</v>
      </c>
      <c r="BG144" s="55">
        <f>SUMIFS('Disbursements Summary'!$E:$E,'Disbursements Summary'!$C:$C,$C144,'Disbursements Summary'!$A:$A,"TAX")</f>
        <v>0</v>
      </c>
      <c r="BH144" s="55">
        <f>SUMIFS('Awards Summary'!$H:$H,'Awards Summary'!$B:$B,$C144,'Awards Summary'!$J:$J,"DOT")</f>
        <v>0</v>
      </c>
      <c r="BI144" s="55">
        <f>SUMIFS('Disbursements Summary'!$E:$E,'Disbursements Summary'!$C:$C,$C144,'Disbursements Summary'!$A:$A,"DOT")</f>
        <v>0</v>
      </c>
      <c r="BJ144" s="55">
        <f>SUMIFS('Awards Summary'!$H:$H,'Awards Summary'!$B:$B,$C144,'Awards Summary'!$J:$J,"DANC")</f>
        <v>0</v>
      </c>
      <c r="BK144" s="55">
        <f>SUMIFS('Disbursements Summary'!$E:$E,'Disbursements Summary'!$C:$C,$C144,'Disbursements Summary'!$A:$A,"DANC")</f>
        <v>0</v>
      </c>
      <c r="BL144" s="55">
        <f>SUMIFS('Awards Summary'!$H:$H,'Awards Summary'!$B:$B,$C144,'Awards Summary'!$J:$J,"DOB")</f>
        <v>0</v>
      </c>
      <c r="BM144" s="55">
        <f>SUMIFS('Disbursements Summary'!$E:$E,'Disbursements Summary'!$C:$C,$C144,'Disbursements Summary'!$A:$A,"DOB")</f>
        <v>0</v>
      </c>
      <c r="BN144" s="55">
        <f>SUMIFS('Awards Summary'!$H:$H,'Awards Summary'!$B:$B,$C144,'Awards Summary'!$J:$J,"DCJS")</f>
        <v>0</v>
      </c>
      <c r="BO144" s="55">
        <f>SUMIFS('Disbursements Summary'!$E:$E,'Disbursements Summary'!$C:$C,$C144,'Disbursements Summary'!$A:$A,"DCJS")</f>
        <v>0</v>
      </c>
      <c r="BP144" s="55">
        <f>SUMIFS('Awards Summary'!$H:$H,'Awards Summary'!$B:$B,$C144,'Awards Summary'!$J:$J,"DHSES")</f>
        <v>0</v>
      </c>
      <c r="BQ144" s="55">
        <f>SUMIFS('Disbursements Summary'!$E:$E,'Disbursements Summary'!$C:$C,$C144,'Disbursements Summary'!$A:$A,"DHSES")</f>
        <v>0</v>
      </c>
      <c r="BR144" s="55">
        <f>SUMIFS('Awards Summary'!$H:$H,'Awards Summary'!$B:$B,$C144,'Awards Summary'!$J:$J,"DHR")</f>
        <v>0</v>
      </c>
      <c r="BS144" s="55">
        <f>SUMIFS('Disbursements Summary'!$E:$E,'Disbursements Summary'!$C:$C,$C144,'Disbursements Summary'!$A:$A,"DHR")</f>
        <v>0</v>
      </c>
      <c r="BT144" s="55">
        <f>SUMIFS('Awards Summary'!$H:$H,'Awards Summary'!$B:$B,$C144,'Awards Summary'!$J:$J,"DMNA")</f>
        <v>0</v>
      </c>
      <c r="BU144" s="55">
        <f>SUMIFS('Disbursements Summary'!$E:$E,'Disbursements Summary'!$C:$C,$C144,'Disbursements Summary'!$A:$A,"DMNA")</f>
        <v>0</v>
      </c>
      <c r="BV144" s="55">
        <f>SUMIFS('Awards Summary'!$H:$H,'Awards Summary'!$B:$B,$C144,'Awards Summary'!$J:$J,"TROOPERS")</f>
        <v>0</v>
      </c>
      <c r="BW144" s="55">
        <f>SUMIFS('Disbursements Summary'!$E:$E,'Disbursements Summary'!$C:$C,$C144,'Disbursements Summary'!$A:$A,"TROOPERS")</f>
        <v>0</v>
      </c>
      <c r="BX144" s="55">
        <f>SUMIFS('Awards Summary'!$H:$H,'Awards Summary'!$B:$B,$C144,'Awards Summary'!$J:$J,"DVA")</f>
        <v>0</v>
      </c>
      <c r="BY144" s="55">
        <f>SUMIFS('Disbursements Summary'!$E:$E,'Disbursements Summary'!$C:$C,$C144,'Disbursements Summary'!$A:$A,"DVA")</f>
        <v>0</v>
      </c>
      <c r="BZ144" s="55">
        <f>SUMIFS('Awards Summary'!$H:$H,'Awards Summary'!$B:$B,$C144,'Awards Summary'!$J:$J,"DASNY")</f>
        <v>0</v>
      </c>
      <c r="CA144" s="55">
        <f>SUMIFS('Disbursements Summary'!$E:$E,'Disbursements Summary'!$C:$C,$C144,'Disbursements Summary'!$A:$A,"DASNY")</f>
        <v>0</v>
      </c>
      <c r="CB144" s="55">
        <f>SUMIFS('Awards Summary'!$H:$H,'Awards Summary'!$B:$B,$C144,'Awards Summary'!$J:$J,"EGG")</f>
        <v>0</v>
      </c>
      <c r="CC144" s="55">
        <f>SUMIFS('Disbursements Summary'!$E:$E,'Disbursements Summary'!$C:$C,$C144,'Disbursements Summary'!$A:$A,"EGG")</f>
        <v>0</v>
      </c>
      <c r="CD144" s="55">
        <f>SUMIFS('Awards Summary'!$H:$H,'Awards Summary'!$B:$B,$C144,'Awards Summary'!$J:$J,"ESD")</f>
        <v>0</v>
      </c>
      <c r="CE144" s="55">
        <f>SUMIFS('Disbursements Summary'!$E:$E,'Disbursements Summary'!$C:$C,$C144,'Disbursements Summary'!$A:$A,"ESD")</f>
        <v>0</v>
      </c>
      <c r="CF144" s="55">
        <f>SUMIFS('Awards Summary'!$H:$H,'Awards Summary'!$B:$B,$C144,'Awards Summary'!$J:$J,"EFC")</f>
        <v>0</v>
      </c>
      <c r="CG144" s="55">
        <f>SUMIFS('Disbursements Summary'!$E:$E,'Disbursements Summary'!$C:$C,$C144,'Disbursements Summary'!$A:$A,"EFC")</f>
        <v>0</v>
      </c>
      <c r="CH144" s="55">
        <f>SUMIFS('Awards Summary'!$H:$H,'Awards Summary'!$B:$B,$C144,'Awards Summary'!$J:$J,"ECFSA")</f>
        <v>0</v>
      </c>
      <c r="CI144" s="55">
        <f>SUMIFS('Disbursements Summary'!$E:$E,'Disbursements Summary'!$C:$C,$C144,'Disbursements Summary'!$A:$A,"ECFSA")</f>
        <v>0</v>
      </c>
      <c r="CJ144" s="55">
        <f>SUMIFS('Awards Summary'!$H:$H,'Awards Summary'!$B:$B,$C144,'Awards Summary'!$J:$J,"ECMC")</f>
        <v>0</v>
      </c>
      <c r="CK144" s="55">
        <f>SUMIFS('Disbursements Summary'!$E:$E,'Disbursements Summary'!$C:$C,$C144,'Disbursements Summary'!$A:$A,"ECMC")</f>
        <v>0</v>
      </c>
      <c r="CL144" s="55">
        <f>SUMIFS('Awards Summary'!$H:$H,'Awards Summary'!$B:$B,$C144,'Awards Summary'!$J:$J,"CHAMBER")</f>
        <v>0</v>
      </c>
      <c r="CM144" s="55">
        <f>SUMIFS('Disbursements Summary'!$E:$E,'Disbursements Summary'!$C:$C,$C144,'Disbursements Summary'!$A:$A,"CHAMBER")</f>
        <v>0</v>
      </c>
      <c r="CN144" s="55">
        <f>SUMIFS('Awards Summary'!$H:$H,'Awards Summary'!$B:$B,$C144,'Awards Summary'!$J:$J,"GAMING")</f>
        <v>0</v>
      </c>
      <c r="CO144" s="55">
        <f>SUMIFS('Disbursements Summary'!$E:$E,'Disbursements Summary'!$C:$C,$C144,'Disbursements Summary'!$A:$A,"GAMING")</f>
        <v>0</v>
      </c>
      <c r="CP144" s="55">
        <f>SUMIFS('Awards Summary'!$H:$H,'Awards Summary'!$B:$B,$C144,'Awards Summary'!$J:$J,"GOER")</f>
        <v>0</v>
      </c>
      <c r="CQ144" s="55">
        <f>SUMIFS('Disbursements Summary'!$E:$E,'Disbursements Summary'!$C:$C,$C144,'Disbursements Summary'!$A:$A,"GOER")</f>
        <v>0</v>
      </c>
      <c r="CR144" s="55">
        <f>SUMIFS('Awards Summary'!$H:$H,'Awards Summary'!$B:$B,$C144,'Awards Summary'!$J:$J,"HESC")</f>
        <v>0</v>
      </c>
      <c r="CS144" s="55">
        <f>SUMIFS('Disbursements Summary'!$E:$E,'Disbursements Summary'!$C:$C,$C144,'Disbursements Summary'!$A:$A,"HESC")</f>
        <v>0</v>
      </c>
      <c r="CT144" s="55">
        <f>SUMIFS('Awards Summary'!$H:$H,'Awards Summary'!$B:$B,$C144,'Awards Summary'!$J:$J,"GOSR")</f>
        <v>0</v>
      </c>
      <c r="CU144" s="55">
        <f>SUMIFS('Disbursements Summary'!$E:$E,'Disbursements Summary'!$C:$C,$C144,'Disbursements Summary'!$A:$A,"GOSR")</f>
        <v>0</v>
      </c>
      <c r="CV144" s="55">
        <f>SUMIFS('Awards Summary'!$H:$H,'Awards Summary'!$B:$B,$C144,'Awards Summary'!$J:$J,"HRPT")</f>
        <v>0</v>
      </c>
      <c r="CW144" s="55">
        <f>SUMIFS('Disbursements Summary'!$E:$E,'Disbursements Summary'!$C:$C,$C144,'Disbursements Summary'!$A:$A,"HRPT")</f>
        <v>0</v>
      </c>
      <c r="CX144" s="55">
        <f>SUMIFS('Awards Summary'!$H:$H,'Awards Summary'!$B:$B,$C144,'Awards Summary'!$J:$J,"HRBRRD")</f>
        <v>0</v>
      </c>
      <c r="CY144" s="55">
        <f>SUMIFS('Disbursements Summary'!$E:$E,'Disbursements Summary'!$C:$C,$C144,'Disbursements Summary'!$A:$A,"HRBRRD")</f>
        <v>0</v>
      </c>
      <c r="CZ144" s="55">
        <f>SUMIFS('Awards Summary'!$H:$H,'Awards Summary'!$B:$B,$C144,'Awards Summary'!$J:$J,"ITS")</f>
        <v>0</v>
      </c>
      <c r="DA144" s="55">
        <f>SUMIFS('Disbursements Summary'!$E:$E,'Disbursements Summary'!$C:$C,$C144,'Disbursements Summary'!$A:$A,"ITS")</f>
        <v>0</v>
      </c>
      <c r="DB144" s="55">
        <f>SUMIFS('Awards Summary'!$H:$H,'Awards Summary'!$B:$B,$C144,'Awards Summary'!$J:$J,"JAVITS")</f>
        <v>0</v>
      </c>
      <c r="DC144" s="55">
        <f>SUMIFS('Disbursements Summary'!$E:$E,'Disbursements Summary'!$C:$C,$C144,'Disbursements Summary'!$A:$A,"JAVITS")</f>
        <v>0</v>
      </c>
      <c r="DD144" s="55">
        <f>SUMIFS('Awards Summary'!$H:$H,'Awards Summary'!$B:$B,$C144,'Awards Summary'!$J:$J,"JCOPE")</f>
        <v>0</v>
      </c>
      <c r="DE144" s="55">
        <f>SUMIFS('Disbursements Summary'!$E:$E,'Disbursements Summary'!$C:$C,$C144,'Disbursements Summary'!$A:$A,"JCOPE")</f>
        <v>0</v>
      </c>
      <c r="DF144" s="55">
        <f>SUMIFS('Awards Summary'!$H:$H,'Awards Summary'!$B:$B,$C144,'Awards Summary'!$J:$J,"JUSTICE")</f>
        <v>0</v>
      </c>
      <c r="DG144" s="55">
        <f>SUMIFS('Disbursements Summary'!$E:$E,'Disbursements Summary'!$C:$C,$C144,'Disbursements Summary'!$A:$A,"JUSTICE")</f>
        <v>0</v>
      </c>
      <c r="DH144" s="55">
        <f>SUMIFS('Awards Summary'!$H:$H,'Awards Summary'!$B:$B,$C144,'Awards Summary'!$J:$J,"LCWSA")</f>
        <v>0</v>
      </c>
      <c r="DI144" s="55">
        <f>SUMIFS('Disbursements Summary'!$E:$E,'Disbursements Summary'!$C:$C,$C144,'Disbursements Summary'!$A:$A,"LCWSA")</f>
        <v>0</v>
      </c>
      <c r="DJ144" s="55">
        <f>SUMIFS('Awards Summary'!$H:$H,'Awards Summary'!$B:$B,$C144,'Awards Summary'!$J:$J,"LIPA")</f>
        <v>0</v>
      </c>
      <c r="DK144" s="55">
        <f>SUMIFS('Disbursements Summary'!$E:$E,'Disbursements Summary'!$C:$C,$C144,'Disbursements Summary'!$A:$A,"LIPA")</f>
        <v>0</v>
      </c>
      <c r="DL144" s="55">
        <f>SUMIFS('Awards Summary'!$H:$H,'Awards Summary'!$B:$B,$C144,'Awards Summary'!$J:$J,"MTA")</f>
        <v>0</v>
      </c>
      <c r="DM144" s="55">
        <f>SUMIFS('Disbursements Summary'!$E:$E,'Disbursements Summary'!$C:$C,$C144,'Disbursements Summary'!$A:$A,"MTA")</f>
        <v>0</v>
      </c>
      <c r="DN144" s="55">
        <f>SUMIFS('Awards Summary'!$H:$H,'Awards Summary'!$B:$B,$C144,'Awards Summary'!$J:$J,"NIFA")</f>
        <v>0</v>
      </c>
      <c r="DO144" s="55">
        <f>SUMIFS('Disbursements Summary'!$E:$E,'Disbursements Summary'!$C:$C,$C144,'Disbursements Summary'!$A:$A,"NIFA")</f>
        <v>0</v>
      </c>
      <c r="DP144" s="55">
        <f>SUMIFS('Awards Summary'!$H:$H,'Awards Summary'!$B:$B,$C144,'Awards Summary'!$J:$J,"NHCC")</f>
        <v>0</v>
      </c>
      <c r="DQ144" s="55">
        <f>SUMIFS('Disbursements Summary'!$E:$E,'Disbursements Summary'!$C:$C,$C144,'Disbursements Summary'!$A:$A,"NHCC")</f>
        <v>0</v>
      </c>
      <c r="DR144" s="55">
        <f>SUMIFS('Awards Summary'!$H:$H,'Awards Summary'!$B:$B,$C144,'Awards Summary'!$J:$J,"NHT")</f>
        <v>0</v>
      </c>
      <c r="DS144" s="55">
        <f>SUMIFS('Disbursements Summary'!$E:$E,'Disbursements Summary'!$C:$C,$C144,'Disbursements Summary'!$A:$A,"NHT")</f>
        <v>0</v>
      </c>
      <c r="DT144" s="55">
        <f>SUMIFS('Awards Summary'!$H:$H,'Awards Summary'!$B:$B,$C144,'Awards Summary'!$J:$J,"NYPA")</f>
        <v>0</v>
      </c>
      <c r="DU144" s="55">
        <f>SUMIFS('Disbursements Summary'!$E:$E,'Disbursements Summary'!$C:$C,$C144,'Disbursements Summary'!$A:$A,"NYPA")</f>
        <v>0</v>
      </c>
      <c r="DV144" s="55">
        <f>SUMIFS('Awards Summary'!$H:$H,'Awards Summary'!$B:$B,$C144,'Awards Summary'!$J:$J,"NYSBA")</f>
        <v>0</v>
      </c>
      <c r="DW144" s="55">
        <f>SUMIFS('Disbursements Summary'!$E:$E,'Disbursements Summary'!$C:$C,$C144,'Disbursements Summary'!$A:$A,"NYSBA")</f>
        <v>0</v>
      </c>
      <c r="DX144" s="55">
        <f>SUMIFS('Awards Summary'!$H:$H,'Awards Summary'!$B:$B,$C144,'Awards Summary'!$J:$J,"NYSERDA")</f>
        <v>0</v>
      </c>
      <c r="DY144" s="55">
        <f>SUMIFS('Disbursements Summary'!$E:$E,'Disbursements Summary'!$C:$C,$C144,'Disbursements Summary'!$A:$A,"NYSERDA")</f>
        <v>0</v>
      </c>
      <c r="DZ144" s="55">
        <f>SUMIFS('Awards Summary'!$H:$H,'Awards Summary'!$B:$B,$C144,'Awards Summary'!$J:$J,"DHCR")</f>
        <v>0</v>
      </c>
      <c r="EA144" s="55">
        <f>SUMIFS('Disbursements Summary'!$E:$E,'Disbursements Summary'!$C:$C,$C144,'Disbursements Summary'!$A:$A,"DHCR")</f>
        <v>0</v>
      </c>
      <c r="EB144" s="55">
        <f>SUMIFS('Awards Summary'!$H:$H,'Awards Summary'!$B:$B,$C144,'Awards Summary'!$J:$J,"HFA")</f>
        <v>0</v>
      </c>
      <c r="EC144" s="55">
        <f>SUMIFS('Disbursements Summary'!$E:$E,'Disbursements Summary'!$C:$C,$C144,'Disbursements Summary'!$A:$A,"HFA")</f>
        <v>0</v>
      </c>
      <c r="ED144" s="55">
        <f>SUMIFS('Awards Summary'!$H:$H,'Awards Summary'!$B:$B,$C144,'Awards Summary'!$J:$J,"NYSIF")</f>
        <v>0</v>
      </c>
      <c r="EE144" s="55">
        <f>SUMIFS('Disbursements Summary'!$E:$E,'Disbursements Summary'!$C:$C,$C144,'Disbursements Summary'!$A:$A,"NYSIF")</f>
        <v>0</v>
      </c>
      <c r="EF144" s="55">
        <f>SUMIFS('Awards Summary'!$H:$H,'Awards Summary'!$B:$B,$C144,'Awards Summary'!$J:$J,"NYBREDS")</f>
        <v>0</v>
      </c>
      <c r="EG144" s="55">
        <f>SUMIFS('Disbursements Summary'!$E:$E,'Disbursements Summary'!$C:$C,$C144,'Disbursements Summary'!$A:$A,"NYBREDS")</f>
        <v>0</v>
      </c>
      <c r="EH144" s="55">
        <f>SUMIFS('Awards Summary'!$H:$H,'Awards Summary'!$B:$B,$C144,'Awards Summary'!$J:$J,"NYSTA")</f>
        <v>0</v>
      </c>
      <c r="EI144" s="55">
        <f>SUMIFS('Disbursements Summary'!$E:$E,'Disbursements Summary'!$C:$C,$C144,'Disbursements Summary'!$A:$A,"NYSTA")</f>
        <v>0</v>
      </c>
      <c r="EJ144" s="55">
        <f>SUMIFS('Awards Summary'!$H:$H,'Awards Summary'!$B:$B,$C144,'Awards Summary'!$J:$J,"NFWB")</f>
        <v>0</v>
      </c>
      <c r="EK144" s="55">
        <f>SUMIFS('Disbursements Summary'!$E:$E,'Disbursements Summary'!$C:$C,$C144,'Disbursements Summary'!$A:$A,"NFWB")</f>
        <v>0</v>
      </c>
      <c r="EL144" s="55">
        <f>SUMIFS('Awards Summary'!$H:$H,'Awards Summary'!$B:$B,$C144,'Awards Summary'!$J:$J,"NFTA")</f>
        <v>0</v>
      </c>
      <c r="EM144" s="55">
        <f>SUMIFS('Disbursements Summary'!$E:$E,'Disbursements Summary'!$C:$C,$C144,'Disbursements Summary'!$A:$A,"NFTA")</f>
        <v>0</v>
      </c>
      <c r="EN144" s="55">
        <f>SUMIFS('Awards Summary'!$H:$H,'Awards Summary'!$B:$B,$C144,'Awards Summary'!$J:$J,"OPWDD")</f>
        <v>0</v>
      </c>
      <c r="EO144" s="55">
        <f>SUMIFS('Disbursements Summary'!$E:$E,'Disbursements Summary'!$C:$C,$C144,'Disbursements Summary'!$A:$A,"OPWDD")</f>
        <v>0</v>
      </c>
      <c r="EP144" s="55">
        <f>SUMIFS('Awards Summary'!$H:$H,'Awards Summary'!$B:$B,$C144,'Awards Summary'!$J:$J,"AGING")</f>
        <v>0</v>
      </c>
      <c r="EQ144" s="55">
        <f>SUMIFS('Disbursements Summary'!$E:$E,'Disbursements Summary'!$C:$C,$C144,'Disbursements Summary'!$A:$A,"AGING")</f>
        <v>0</v>
      </c>
      <c r="ER144" s="55">
        <f>SUMIFS('Awards Summary'!$H:$H,'Awards Summary'!$B:$B,$C144,'Awards Summary'!$J:$J,"OPDV")</f>
        <v>0</v>
      </c>
      <c r="ES144" s="55">
        <f>SUMIFS('Disbursements Summary'!$E:$E,'Disbursements Summary'!$C:$C,$C144,'Disbursements Summary'!$A:$A,"OPDV")</f>
        <v>0</v>
      </c>
      <c r="ET144" s="55">
        <f>SUMIFS('Awards Summary'!$H:$H,'Awards Summary'!$B:$B,$C144,'Awards Summary'!$J:$J,"OVS")</f>
        <v>0</v>
      </c>
      <c r="EU144" s="55">
        <f>SUMIFS('Disbursements Summary'!$E:$E,'Disbursements Summary'!$C:$C,$C144,'Disbursements Summary'!$A:$A,"OVS")</f>
        <v>0</v>
      </c>
      <c r="EV144" s="55">
        <f>SUMIFS('Awards Summary'!$H:$H,'Awards Summary'!$B:$B,$C144,'Awards Summary'!$J:$J,"OASAS")</f>
        <v>0</v>
      </c>
      <c r="EW144" s="55">
        <f>SUMIFS('Disbursements Summary'!$E:$E,'Disbursements Summary'!$C:$C,$C144,'Disbursements Summary'!$A:$A,"OASAS")</f>
        <v>0</v>
      </c>
      <c r="EX144" s="55">
        <f>SUMIFS('Awards Summary'!$H:$H,'Awards Summary'!$B:$B,$C144,'Awards Summary'!$J:$J,"OCFS")</f>
        <v>0</v>
      </c>
      <c r="EY144" s="55">
        <f>SUMIFS('Disbursements Summary'!$E:$E,'Disbursements Summary'!$C:$C,$C144,'Disbursements Summary'!$A:$A,"OCFS")</f>
        <v>0</v>
      </c>
      <c r="EZ144" s="55">
        <f>SUMIFS('Awards Summary'!$H:$H,'Awards Summary'!$B:$B,$C144,'Awards Summary'!$J:$J,"OGS")</f>
        <v>0</v>
      </c>
      <c r="FA144" s="55">
        <f>SUMIFS('Disbursements Summary'!$E:$E,'Disbursements Summary'!$C:$C,$C144,'Disbursements Summary'!$A:$A,"OGS")</f>
        <v>0</v>
      </c>
      <c r="FB144" s="55">
        <f>SUMIFS('Awards Summary'!$H:$H,'Awards Summary'!$B:$B,$C144,'Awards Summary'!$J:$J,"OMH")</f>
        <v>0</v>
      </c>
      <c r="FC144" s="55">
        <f>SUMIFS('Disbursements Summary'!$E:$E,'Disbursements Summary'!$C:$C,$C144,'Disbursements Summary'!$A:$A,"OMH")</f>
        <v>0</v>
      </c>
      <c r="FD144" s="55">
        <f>SUMIFS('Awards Summary'!$H:$H,'Awards Summary'!$B:$B,$C144,'Awards Summary'!$J:$J,"PARKS")</f>
        <v>0</v>
      </c>
      <c r="FE144" s="55">
        <f>SUMIFS('Disbursements Summary'!$E:$E,'Disbursements Summary'!$C:$C,$C144,'Disbursements Summary'!$A:$A,"PARKS")</f>
        <v>0</v>
      </c>
      <c r="FF144" s="55">
        <f>SUMIFS('Awards Summary'!$H:$H,'Awards Summary'!$B:$B,$C144,'Awards Summary'!$J:$J,"OTDA")</f>
        <v>0</v>
      </c>
      <c r="FG144" s="55">
        <f>SUMIFS('Disbursements Summary'!$E:$E,'Disbursements Summary'!$C:$C,$C144,'Disbursements Summary'!$A:$A,"OTDA")</f>
        <v>0</v>
      </c>
      <c r="FH144" s="55">
        <f>SUMIFS('Awards Summary'!$H:$H,'Awards Summary'!$B:$B,$C144,'Awards Summary'!$J:$J,"OIG")</f>
        <v>0</v>
      </c>
      <c r="FI144" s="55">
        <f>SUMIFS('Disbursements Summary'!$E:$E,'Disbursements Summary'!$C:$C,$C144,'Disbursements Summary'!$A:$A,"OIG")</f>
        <v>0</v>
      </c>
      <c r="FJ144" s="55">
        <f>SUMIFS('Awards Summary'!$H:$H,'Awards Summary'!$B:$B,$C144,'Awards Summary'!$J:$J,"OMIG")</f>
        <v>0</v>
      </c>
      <c r="FK144" s="55">
        <f>SUMIFS('Disbursements Summary'!$E:$E,'Disbursements Summary'!$C:$C,$C144,'Disbursements Summary'!$A:$A,"OMIG")</f>
        <v>0</v>
      </c>
      <c r="FL144" s="55">
        <f>SUMIFS('Awards Summary'!$H:$H,'Awards Summary'!$B:$B,$C144,'Awards Summary'!$J:$J,"OSC")</f>
        <v>0</v>
      </c>
      <c r="FM144" s="55">
        <f>SUMIFS('Disbursements Summary'!$E:$E,'Disbursements Summary'!$C:$C,$C144,'Disbursements Summary'!$A:$A,"OSC")</f>
        <v>0</v>
      </c>
      <c r="FN144" s="55">
        <f>SUMIFS('Awards Summary'!$H:$H,'Awards Summary'!$B:$B,$C144,'Awards Summary'!$J:$J,"OWIG")</f>
        <v>0</v>
      </c>
      <c r="FO144" s="55">
        <f>SUMIFS('Disbursements Summary'!$E:$E,'Disbursements Summary'!$C:$C,$C144,'Disbursements Summary'!$A:$A,"OWIG")</f>
        <v>0</v>
      </c>
      <c r="FP144" s="55">
        <f>SUMIFS('Awards Summary'!$H:$H,'Awards Summary'!$B:$B,$C144,'Awards Summary'!$J:$J,"OGDEN")</f>
        <v>0</v>
      </c>
      <c r="FQ144" s="55">
        <f>SUMIFS('Disbursements Summary'!$E:$E,'Disbursements Summary'!$C:$C,$C144,'Disbursements Summary'!$A:$A,"OGDEN")</f>
        <v>0</v>
      </c>
      <c r="FR144" s="55">
        <f>SUMIFS('Awards Summary'!$H:$H,'Awards Summary'!$B:$B,$C144,'Awards Summary'!$J:$J,"ORDA")</f>
        <v>0</v>
      </c>
      <c r="FS144" s="55">
        <f>SUMIFS('Disbursements Summary'!$E:$E,'Disbursements Summary'!$C:$C,$C144,'Disbursements Summary'!$A:$A,"ORDA")</f>
        <v>0</v>
      </c>
      <c r="FT144" s="55">
        <f>SUMIFS('Awards Summary'!$H:$H,'Awards Summary'!$B:$B,$C144,'Awards Summary'!$J:$J,"OSWEGO")</f>
        <v>0</v>
      </c>
      <c r="FU144" s="55">
        <f>SUMIFS('Disbursements Summary'!$E:$E,'Disbursements Summary'!$C:$C,$C144,'Disbursements Summary'!$A:$A,"OSWEGO")</f>
        <v>0</v>
      </c>
      <c r="FV144" s="55">
        <f>SUMIFS('Awards Summary'!$H:$H,'Awards Summary'!$B:$B,$C144,'Awards Summary'!$J:$J,"PERB")</f>
        <v>0</v>
      </c>
      <c r="FW144" s="55">
        <f>SUMIFS('Disbursements Summary'!$E:$E,'Disbursements Summary'!$C:$C,$C144,'Disbursements Summary'!$A:$A,"PERB")</f>
        <v>0</v>
      </c>
      <c r="FX144" s="55">
        <f>SUMIFS('Awards Summary'!$H:$H,'Awards Summary'!$B:$B,$C144,'Awards Summary'!$J:$J,"RGRTA")</f>
        <v>0</v>
      </c>
      <c r="FY144" s="55">
        <f>SUMIFS('Disbursements Summary'!$E:$E,'Disbursements Summary'!$C:$C,$C144,'Disbursements Summary'!$A:$A,"RGRTA")</f>
        <v>0</v>
      </c>
      <c r="FZ144" s="55">
        <f>SUMIFS('Awards Summary'!$H:$H,'Awards Summary'!$B:$B,$C144,'Awards Summary'!$J:$J,"RIOC")</f>
        <v>0</v>
      </c>
      <c r="GA144" s="55">
        <f>SUMIFS('Disbursements Summary'!$E:$E,'Disbursements Summary'!$C:$C,$C144,'Disbursements Summary'!$A:$A,"RIOC")</f>
        <v>0</v>
      </c>
      <c r="GB144" s="55">
        <f>SUMIFS('Awards Summary'!$H:$H,'Awards Summary'!$B:$B,$C144,'Awards Summary'!$J:$J,"RPCI")</f>
        <v>0</v>
      </c>
      <c r="GC144" s="55">
        <f>SUMIFS('Disbursements Summary'!$E:$E,'Disbursements Summary'!$C:$C,$C144,'Disbursements Summary'!$A:$A,"RPCI")</f>
        <v>0</v>
      </c>
      <c r="GD144" s="55">
        <f>SUMIFS('Awards Summary'!$H:$H,'Awards Summary'!$B:$B,$C144,'Awards Summary'!$J:$J,"SMDA")</f>
        <v>0</v>
      </c>
      <c r="GE144" s="55">
        <f>SUMIFS('Disbursements Summary'!$E:$E,'Disbursements Summary'!$C:$C,$C144,'Disbursements Summary'!$A:$A,"SMDA")</f>
        <v>0</v>
      </c>
      <c r="GF144" s="55">
        <f>SUMIFS('Awards Summary'!$H:$H,'Awards Summary'!$B:$B,$C144,'Awards Summary'!$J:$J,"SCOC")</f>
        <v>0</v>
      </c>
      <c r="GG144" s="55">
        <f>SUMIFS('Disbursements Summary'!$E:$E,'Disbursements Summary'!$C:$C,$C144,'Disbursements Summary'!$A:$A,"SCOC")</f>
        <v>0</v>
      </c>
      <c r="GH144" s="55">
        <f>SUMIFS('Awards Summary'!$H:$H,'Awards Summary'!$B:$B,$C144,'Awards Summary'!$J:$J,"SUCF")</f>
        <v>0</v>
      </c>
      <c r="GI144" s="55">
        <f>SUMIFS('Disbursements Summary'!$E:$E,'Disbursements Summary'!$C:$C,$C144,'Disbursements Summary'!$A:$A,"SUCF")</f>
        <v>0</v>
      </c>
      <c r="GJ144" s="55">
        <f>SUMIFS('Awards Summary'!$H:$H,'Awards Summary'!$B:$B,$C144,'Awards Summary'!$J:$J,"SUNY")</f>
        <v>0</v>
      </c>
      <c r="GK144" s="55">
        <f>SUMIFS('Disbursements Summary'!$E:$E,'Disbursements Summary'!$C:$C,$C144,'Disbursements Summary'!$A:$A,"SUNY")</f>
        <v>0</v>
      </c>
      <c r="GL144" s="55">
        <f>SUMIFS('Awards Summary'!$H:$H,'Awards Summary'!$B:$B,$C144,'Awards Summary'!$J:$J,"SRAA")</f>
        <v>0</v>
      </c>
      <c r="GM144" s="55">
        <f>SUMIFS('Disbursements Summary'!$E:$E,'Disbursements Summary'!$C:$C,$C144,'Disbursements Summary'!$A:$A,"SRAA")</f>
        <v>0</v>
      </c>
      <c r="GN144" s="55">
        <f>SUMIFS('Awards Summary'!$H:$H,'Awards Summary'!$B:$B,$C144,'Awards Summary'!$J:$J,"UNDC")</f>
        <v>0</v>
      </c>
      <c r="GO144" s="55">
        <f>SUMIFS('Disbursements Summary'!$E:$E,'Disbursements Summary'!$C:$C,$C144,'Disbursements Summary'!$A:$A,"UNDC")</f>
        <v>0</v>
      </c>
      <c r="GP144" s="55">
        <f>SUMIFS('Awards Summary'!$H:$H,'Awards Summary'!$B:$B,$C144,'Awards Summary'!$J:$J,"MVWA")</f>
        <v>0</v>
      </c>
      <c r="GQ144" s="55">
        <f>SUMIFS('Disbursements Summary'!$E:$E,'Disbursements Summary'!$C:$C,$C144,'Disbursements Summary'!$A:$A,"MVWA")</f>
        <v>0</v>
      </c>
      <c r="GR144" s="55">
        <f>SUMIFS('Awards Summary'!$H:$H,'Awards Summary'!$B:$B,$C144,'Awards Summary'!$J:$J,"WMC")</f>
        <v>0</v>
      </c>
      <c r="GS144" s="55">
        <f>SUMIFS('Disbursements Summary'!$E:$E,'Disbursements Summary'!$C:$C,$C144,'Disbursements Summary'!$A:$A,"WMC")</f>
        <v>0</v>
      </c>
      <c r="GT144" s="55">
        <f>SUMIFS('Awards Summary'!$H:$H,'Awards Summary'!$B:$B,$C144,'Awards Summary'!$J:$J,"WCB")</f>
        <v>0</v>
      </c>
      <c r="GU144" s="55">
        <f>SUMIFS('Disbursements Summary'!$E:$E,'Disbursements Summary'!$C:$C,$C144,'Disbursements Summary'!$A:$A,"WCB")</f>
        <v>0</v>
      </c>
      <c r="GV144" s="32">
        <f t="shared" si="10"/>
        <v>0</v>
      </c>
      <c r="GW144" s="32">
        <f t="shared" si="11"/>
        <v>0</v>
      </c>
      <c r="GX144" s="30" t="b">
        <f t="shared" si="12"/>
        <v>1</v>
      </c>
      <c r="GY144" s="30" t="b">
        <f t="shared" si="13"/>
        <v>1</v>
      </c>
    </row>
    <row r="145" spans="1:207" s="61" customFormat="1">
      <c r="A145" s="22" t="str">
        <f t="shared" si="14"/>
        <v/>
      </c>
      <c r="B145" s="70" t="s">
        <v>469</v>
      </c>
      <c r="C145" s="71">
        <v>171410</v>
      </c>
      <c r="D145" s="66">
        <f>COUNTIF('Awards Summary'!B:B,"171410")</f>
        <v>0</v>
      </c>
      <c r="E145" s="67">
        <f>SUMIFS('Awards Summary'!H:H,'Awards Summary'!B:B,"171410")</f>
        <v>0</v>
      </c>
      <c r="F145" s="68">
        <f>SUMIFS('Disbursements Summary'!E:E,'Disbursements Summary'!C:C, "171410")</f>
        <v>0</v>
      </c>
      <c r="G145" s="30"/>
      <c r="H145" s="55">
        <f>SUMIFS('Awards Summary'!$H:$H,'Awards Summary'!$B:$B,$C145,'Awards Summary'!$J:$J,"APA")</f>
        <v>0</v>
      </c>
      <c r="I145" s="55">
        <f>SUMIFS('Disbursements Summary'!$E:$E,'Disbursements Summary'!$C:$C,$C145,'Disbursements Summary'!$A:$A,"APA")</f>
        <v>0</v>
      </c>
      <c r="J145" s="55">
        <f>SUMIFS('Awards Summary'!$H:$H,'Awards Summary'!$B:$B,$C145,'Awards Summary'!$J:$J,"Ag&amp;Horse")</f>
        <v>0</v>
      </c>
      <c r="K145" s="55">
        <f>SUMIFS('Disbursements Summary'!$E:$E,'Disbursements Summary'!$C:$C,$C145,'Disbursements Summary'!$A:$A,"Ag&amp;Horse")</f>
        <v>0</v>
      </c>
      <c r="L145" s="55">
        <f>SUMIFS('Awards Summary'!$H:$H,'Awards Summary'!$B:$B,$C145,'Awards Summary'!$J:$J,"ACAA")</f>
        <v>0</v>
      </c>
      <c r="M145" s="55">
        <f>SUMIFS('Disbursements Summary'!$E:$E,'Disbursements Summary'!$C:$C,$C145,'Disbursements Summary'!$A:$A,"ACAA")</f>
        <v>0</v>
      </c>
      <c r="N145" s="55">
        <f>SUMIFS('Awards Summary'!$H:$H,'Awards Summary'!$B:$B,$C145,'Awards Summary'!$J:$J,"PortAlbany")</f>
        <v>0</v>
      </c>
      <c r="O145" s="55">
        <f>SUMIFS('Disbursements Summary'!$E:$E,'Disbursements Summary'!$C:$C,$C145,'Disbursements Summary'!$A:$A,"PortAlbany")</f>
        <v>0</v>
      </c>
      <c r="P145" s="55">
        <f>SUMIFS('Awards Summary'!$H:$H,'Awards Summary'!$B:$B,$C145,'Awards Summary'!$J:$J,"SLA")</f>
        <v>0</v>
      </c>
      <c r="Q145" s="55">
        <f>SUMIFS('Disbursements Summary'!$E:$E,'Disbursements Summary'!$C:$C,$C145,'Disbursements Summary'!$A:$A,"SLA")</f>
        <v>0</v>
      </c>
      <c r="R145" s="55">
        <f>SUMIFS('Awards Summary'!$H:$H,'Awards Summary'!$B:$B,$C145,'Awards Summary'!$J:$J,"BPCA")</f>
        <v>0</v>
      </c>
      <c r="S145" s="55">
        <f>SUMIFS('Disbursements Summary'!$E:$E,'Disbursements Summary'!$C:$C,$C145,'Disbursements Summary'!$A:$A,"BPCA")</f>
        <v>0</v>
      </c>
      <c r="T145" s="55">
        <f>SUMIFS('Awards Summary'!$H:$H,'Awards Summary'!$B:$B,$C145,'Awards Summary'!$J:$J,"ELECTIONS")</f>
        <v>0</v>
      </c>
      <c r="U145" s="55">
        <f>SUMIFS('Disbursements Summary'!$E:$E,'Disbursements Summary'!$C:$C,$C145,'Disbursements Summary'!$A:$A,"ELECTIONS")</f>
        <v>0</v>
      </c>
      <c r="V145" s="55">
        <f>SUMIFS('Awards Summary'!$H:$H,'Awards Summary'!$B:$B,$C145,'Awards Summary'!$J:$J,"BFSA")</f>
        <v>0</v>
      </c>
      <c r="W145" s="55">
        <f>SUMIFS('Disbursements Summary'!$E:$E,'Disbursements Summary'!$C:$C,$C145,'Disbursements Summary'!$A:$A,"BFSA")</f>
        <v>0</v>
      </c>
      <c r="X145" s="55">
        <f>SUMIFS('Awards Summary'!$H:$H,'Awards Summary'!$B:$B,$C145,'Awards Summary'!$J:$J,"CDTA")</f>
        <v>0</v>
      </c>
      <c r="Y145" s="55">
        <f>SUMIFS('Disbursements Summary'!$E:$E,'Disbursements Summary'!$C:$C,$C145,'Disbursements Summary'!$A:$A,"CDTA")</f>
        <v>0</v>
      </c>
      <c r="Z145" s="55">
        <f>SUMIFS('Awards Summary'!$H:$H,'Awards Summary'!$B:$B,$C145,'Awards Summary'!$J:$J,"CCWSA")</f>
        <v>0</v>
      </c>
      <c r="AA145" s="55">
        <f>SUMIFS('Disbursements Summary'!$E:$E,'Disbursements Summary'!$C:$C,$C145,'Disbursements Summary'!$A:$A,"CCWSA")</f>
        <v>0</v>
      </c>
      <c r="AB145" s="55">
        <f>SUMIFS('Awards Summary'!$H:$H,'Awards Summary'!$B:$B,$C145,'Awards Summary'!$J:$J,"CNYRTA")</f>
        <v>0</v>
      </c>
      <c r="AC145" s="55">
        <f>SUMIFS('Disbursements Summary'!$E:$E,'Disbursements Summary'!$C:$C,$C145,'Disbursements Summary'!$A:$A,"CNYRTA")</f>
        <v>0</v>
      </c>
      <c r="AD145" s="55">
        <f>SUMIFS('Awards Summary'!$H:$H,'Awards Summary'!$B:$B,$C145,'Awards Summary'!$J:$J,"CUCF")</f>
        <v>0</v>
      </c>
      <c r="AE145" s="55">
        <f>SUMIFS('Disbursements Summary'!$E:$E,'Disbursements Summary'!$C:$C,$C145,'Disbursements Summary'!$A:$A,"CUCF")</f>
        <v>0</v>
      </c>
      <c r="AF145" s="55">
        <f>SUMIFS('Awards Summary'!$H:$H,'Awards Summary'!$B:$B,$C145,'Awards Summary'!$J:$J,"CUNY")</f>
        <v>0</v>
      </c>
      <c r="AG145" s="55">
        <f>SUMIFS('Disbursements Summary'!$E:$E,'Disbursements Summary'!$C:$C,$C145,'Disbursements Summary'!$A:$A,"CUNY")</f>
        <v>0</v>
      </c>
      <c r="AH145" s="55">
        <f>SUMIFS('Awards Summary'!$H:$H,'Awards Summary'!$B:$B,$C145,'Awards Summary'!$J:$J,"ARTS")</f>
        <v>0</v>
      </c>
      <c r="AI145" s="55">
        <f>SUMIFS('Disbursements Summary'!$E:$E,'Disbursements Summary'!$C:$C,$C145,'Disbursements Summary'!$A:$A,"ARTS")</f>
        <v>0</v>
      </c>
      <c r="AJ145" s="55">
        <f>SUMIFS('Awards Summary'!$H:$H,'Awards Summary'!$B:$B,$C145,'Awards Summary'!$J:$J,"AG&amp;MKTS")</f>
        <v>0</v>
      </c>
      <c r="AK145" s="55">
        <f>SUMIFS('Disbursements Summary'!$E:$E,'Disbursements Summary'!$C:$C,$C145,'Disbursements Summary'!$A:$A,"AG&amp;MKTS")</f>
        <v>0</v>
      </c>
      <c r="AL145" s="55">
        <f>SUMIFS('Awards Summary'!$H:$H,'Awards Summary'!$B:$B,$C145,'Awards Summary'!$J:$J,"CS")</f>
        <v>0</v>
      </c>
      <c r="AM145" s="55">
        <f>SUMIFS('Disbursements Summary'!$E:$E,'Disbursements Summary'!$C:$C,$C145,'Disbursements Summary'!$A:$A,"CS")</f>
        <v>0</v>
      </c>
      <c r="AN145" s="55">
        <f>SUMIFS('Awards Summary'!$H:$H,'Awards Summary'!$B:$B,$C145,'Awards Summary'!$J:$J,"DOCCS")</f>
        <v>0</v>
      </c>
      <c r="AO145" s="55">
        <f>SUMIFS('Disbursements Summary'!$E:$E,'Disbursements Summary'!$C:$C,$C145,'Disbursements Summary'!$A:$A,"DOCCS")</f>
        <v>0</v>
      </c>
      <c r="AP145" s="55">
        <f>SUMIFS('Awards Summary'!$H:$H,'Awards Summary'!$B:$B,$C145,'Awards Summary'!$J:$J,"DED")</f>
        <v>0</v>
      </c>
      <c r="AQ145" s="55">
        <f>SUMIFS('Disbursements Summary'!$E:$E,'Disbursements Summary'!$C:$C,$C145,'Disbursements Summary'!$A:$A,"DED")</f>
        <v>0</v>
      </c>
      <c r="AR145" s="55">
        <f>SUMIFS('Awards Summary'!$H:$H,'Awards Summary'!$B:$B,$C145,'Awards Summary'!$J:$J,"DEC")</f>
        <v>0</v>
      </c>
      <c r="AS145" s="55">
        <f>SUMIFS('Disbursements Summary'!$E:$E,'Disbursements Summary'!$C:$C,$C145,'Disbursements Summary'!$A:$A,"DEC")</f>
        <v>0</v>
      </c>
      <c r="AT145" s="55">
        <f>SUMIFS('Awards Summary'!$H:$H,'Awards Summary'!$B:$B,$C145,'Awards Summary'!$J:$J,"DFS")</f>
        <v>0</v>
      </c>
      <c r="AU145" s="55">
        <f>SUMIFS('Disbursements Summary'!$E:$E,'Disbursements Summary'!$C:$C,$C145,'Disbursements Summary'!$A:$A,"DFS")</f>
        <v>0</v>
      </c>
      <c r="AV145" s="55">
        <f>SUMIFS('Awards Summary'!$H:$H,'Awards Summary'!$B:$B,$C145,'Awards Summary'!$J:$J,"DOH")</f>
        <v>0</v>
      </c>
      <c r="AW145" s="55">
        <f>SUMIFS('Disbursements Summary'!$E:$E,'Disbursements Summary'!$C:$C,$C145,'Disbursements Summary'!$A:$A,"DOH")</f>
        <v>0</v>
      </c>
      <c r="AX145" s="55">
        <f>SUMIFS('Awards Summary'!$H:$H,'Awards Summary'!$B:$B,$C145,'Awards Summary'!$J:$J,"DOL")</f>
        <v>0</v>
      </c>
      <c r="AY145" s="55">
        <f>SUMIFS('Disbursements Summary'!$E:$E,'Disbursements Summary'!$C:$C,$C145,'Disbursements Summary'!$A:$A,"DOL")</f>
        <v>0</v>
      </c>
      <c r="AZ145" s="55">
        <f>SUMIFS('Awards Summary'!$H:$H,'Awards Summary'!$B:$B,$C145,'Awards Summary'!$J:$J,"DMV")</f>
        <v>0</v>
      </c>
      <c r="BA145" s="55">
        <f>SUMIFS('Disbursements Summary'!$E:$E,'Disbursements Summary'!$C:$C,$C145,'Disbursements Summary'!$A:$A,"DMV")</f>
        <v>0</v>
      </c>
      <c r="BB145" s="55">
        <f>SUMIFS('Awards Summary'!$H:$H,'Awards Summary'!$B:$B,$C145,'Awards Summary'!$J:$J,"DPS")</f>
        <v>0</v>
      </c>
      <c r="BC145" s="55">
        <f>SUMIFS('Disbursements Summary'!$E:$E,'Disbursements Summary'!$C:$C,$C145,'Disbursements Summary'!$A:$A,"DPS")</f>
        <v>0</v>
      </c>
      <c r="BD145" s="55">
        <f>SUMIFS('Awards Summary'!$H:$H,'Awards Summary'!$B:$B,$C145,'Awards Summary'!$J:$J,"DOS")</f>
        <v>0</v>
      </c>
      <c r="BE145" s="55">
        <f>SUMIFS('Disbursements Summary'!$E:$E,'Disbursements Summary'!$C:$C,$C145,'Disbursements Summary'!$A:$A,"DOS")</f>
        <v>0</v>
      </c>
      <c r="BF145" s="55">
        <f>SUMIFS('Awards Summary'!$H:$H,'Awards Summary'!$B:$B,$C145,'Awards Summary'!$J:$J,"TAX")</f>
        <v>0</v>
      </c>
      <c r="BG145" s="55">
        <f>SUMIFS('Disbursements Summary'!$E:$E,'Disbursements Summary'!$C:$C,$C145,'Disbursements Summary'!$A:$A,"TAX")</f>
        <v>0</v>
      </c>
      <c r="BH145" s="55">
        <f>SUMIFS('Awards Summary'!$H:$H,'Awards Summary'!$B:$B,$C145,'Awards Summary'!$J:$J,"DOT")</f>
        <v>0</v>
      </c>
      <c r="BI145" s="55">
        <f>SUMIFS('Disbursements Summary'!$E:$E,'Disbursements Summary'!$C:$C,$C145,'Disbursements Summary'!$A:$A,"DOT")</f>
        <v>0</v>
      </c>
      <c r="BJ145" s="55">
        <f>SUMIFS('Awards Summary'!$H:$H,'Awards Summary'!$B:$B,$C145,'Awards Summary'!$J:$J,"DANC")</f>
        <v>0</v>
      </c>
      <c r="BK145" s="55">
        <f>SUMIFS('Disbursements Summary'!$E:$E,'Disbursements Summary'!$C:$C,$C145,'Disbursements Summary'!$A:$A,"DANC")</f>
        <v>0</v>
      </c>
      <c r="BL145" s="55">
        <f>SUMIFS('Awards Summary'!$H:$H,'Awards Summary'!$B:$B,$C145,'Awards Summary'!$J:$J,"DOB")</f>
        <v>0</v>
      </c>
      <c r="BM145" s="55">
        <f>SUMIFS('Disbursements Summary'!$E:$E,'Disbursements Summary'!$C:$C,$C145,'Disbursements Summary'!$A:$A,"DOB")</f>
        <v>0</v>
      </c>
      <c r="BN145" s="55">
        <f>SUMIFS('Awards Summary'!$H:$H,'Awards Summary'!$B:$B,$C145,'Awards Summary'!$J:$J,"DCJS")</f>
        <v>0</v>
      </c>
      <c r="BO145" s="55">
        <f>SUMIFS('Disbursements Summary'!$E:$E,'Disbursements Summary'!$C:$C,$C145,'Disbursements Summary'!$A:$A,"DCJS")</f>
        <v>0</v>
      </c>
      <c r="BP145" s="55">
        <f>SUMIFS('Awards Summary'!$H:$H,'Awards Summary'!$B:$B,$C145,'Awards Summary'!$J:$J,"DHSES")</f>
        <v>0</v>
      </c>
      <c r="BQ145" s="55">
        <f>SUMIFS('Disbursements Summary'!$E:$E,'Disbursements Summary'!$C:$C,$C145,'Disbursements Summary'!$A:$A,"DHSES")</f>
        <v>0</v>
      </c>
      <c r="BR145" s="55">
        <f>SUMIFS('Awards Summary'!$H:$H,'Awards Summary'!$B:$B,$C145,'Awards Summary'!$J:$J,"DHR")</f>
        <v>0</v>
      </c>
      <c r="BS145" s="55">
        <f>SUMIFS('Disbursements Summary'!$E:$E,'Disbursements Summary'!$C:$C,$C145,'Disbursements Summary'!$A:$A,"DHR")</f>
        <v>0</v>
      </c>
      <c r="BT145" s="55">
        <f>SUMIFS('Awards Summary'!$H:$H,'Awards Summary'!$B:$B,$C145,'Awards Summary'!$J:$J,"DMNA")</f>
        <v>0</v>
      </c>
      <c r="BU145" s="55">
        <f>SUMIFS('Disbursements Summary'!$E:$E,'Disbursements Summary'!$C:$C,$C145,'Disbursements Summary'!$A:$A,"DMNA")</f>
        <v>0</v>
      </c>
      <c r="BV145" s="55">
        <f>SUMIFS('Awards Summary'!$H:$H,'Awards Summary'!$B:$B,$C145,'Awards Summary'!$J:$J,"TROOPERS")</f>
        <v>0</v>
      </c>
      <c r="BW145" s="55">
        <f>SUMIFS('Disbursements Summary'!$E:$E,'Disbursements Summary'!$C:$C,$C145,'Disbursements Summary'!$A:$A,"TROOPERS")</f>
        <v>0</v>
      </c>
      <c r="BX145" s="55">
        <f>SUMIFS('Awards Summary'!$H:$H,'Awards Summary'!$B:$B,$C145,'Awards Summary'!$J:$J,"DVA")</f>
        <v>0</v>
      </c>
      <c r="BY145" s="55">
        <f>SUMIFS('Disbursements Summary'!$E:$E,'Disbursements Summary'!$C:$C,$C145,'Disbursements Summary'!$A:$A,"DVA")</f>
        <v>0</v>
      </c>
      <c r="BZ145" s="55">
        <f>SUMIFS('Awards Summary'!$H:$H,'Awards Summary'!$B:$B,$C145,'Awards Summary'!$J:$J,"DASNY")</f>
        <v>0</v>
      </c>
      <c r="CA145" s="55">
        <f>SUMIFS('Disbursements Summary'!$E:$E,'Disbursements Summary'!$C:$C,$C145,'Disbursements Summary'!$A:$A,"DASNY")</f>
        <v>0</v>
      </c>
      <c r="CB145" s="55">
        <f>SUMIFS('Awards Summary'!$H:$H,'Awards Summary'!$B:$B,$C145,'Awards Summary'!$J:$J,"EGG")</f>
        <v>0</v>
      </c>
      <c r="CC145" s="55">
        <f>SUMIFS('Disbursements Summary'!$E:$E,'Disbursements Summary'!$C:$C,$C145,'Disbursements Summary'!$A:$A,"EGG")</f>
        <v>0</v>
      </c>
      <c r="CD145" s="55">
        <f>SUMIFS('Awards Summary'!$H:$H,'Awards Summary'!$B:$B,$C145,'Awards Summary'!$J:$J,"ESD")</f>
        <v>0</v>
      </c>
      <c r="CE145" s="55">
        <f>SUMIFS('Disbursements Summary'!$E:$E,'Disbursements Summary'!$C:$C,$C145,'Disbursements Summary'!$A:$A,"ESD")</f>
        <v>0</v>
      </c>
      <c r="CF145" s="55">
        <f>SUMIFS('Awards Summary'!$H:$H,'Awards Summary'!$B:$B,$C145,'Awards Summary'!$J:$J,"EFC")</f>
        <v>0</v>
      </c>
      <c r="CG145" s="55">
        <f>SUMIFS('Disbursements Summary'!$E:$E,'Disbursements Summary'!$C:$C,$C145,'Disbursements Summary'!$A:$A,"EFC")</f>
        <v>0</v>
      </c>
      <c r="CH145" s="55">
        <f>SUMIFS('Awards Summary'!$H:$H,'Awards Summary'!$B:$B,$C145,'Awards Summary'!$J:$J,"ECFSA")</f>
        <v>0</v>
      </c>
      <c r="CI145" s="55">
        <f>SUMIFS('Disbursements Summary'!$E:$E,'Disbursements Summary'!$C:$C,$C145,'Disbursements Summary'!$A:$A,"ECFSA")</f>
        <v>0</v>
      </c>
      <c r="CJ145" s="55">
        <f>SUMIFS('Awards Summary'!$H:$H,'Awards Summary'!$B:$B,$C145,'Awards Summary'!$J:$J,"ECMC")</f>
        <v>0</v>
      </c>
      <c r="CK145" s="55">
        <f>SUMIFS('Disbursements Summary'!$E:$E,'Disbursements Summary'!$C:$C,$C145,'Disbursements Summary'!$A:$A,"ECMC")</f>
        <v>0</v>
      </c>
      <c r="CL145" s="55">
        <f>SUMIFS('Awards Summary'!$H:$H,'Awards Summary'!$B:$B,$C145,'Awards Summary'!$J:$J,"CHAMBER")</f>
        <v>0</v>
      </c>
      <c r="CM145" s="55">
        <f>SUMIFS('Disbursements Summary'!$E:$E,'Disbursements Summary'!$C:$C,$C145,'Disbursements Summary'!$A:$A,"CHAMBER")</f>
        <v>0</v>
      </c>
      <c r="CN145" s="55">
        <f>SUMIFS('Awards Summary'!$H:$H,'Awards Summary'!$B:$B,$C145,'Awards Summary'!$J:$J,"GAMING")</f>
        <v>0</v>
      </c>
      <c r="CO145" s="55">
        <f>SUMIFS('Disbursements Summary'!$E:$E,'Disbursements Summary'!$C:$C,$C145,'Disbursements Summary'!$A:$A,"GAMING")</f>
        <v>0</v>
      </c>
      <c r="CP145" s="55">
        <f>SUMIFS('Awards Summary'!$H:$H,'Awards Summary'!$B:$B,$C145,'Awards Summary'!$J:$J,"GOER")</f>
        <v>0</v>
      </c>
      <c r="CQ145" s="55">
        <f>SUMIFS('Disbursements Summary'!$E:$E,'Disbursements Summary'!$C:$C,$C145,'Disbursements Summary'!$A:$A,"GOER")</f>
        <v>0</v>
      </c>
      <c r="CR145" s="55">
        <f>SUMIFS('Awards Summary'!$H:$H,'Awards Summary'!$B:$B,$C145,'Awards Summary'!$J:$J,"HESC")</f>
        <v>0</v>
      </c>
      <c r="CS145" s="55">
        <f>SUMIFS('Disbursements Summary'!$E:$E,'Disbursements Summary'!$C:$C,$C145,'Disbursements Summary'!$A:$A,"HESC")</f>
        <v>0</v>
      </c>
      <c r="CT145" s="55">
        <f>SUMIFS('Awards Summary'!$H:$H,'Awards Summary'!$B:$B,$C145,'Awards Summary'!$J:$J,"GOSR")</f>
        <v>0</v>
      </c>
      <c r="CU145" s="55">
        <f>SUMIFS('Disbursements Summary'!$E:$E,'Disbursements Summary'!$C:$C,$C145,'Disbursements Summary'!$A:$A,"GOSR")</f>
        <v>0</v>
      </c>
      <c r="CV145" s="55">
        <f>SUMIFS('Awards Summary'!$H:$H,'Awards Summary'!$B:$B,$C145,'Awards Summary'!$J:$J,"HRPT")</f>
        <v>0</v>
      </c>
      <c r="CW145" s="55">
        <f>SUMIFS('Disbursements Summary'!$E:$E,'Disbursements Summary'!$C:$C,$C145,'Disbursements Summary'!$A:$A,"HRPT")</f>
        <v>0</v>
      </c>
      <c r="CX145" s="55">
        <f>SUMIFS('Awards Summary'!$H:$H,'Awards Summary'!$B:$B,$C145,'Awards Summary'!$J:$J,"HRBRRD")</f>
        <v>0</v>
      </c>
      <c r="CY145" s="55">
        <f>SUMIFS('Disbursements Summary'!$E:$E,'Disbursements Summary'!$C:$C,$C145,'Disbursements Summary'!$A:$A,"HRBRRD")</f>
        <v>0</v>
      </c>
      <c r="CZ145" s="55">
        <f>SUMIFS('Awards Summary'!$H:$H,'Awards Summary'!$B:$B,$C145,'Awards Summary'!$J:$J,"ITS")</f>
        <v>0</v>
      </c>
      <c r="DA145" s="55">
        <f>SUMIFS('Disbursements Summary'!$E:$E,'Disbursements Summary'!$C:$C,$C145,'Disbursements Summary'!$A:$A,"ITS")</f>
        <v>0</v>
      </c>
      <c r="DB145" s="55">
        <f>SUMIFS('Awards Summary'!$H:$H,'Awards Summary'!$B:$B,$C145,'Awards Summary'!$J:$J,"JAVITS")</f>
        <v>0</v>
      </c>
      <c r="DC145" s="55">
        <f>SUMIFS('Disbursements Summary'!$E:$E,'Disbursements Summary'!$C:$C,$C145,'Disbursements Summary'!$A:$A,"JAVITS")</f>
        <v>0</v>
      </c>
      <c r="DD145" s="55">
        <f>SUMIFS('Awards Summary'!$H:$H,'Awards Summary'!$B:$B,$C145,'Awards Summary'!$J:$J,"JCOPE")</f>
        <v>0</v>
      </c>
      <c r="DE145" s="55">
        <f>SUMIFS('Disbursements Summary'!$E:$E,'Disbursements Summary'!$C:$C,$C145,'Disbursements Summary'!$A:$A,"JCOPE")</f>
        <v>0</v>
      </c>
      <c r="DF145" s="55">
        <f>SUMIFS('Awards Summary'!$H:$H,'Awards Summary'!$B:$B,$C145,'Awards Summary'!$J:$J,"JUSTICE")</f>
        <v>0</v>
      </c>
      <c r="DG145" s="55">
        <f>SUMIFS('Disbursements Summary'!$E:$E,'Disbursements Summary'!$C:$C,$C145,'Disbursements Summary'!$A:$A,"JUSTICE")</f>
        <v>0</v>
      </c>
      <c r="DH145" s="55">
        <f>SUMIFS('Awards Summary'!$H:$H,'Awards Summary'!$B:$B,$C145,'Awards Summary'!$J:$J,"LCWSA")</f>
        <v>0</v>
      </c>
      <c r="DI145" s="55">
        <f>SUMIFS('Disbursements Summary'!$E:$E,'Disbursements Summary'!$C:$C,$C145,'Disbursements Summary'!$A:$A,"LCWSA")</f>
        <v>0</v>
      </c>
      <c r="DJ145" s="55">
        <f>SUMIFS('Awards Summary'!$H:$H,'Awards Summary'!$B:$B,$C145,'Awards Summary'!$J:$J,"LIPA")</f>
        <v>0</v>
      </c>
      <c r="DK145" s="55">
        <f>SUMIFS('Disbursements Summary'!$E:$E,'Disbursements Summary'!$C:$C,$C145,'Disbursements Summary'!$A:$A,"LIPA")</f>
        <v>0</v>
      </c>
      <c r="DL145" s="55">
        <f>SUMIFS('Awards Summary'!$H:$H,'Awards Summary'!$B:$B,$C145,'Awards Summary'!$J:$J,"MTA")</f>
        <v>0</v>
      </c>
      <c r="DM145" s="55">
        <f>SUMIFS('Disbursements Summary'!$E:$E,'Disbursements Summary'!$C:$C,$C145,'Disbursements Summary'!$A:$A,"MTA")</f>
        <v>0</v>
      </c>
      <c r="DN145" s="55">
        <f>SUMIFS('Awards Summary'!$H:$H,'Awards Summary'!$B:$B,$C145,'Awards Summary'!$J:$J,"NIFA")</f>
        <v>0</v>
      </c>
      <c r="DO145" s="55">
        <f>SUMIFS('Disbursements Summary'!$E:$E,'Disbursements Summary'!$C:$C,$C145,'Disbursements Summary'!$A:$A,"NIFA")</f>
        <v>0</v>
      </c>
      <c r="DP145" s="55">
        <f>SUMIFS('Awards Summary'!$H:$H,'Awards Summary'!$B:$B,$C145,'Awards Summary'!$J:$J,"NHCC")</f>
        <v>0</v>
      </c>
      <c r="DQ145" s="55">
        <f>SUMIFS('Disbursements Summary'!$E:$E,'Disbursements Summary'!$C:$C,$C145,'Disbursements Summary'!$A:$A,"NHCC")</f>
        <v>0</v>
      </c>
      <c r="DR145" s="55">
        <f>SUMIFS('Awards Summary'!$H:$H,'Awards Summary'!$B:$B,$C145,'Awards Summary'!$J:$J,"NHT")</f>
        <v>0</v>
      </c>
      <c r="DS145" s="55">
        <f>SUMIFS('Disbursements Summary'!$E:$E,'Disbursements Summary'!$C:$C,$C145,'Disbursements Summary'!$A:$A,"NHT")</f>
        <v>0</v>
      </c>
      <c r="DT145" s="55">
        <f>SUMIFS('Awards Summary'!$H:$H,'Awards Summary'!$B:$B,$C145,'Awards Summary'!$J:$J,"NYPA")</f>
        <v>0</v>
      </c>
      <c r="DU145" s="55">
        <f>SUMIFS('Disbursements Summary'!$E:$E,'Disbursements Summary'!$C:$C,$C145,'Disbursements Summary'!$A:$A,"NYPA")</f>
        <v>0</v>
      </c>
      <c r="DV145" s="55">
        <f>SUMIFS('Awards Summary'!$H:$H,'Awards Summary'!$B:$B,$C145,'Awards Summary'!$J:$J,"NYSBA")</f>
        <v>0</v>
      </c>
      <c r="DW145" s="55">
        <f>SUMIFS('Disbursements Summary'!$E:$E,'Disbursements Summary'!$C:$C,$C145,'Disbursements Summary'!$A:$A,"NYSBA")</f>
        <v>0</v>
      </c>
      <c r="DX145" s="55">
        <f>SUMIFS('Awards Summary'!$H:$H,'Awards Summary'!$B:$B,$C145,'Awards Summary'!$J:$J,"NYSERDA")</f>
        <v>0</v>
      </c>
      <c r="DY145" s="55">
        <f>SUMIFS('Disbursements Summary'!$E:$E,'Disbursements Summary'!$C:$C,$C145,'Disbursements Summary'!$A:$A,"NYSERDA")</f>
        <v>0</v>
      </c>
      <c r="DZ145" s="55">
        <f>SUMIFS('Awards Summary'!$H:$H,'Awards Summary'!$B:$B,$C145,'Awards Summary'!$J:$J,"DHCR")</f>
        <v>0</v>
      </c>
      <c r="EA145" s="55">
        <f>SUMIFS('Disbursements Summary'!$E:$E,'Disbursements Summary'!$C:$C,$C145,'Disbursements Summary'!$A:$A,"DHCR")</f>
        <v>0</v>
      </c>
      <c r="EB145" s="55">
        <f>SUMIFS('Awards Summary'!$H:$H,'Awards Summary'!$B:$B,$C145,'Awards Summary'!$J:$J,"HFA")</f>
        <v>0</v>
      </c>
      <c r="EC145" s="55">
        <f>SUMIFS('Disbursements Summary'!$E:$E,'Disbursements Summary'!$C:$C,$C145,'Disbursements Summary'!$A:$A,"HFA")</f>
        <v>0</v>
      </c>
      <c r="ED145" s="55">
        <f>SUMIFS('Awards Summary'!$H:$H,'Awards Summary'!$B:$B,$C145,'Awards Summary'!$J:$J,"NYSIF")</f>
        <v>0</v>
      </c>
      <c r="EE145" s="55">
        <f>SUMIFS('Disbursements Summary'!$E:$E,'Disbursements Summary'!$C:$C,$C145,'Disbursements Summary'!$A:$A,"NYSIF")</f>
        <v>0</v>
      </c>
      <c r="EF145" s="55">
        <f>SUMIFS('Awards Summary'!$H:$H,'Awards Summary'!$B:$B,$C145,'Awards Summary'!$J:$J,"NYBREDS")</f>
        <v>0</v>
      </c>
      <c r="EG145" s="55">
        <f>SUMIFS('Disbursements Summary'!$E:$E,'Disbursements Summary'!$C:$C,$C145,'Disbursements Summary'!$A:$A,"NYBREDS")</f>
        <v>0</v>
      </c>
      <c r="EH145" s="55">
        <f>SUMIFS('Awards Summary'!$H:$H,'Awards Summary'!$B:$B,$C145,'Awards Summary'!$J:$J,"NYSTA")</f>
        <v>0</v>
      </c>
      <c r="EI145" s="55">
        <f>SUMIFS('Disbursements Summary'!$E:$E,'Disbursements Summary'!$C:$C,$C145,'Disbursements Summary'!$A:$A,"NYSTA")</f>
        <v>0</v>
      </c>
      <c r="EJ145" s="55">
        <f>SUMIFS('Awards Summary'!$H:$H,'Awards Summary'!$B:$B,$C145,'Awards Summary'!$J:$J,"NFWB")</f>
        <v>0</v>
      </c>
      <c r="EK145" s="55">
        <f>SUMIFS('Disbursements Summary'!$E:$E,'Disbursements Summary'!$C:$C,$C145,'Disbursements Summary'!$A:$A,"NFWB")</f>
        <v>0</v>
      </c>
      <c r="EL145" s="55">
        <f>SUMIFS('Awards Summary'!$H:$H,'Awards Summary'!$B:$B,$C145,'Awards Summary'!$J:$J,"NFTA")</f>
        <v>0</v>
      </c>
      <c r="EM145" s="55">
        <f>SUMIFS('Disbursements Summary'!$E:$E,'Disbursements Summary'!$C:$C,$C145,'Disbursements Summary'!$A:$A,"NFTA")</f>
        <v>0</v>
      </c>
      <c r="EN145" s="55">
        <f>SUMIFS('Awards Summary'!$H:$H,'Awards Summary'!$B:$B,$C145,'Awards Summary'!$J:$J,"OPWDD")</f>
        <v>0</v>
      </c>
      <c r="EO145" s="55">
        <f>SUMIFS('Disbursements Summary'!$E:$E,'Disbursements Summary'!$C:$C,$C145,'Disbursements Summary'!$A:$A,"OPWDD")</f>
        <v>0</v>
      </c>
      <c r="EP145" s="55">
        <f>SUMIFS('Awards Summary'!$H:$H,'Awards Summary'!$B:$B,$C145,'Awards Summary'!$J:$J,"AGING")</f>
        <v>0</v>
      </c>
      <c r="EQ145" s="55">
        <f>SUMIFS('Disbursements Summary'!$E:$E,'Disbursements Summary'!$C:$C,$C145,'Disbursements Summary'!$A:$A,"AGING")</f>
        <v>0</v>
      </c>
      <c r="ER145" s="55">
        <f>SUMIFS('Awards Summary'!$H:$H,'Awards Summary'!$B:$B,$C145,'Awards Summary'!$J:$J,"OPDV")</f>
        <v>0</v>
      </c>
      <c r="ES145" s="55">
        <f>SUMIFS('Disbursements Summary'!$E:$E,'Disbursements Summary'!$C:$C,$C145,'Disbursements Summary'!$A:$A,"OPDV")</f>
        <v>0</v>
      </c>
      <c r="ET145" s="55">
        <f>SUMIFS('Awards Summary'!$H:$H,'Awards Summary'!$B:$B,$C145,'Awards Summary'!$J:$J,"OVS")</f>
        <v>0</v>
      </c>
      <c r="EU145" s="55">
        <f>SUMIFS('Disbursements Summary'!$E:$E,'Disbursements Summary'!$C:$C,$C145,'Disbursements Summary'!$A:$A,"OVS")</f>
        <v>0</v>
      </c>
      <c r="EV145" s="55">
        <f>SUMIFS('Awards Summary'!$H:$H,'Awards Summary'!$B:$B,$C145,'Awards Summary'!$J:$J,"OASAS")</f>
        <v>0</v>
      </c>
      <c r="EW145" s="55">
        <f>SUMIFS('Disbursements Summary'!$E:$E,'Disbursements Summary'!$C:$C,$C145,'Disbursements Summary'!$A:$A,"OASAS")</f>
        <v>0</v>
      </c>
      <c r="EX145" s="55">
        <f>SUMIFS('Awards Summary'!$H:$H,'Awards Summary'!$B:$B,$C145,'Awards Summary'!$J:$J,"OCFS")</f>
        <v>0</v>
      </c>
      <c r="EY145" s="55">
        <f>SUMIFS('Disbursements Summary'!$E:$E,'Disbursements Summary'!$C:$C,$C145,'Disbursements Summary'!$A:$A,"OCFS")</f>
        <v>0</v>
      </c>
      <c r="EZ145" s="55">
        <f>SUMIFS('Awards Summary'!$H:$H,'Awards Summary'!$B:$B,$C145,'Awards Summary'!$J:$J,"OGS")</f>
        <v>0</v>
      </c>
      <c r="FA145" s="55">
        <f>SUMIFS('Disbursements Summary'!$E:$E,'Disbursements Summary'!$C:$C,$C145,'Disbursements Summary'!$A:$A,"OGS")</f>
        <v>0</v>
      </c>
      <c r="FB145" s="55">
        <f>SUMIFS('Awards Summary'!$H:$H,'Awards Summary'!$B:$B,$C145,'Awards Summary'!$J:$J,"OMH")</f>
        <v>0</v>
      </c>
      <c r="FC145" s="55">
        <f>SUMIFS('Disbursements Summary'!$E:$E,'Disbursements Summary'!$C:$C,$C145,'Disbursements Summary'!$A:$A,"OMH")</f>
        <v>0</v>
      </c>
      <c r="FD145" s="55">
        <f>SUMIFS('Awards Summary'!$H:$H,'Awards Summary'!$B:$B,$C145,'Awards Summary'!$J:$J,"PARKS")</f>
        <v>0</v>
      </c>
      <c r="FE145" s="55">
        <f>SUMIFS('Disbursements Summary'!$E:$E,'Disbursements Summary'!$C:$C,$C145,'Disbursements Summary'!$A:$A,"PARKS")</f>
        <v>0</v>
      </c>
      <c r="FF145" s="55">
        <f>SUMIFS('Awards Summary'!$H:$H,'Awards Summary'!$B:$B,$C145,'Awards Summary'!$J:$J,"OTDA")</f>
        <v>0</v>
      </c>
      <c r="FG145" s="55">
        <f>SUMIFS('Disbursements Summary'!$E:$E,'Disbursements Summary'!$C:$C,$C145,'Disbursements Summary'!$A:$A,"OTDA")</f>
        <v>0</v>
      </c>
      <c r="FH145" s="55">
        <f>SUMIFS('Awards Summary'!$H:$H,'Awards Summary'!$B:$B,$C145,'Awards Summary'!$J:$J,"OIG")</f>
        <v>0</v>
      </c>
      <c r="FI145" s="55">
        <f>SUMIFS('Disbursements Summary'!$E:$E,'Disbursements Summary'!$C:$C,$C145,'Disbursements Summary'!$A:$A,"OIG")</f>
        <v>0</v>
      </c>
      <c r="FJ145" s="55">
        <f>SUMIFS('Awards Summary'!$H:$H,'Awards Summary'!$B:$B,$C145,'Awards Summary'!$J:$J,"OMIG")</f>
        <v>0</v>
      </c>
      <c r="FK145" s="55">
        <f>SUMIFS('Disbursements Summary'!$E:$E,'Disbursements Summary'!$C:$C,$C145,'Disbursements Summary'!$A:$A,"OMIG")</f>
        <v>0</v>
      </c>
      <c r="FL145" s="55">
        <f>SUMIFS('Awards Summary'!$H:$H,'Awards Summary'!$B:$B,$C145,'Awards Summary'!$J:$J,"OSC")</f>
        <v>0</v>
      </c>
      <c r="FM145" s="55">
        <f>SUMIFS('Disbursements Summary'!$E:$E,'Disbursements Summary'!$C:$C,$C145,'Disbursements Summary'!$A:$A,"OSC")</f>
        <v>0</v>
      </c>
      <c r="FN145" s="55">
        <f>SUMIFS('Awards Summary'!$H:$H,'Awards Summary'!$B:$B,$C145,'Awards Summary'!$J:$J,"OWIG")</f>
        <v>0</v>
      </c>
      <c r="FO145" s="55">
        <f>SUMIFS('Disbursements Summary'!$E:$E,'Disbursements Summary'!$C:$C,$C145,'Disbursements Summary'!$A:$A,"OWIG")</f>
        <v>0</v>
      </c>
      <c r="FP145" s="55">
        <f>SUMIFS('Awards Summary'!$H:$H,'Awards Summary'!$B:$B,$C145,'Awards Summary'!$J:$J,"OGDEN")</f>
        <v>0</v>
      </c>
      <c r="FQ145" s="55">
        <f>SUMIFS('Disbursements Summary'!$E:$E,'Disbursements Summary'!$C:$C,$C145,'Disbursements Summary'!$A:$A,"OGDEN")</f>
        <v>0</v>
      </c>
      <c r="FR145" s="55">
        <f>SUMIFS('Awards Summary'!$H:$H,'Awards Summary'!$B:$B,$C145,'Awards Summary'!$J:$J,"ORDA")</f>
        <v>0</v>
      </c>
      <c r="FS145" s="55">
        <f>SUMIFS('Disbursements Summary'!$E:$E,'Disbursements Summary'!$C:$C,$C145,'Disbursements Summary'!$A:$A,"ORDA")</f>
        <v>0</v>
      </c>
      <c r="FT145" s="55">
        <f>SUMIFS('Awards Summary'!$H:$H,'Awards Summary'!$B:$B,$C145,'Awards Summary'!$J:$J,"OSWEGO")</f>
        <v>0</v>
      </c>
      <c r="FU145" s="55">
        <f>SUMIFS('Disbursements Summary'!$E:$E,'Disbursements Summary'!$C:$C,$C145,'Disbursements Summary'!$A:$A,"OSWEGO")</f>
        <v>0</v>
      </c>
      <c r="FV145" s="55">
        <f>SUMIFS('Awards Summary'!$H:$H,'Awards Summary'!$B:$B,$C145,'Awards Summary'!$J:$J,"PERB")</f>
        <v>0</v>
      </c>
      <c r="FW145" s="55">
        <f>SUMIFS('Disbursements Summary'!$E:$E,'Disbursements Summary'!$C:$C,$C145,'Disbursements Summary'!$A:$A,"PERB")</f>
        <v>0</v>
      </c>
      <c r="FX145" s="55">
        <f>SUMIFS('Awards Summary'!$H:$H,'Awards Summary'!$B:$B,$C145,'Awards Summary'!$J:$J,"RGRTA")</f>
        <v>0</v>
      </c>
      <c r="FY145" s="55">
        <f>SUMIFS('Disbursements Summary'!$E:$E,'Disbursements Summary'!$C:$C,$C145,'Disbursements Summary'!$A:$A,"RGRTA")</f>
        <v>0</v>
      </c>
      <c r="FZ145" s="55">
        <f>SUMIFS('Awards Summary'!$H:$H,'Awards Summary'!$B:$B,$C145,'Awards Summary'!$J:$J,"RIOC")</f>
        <v>0</v>
      </c>
      <c r="GA145" s="55">
        <f>SUMIFS('Disbursements Summary'!$E:$E,'Disbursements Summary'!$C:$C,$C145,'Disbursements Summary'!$A:$A,"RIOC")</f>
        <v>0</v>
      </c>
      <c r="GB145" s="55">
        <f>SUMIFS('Awards Summary'!$H:$H,'Awards Summary'!$B:$B,$C145,'Awards Summary'!$J:$J,"RPCI")</f>
        <v>0</v>
      </c>
      <c r="GC145" s="55">
        <f>SUMIFS('Disbursements Summary'!$E:$E,'Disbursements Summary'!$C:$C,$C145,'Disbursements Summary'!$A:$A,"RPCI")</f>
        <v>0</v>
      </c>
      <c r="GD145" s="55">
        <f>SUMIFS('Awards Summary'!$H:$H,'Awards Summary'!$B:$B,$C145,'Awards Summary'!$J:$J,"SMDA")</f>
        <v>0</v>
      </c>
      <c r="GE145" s="55">
        <f>SUMIFS('Disbursements Summary'!$E:$E,'Disbursements Summary'!$C:$C,$C145,'Disbursements Summary'!$A:$A,"SMDA")</f>
        <v>0</v>
      </c>
      <c r="GF145" s="55">
        <f>SUMIFS('Awards Summary'!$H:$H,'Awards Summary'!$B:$B,$C145,'Awards Summary'!$J:$J,"SCOC")</f>
        <v>0</v>
      </c>
      <c r="GG145" s="55">
        <f>SUMIFS('Disbursements Summary'!$E:$E,'Disbursements Summary'!$C:$C,$C145,'Disbursements Summary'!$A:$A,"SCOC")</f>
        <v>0</v>
      </c>
      <c r="GH145" s="55">
        <f>SUMIFS('Awards Summary'!$H:$H,'Awards Summary'!$B:$B,$C145,'Awards Summary'!$J:$J,"SUCF")</f>
        <v>0</v>
      </c>
      <c r="GI145" s="55">
        <f>SUMIFS('Disbursements Summary'!$E:$E,'Disbursements Summary'!$C:$C,$C145,'Disbursements Summary'!$A:$A,"SUCF")</f>
        <v>0</v>
      </c>
      <c r="GJ145" s="55">
        <f>SUMIFS('Awards Summary'!$H:$H,'Awards Summary'!$B:$B,$C145,'Awards Summary'!$J:$J,"SUNY")</f>
        <v>0</v>
      </c>
      <c r="GK145" s="55">
        <f>SUMIFS('Disbursements Summary'!$E:$E,'Disbursements Summary'!$C:$C,$C145,'Disbursements Summary'!$A:$A,"SUNY")</f>
        <v>0</v>
      </c>
      <c r="GL145" s="55">
        <f>SUMIFS('Awards Summary'!$H:$H,'Awards Summary'!$B:$B,$C145,'Awards Summary'!$J:$J,"SRAA")</f>
        <v>0</v>
      </c>
      <c r="GM145" s="55">
        <f>SUMIFS('Disbursements Summary'!$E:$E,'Disbursements Summary'!$C:$C,$C145,'Disbursements Summary'!$A:$A,"SRAA")</f>
        <v>0</v>
      </c>
      <c r="GN145" s="55">
        <f>SUMIFS('Awards Summary'!$H:$H,'Awards Summary'!$B:$B,$C145,'Awards Summary'!$J:$J,"UNDC")</f>
        <v>0</v>
      </c>
      <c r="GO145" s="55">
        <f>SUMIFS('Disbursements Summary'!$E:$E,'Disbursements Summary'!$C:$C,$C145,'Disbursements Summary'!$A:$A,"UNDC")</f>
        <v>0</v>
      </c>
      <c r="GP145" s="55">
        <f>SUMIFS('Awards Summary'!$H:$H,'Awards Summary'!$B:$B,$C145,'Awards Summary'!$J:$J,"MVWA")</f>
        <v>0</v>
      </c>
      <c r="GQ145" s="55">
        <f>SUMIFS('Disbursements Summary'!$E:$E,'Disbursements Summary'!$C:$C,$C145,'Disbursements Summary'!$A:$A,"MVWA")</f>
        <v>0</v>
      </c>
      <c r="GR145" s="55">
        <f>SUMIFS('Awards Summary'!$H:$H,'Awards Summary'!$B:$B,$C145,'Awards Summary'!$J:$J,"WMC")</f>
        <v>0</v>
      </c>
      <c r="GS145" s="55">
        <f>SUMIFS('Disbursements Summary'!$E:$E,'Disbursements Summary'!$C:$C,$C145,'Disbursements Summary'!$A:$A,"WMC")</f>
        <v>0</v>
      </c>
      <c r="GT145" s="55">
        <f>SUMIFS('Awards Summary'!$H:$H,'Awards Summary'!$B:$B,$C145,'Awards Summary'!$J:$J,"WCB")</f>
        <v>0</v>
      </c>
      <c r="GU145" s="55">
        <f>SUMIFS('Disbursements Summary'!$E:$E,'Disbursements Summary'!$C:$C,$C145,'Disbursements Summary'!$A:$A,"WCB")</f>
        <v>0</v>
      </c>
      <c r="GV145" s="32">
        <f t="shared" si="10"/>
        <v>0</v>
      </c>
      <c r="GW145" s="32">
        <f t="shared" si="11"/>
        <v>0</v>
      </c>
      <c r="GX145" s="30" t="b">
        <f t="shared" si="12"/>
        <v>1</v>
      </c>
      <c r="GY145" s="30" t="b">
        <f t="shared" si="13"/>
        <v>1</v>
      </c>
    </row>
    <row r="146" spans="1:207" s="61" customFormat="1">
      <c r="A146" s="22" t="str">
        <f t="shared" si="14"/>
        <v/>
      </c>
      <c r="B146" s="70" t="s">
        <v>471</v>
      </c>
      <c r="C146" s="71">
        <v>171412</v>
      </c>
      <c r="D146" s="66">
        <f>COUNTIF('Awards Summary'!B:B,"171412")</f>
        <v>0</v>
      </c>
      <c r="E146" s="67">
        <f>SUMIFS('Awards Summary'!H:H,'Awards Summary'!B:B,"171412")</f>
        <v>0</v>
      </c>
      <c r="F146" s="68">
        <f>SUMIFS('Disbursements Summary'!E:E,'Disbursements Summary'!C:C, "171412")</f>
        <v>0</v>
      </c>
      <c r="G146" s="30"/>
      <c r="H146" s="55">
        <f>SUMIFS('Awards Summary'!$H:$H,'Awards Summary'!$B:$B,$C146,'Awards Summary'!$J:$J,"APA")</f>
        <v>0</v>
      </c>
      <c r="I146" s="55">
        <f>SUMIFS('Disbursements Summary'!$E:$E,'Disbursements Summary'!$C:$C,$C146,'Disbursements Summary'!$A:$A,"APA")</f>
        <v>0</v>
      </c>
      <c r="J146" s="55">
        <f>SUMIFS('Awards Summary'!$H:$H,'Awards Summary'!$B:$B,$C146,'Awards Summary'!$J:$J,"Ag&amp;Horse")</f>
        <v>0</v>
      </c>
      <c r="K146" s="55">
        <f>SUMIFS('Disbursements Summary'!$E:$E,'Disbursements Summary'!$C:$C,$C146,'Disbursements Summary'!$A:$A,"Ag&amp;Horse")</f>
        <v>0</v>
      </c>
      <c r="L146" s="55">
        <f>SUMIFS('Awards Summary'!$H:$H,'Awards Summary'!$B:$B,$C146,'Awards Summary'!$J:$J,"ACAA")</f>
        <v>0</v>
      </c>
      <c r="M146" s="55">
        <f>SUMIFS('Disbursements Summary'!$E:$E,'Disbursements Summary'!$C:$C,$C146,'Disbursements Summary'!$A:$A,"ACAA")</f>
        <v>0</v>
      </c>
      <c r="N146" s="55">
        <f>SUMIFS('Awards Summary'!$H:$H,'Awards Summary'!$B:$B,$C146,'Awards Summary'!$J:$J,"PortAlbany")</f>
        <v>0</v>
      </c>
      <c r="O146" s="55">
        <f>SUMIFS('Disbursements Summary'!$E:$E,'Disbursements Summary'!$C:$C,$C146,'Disbursements Summary'!$A:$A,"PortAlbany")</f>
        <v>0</v>
      </c>
      <c r="P146" s="55">
        <f>SUMIFS('Awards Summary'!$H:$H,'Awards Summary'!$B:$B,$C146,'Awards Summary'!$J:$J,"SLA")</f>
        <v>0</v>
      </c>
      <c r="Q146" s="55">
        <f>SUMIFS('Disbursements Summary'!$E:$E,'Disbursements Summary'!$C:$C,$C146,'Disbursements Summary'!$A:$A,"SLA")</f>
        <v>0</v>
      </c>
      <c r="R146" s="55">
        <f>SUMIFS('Awards Summary'!$H:$H,'Awards Summary'!$B:$B,$C146,'Awards Summary'!$J:$J,"BPCA")</f>
        <v>0</v>
      </c>
      <c r="S146" s="55">
        <f>SUMIFS('Disbursements Summary'!$E:$E,'Disbursements Summary'!$C:$C,$C146,'Disbursements Summary'!$A:$A,"BPCA")</f>
        <v>0</v>
      </c>
      <c r="T146" s="55">
        <f>SUMIFS('Awards Summary'!$H:$H,'Awards Summary'!$B:$B,$C146,'Awards Summary'!$J:$J,"ELECTIONS")</f>
        <v>0</v>
      </c>
      <c r="U146" s="55">
        <f>SUMIFS('Disbursements Summary'!$E:$E,'Disbursements Summary'!$C:$C,$C146,'Disbursements Summary'!$A:$A,"ELECTIONS")</f>
        <v>0</v>
      </c>
      <c r="V146" s="55">
        <f>SUMIFS('Awards Summary'!$H:$H,'Awards Summary'!$B:$B,$C146,'Awards Summary'!$J:$J,"BFSA")</f>
        <v>0</v>
      </c>
      <c r="W146" s="55">
        <f>SUMIFS('Disbursements Summary'!$E:$E,'Disbursements Summary'!$C:$C,$C146,'Disbursements Summary'!$A:$A,"BFSA")</f>
        <v>0</v>
      </c>
      <c r="X146" s="55">
        <f>SUMIFS('Awards Summary'!$H:$H,'Awards Summary'!$B:$B,$C146,'Awards Summary'!$J:$J,"CDTA")</f>
        <v>0</v>
      </c>
      <c r="Y146" s="55">
        <f>SUMIFS('Disbursements Summary'!$E:$E,'Disbursements Summary'!$C:$C,$C146,'Disbursements Summary'!$A:$A,"CDTA")</f>
        <v>0</v>
      </c>
      <c r="Z146" s="55">
        <f>SUMIFS('Awards Summary'!$H:$H,'Awards Summary'!$B:$B,$C146,'Awards Summary'!$J:$J,"CCWSA")</f>
        <v>0</v>
      </c>
      <c r="AA146" s="55">
        <f>SUMIFS('Disbursements Summary'!$E:$E,'Disbursements Summary'!$C:$C,$C146,'Disbursements Summary'!$A:$A,"CCWSA")</f>
        <v>0</v>
      </c>
      <c r="AB146" s="55">
        <f>SUMIFS('Awards Summary'!$H:$H,'Awards Summary'!$B:$B,$C146,'Awards Summary'!$J:$J,"CNYRTA")</f>
        <v>0</v>
      </c>
      <c r="AC146" s="55">
        <f>SUMIFS('Disbursements Summary'!$E:$E,'Disbursements Summary'!$C:$C,$C146,'Disbursements Summary'!$A:$A,"CNYRTA")</f>
        <v>0</v>
      </c>
      <c r="AD146" s="55">
        <f>SUMIFS('Awards Summary'!$H:$H,'Awards Summary'!$B:$B,$C146,'Awards Summary'!$J:$J,"CUCF")</f>
        <v>0</v>
      </c>
      <c r="AE146" s="55">
        <f>SUMIFS('Disbursements Summary'!$E:$E,'Disbursements Summary'!$C:$C,$C146,'Disbursements Summary'!$A:$A,"CUCF")</f>
        <v>0</v>
      </c>
      <c r="AF146" s="55">
        <f>SUMIFS('Awards Summary'!$H:$H,'Awards Summary'!$B:$B,$C146,'Awards Summary'!$J:$J,"CUNY")</f>
        <v>0</v>
      </c>
      <c r="AG146" s="55">
        <f>SUMIFS('Disbursements Summary'!$E:$E,'Disbursements Summary'!$C:$C,$C146,'Disbursements Summary'!$A:$A,"CUNY")</f>
        <v>0</v>
      </c>
      <c r="AH146" s="55">
        <f>SUMIFS('Awards Summary'!$H:$H,'Awards Summary'!$B:$B,$C146,'Awards Summary'!$J:$J,"ARTS")</f>
        <v>0</v>
      </c>
      <c r="AI146" s="55">
        <f>SUMIFS('Disbursements Summary'!$E:$E,'Disbursements Summary'!$C:$C,$C146,'Disbursements Summary'!$A:$A,"ARTS")</f>
        <v>0</v>
      </c>
      <c r="AJ146" s="55">
        <f>SUMIFS('Awards Summary'!$H:$H,'Awards Summary'!$B:$B,$C146,'Awards Summary'!$J:$J,"AG&amp;MKTS")</f>
        <v>0</v>
      </c>
      <c r="AK146" s="55">
        <f>SUMIFS('Disbursements Summary'!$E:$E,'Disbursements Summary'!$C:$C,$C146,'Disbursements Summary'!$A:$A,"AG&amp;MKTS")</f>
        <v>0</v>
      </c>
      <c r="AL146" s="55">
        <f>SUMIFS('Awards Summary'!$H:$H,'Awards Summary'!$B:$B,$C146,'Awards Summary'!$J:$J,"CS")</f>
        <v>0</v>
      </c>
      <c r="AM146" s="55">
        <f>SUMIFS('Disbursements Summary'!$E:$E,'Disbursements Summary'!$C:$C,$C146,'Disbursements Summary'!$A:$A,"CS")</f>
        <v>0</v>
      </c>
      <c r="AN146" s="55">
        <f>SUMIFS('Awards Summary'!$H:$H,'Awards Summary'!$B:$B,$C146,'Awards Summary'!$J:$J,"DOCCS")</f>
        <v>0</v>
      </c>
      <c r="AO146" s="55">
        <f>SUMIFS('Disbursements Summary'!$E:$E,'Disbursements Summary'!$C:$C,$C146,'Disbursements Summary'!$A:$A,"DOCCS")</f>
        <v>0</v>
      </c>
      <c r="AP146" s="55">
        <f>SUMIFS('Awards Summary'!$H:$H,'Awards Summary'!$B:$B,$C146,'Awards Summary'!$J:$J,"DED")</f>
        <v>0</v>
      </c>
      <c r="AQ146" s="55">
        <f>SUMIFS('Disbursements Summary'!$E:$E,'Disbursements Summary'!$C:$C,$C146,'Disbursements Summary'!$A:$A,"DED")</f>
        <v>0</v>
      </c>
      <c r="AR146" s="55">
        <f>SUMIFS('Awards Summary'!$H:$H,'Awards Summary'!$B:$B,$C146,'Awards Summary'!$J:$J,"DEC")</f>
        <v>0</v>
      </c>
      <c r="AS146" s="55">
        <f>SUMIFS('Disbursements Summary'!$E:$E,'Disbursements Summary'!$C:$C,$C146,'Disbursements Summary'!$A:$A,"DEC")</f>
        <v>0</v>
      </c>
      <c r="AT146" s="55">
        <f>SUMIFS('Awards Summary'!$H:$H,'Awards Summary'!$B:$B,$C146,'Awards Summary'!$J:$J,"DFS")</f>
        <v>0</v>
      </c>
      <c r="AU146" s="55">
        <f>SUMIFS('Disbursements Summary'!$E:$E,'Disbursements Summary'!$C:$C,$C146,'Disbursements Summary'!$A:$A,"DFS")</f>
        <v>0</v>
      </c>
      <c r="AV146" s="55">
        <f>SUMIFS('Awards Summary'!$H:$H,'Awards Summary'!$B:$B,$C146,'Awards Summary'!$J:$J,"DOH")</f>
        <v>0</v>
      </c>
      <c r="AW146" s="55">
        <f>SUMIFS('Disbursements Summary'!$E:$E,'Disbursements Summary'!$C:$C,$C146,'Disbursements Summary'!$A:$A,"DOH")</f>
        <v>0</v>
      </c>
      <c r="AX146" s="55">
        <f>SUMIFS('Awards Summary'!$H:$H,'Awards Summary'!$B:$B,$C146,'Awards Summary'!$J:$J,"DOL")</f>
        <v>0</v>
      </c>
      <c r="AY146" s="55">
        <f>SUMIFS('Disbursements Summary'!$E:$E,'Disbursements Summary'!$C:$C,$C146,'Disbursements Summary'!$A:$A,"DOL")</f>
        <v>0</v>
      </c>
      <c r="AZ146" s="55">
        <f>SUMIFS('Awards Summary'!$H:$H,'Awards Summary'!$B:$B,$C146,'Awards Summary'!$J:$J,"DMV")</f>
        <v>0</v>
      </c>
      <c r="BA146" s="55">
        <f>SUMIFS('Disbursements Summary'!$E:$E,'Disbursements Summary'!$C:$C,$C146,'Disbursements Summary'!$A:$A,"DMV")</f>
        <v>0</v>
      </c>
      <c r="BB146" s="55">
        <f>SUMIFS('Awards Summary'!$H:$H,'Awards Summary'!$B:$B,$C146,'Awards Summary'!$J:$J,"DPS")</f>
        <v>0</v>
      </c>
      <c r="BC146" s="55">
        <f>SUMIFS('Disbursements Summary'!$E:$E,'Disbursements Summary'!$C:$C,$C146,'Disbursements Summary'!$A:$A,"DPS")</f>
        <v>0</v>
      </c>
      <c r="BD146" s="55">
        <f>SUMIFS('Awards Summary'!$H:$H,'Awards Summary'!$B:$B,$C146,'Awards Summary'!$J:$J,"DOS")</f>
        <v>0</v>
      </c>
      <c r="BE146" s="55">
        <f>SUMIFS('Disbursements Summary'!$E:$E,'Disbursements Summary'!$C:$C,$C146,'Disbursements Summary'!$A:$A,"DOS")</f>
        <v>0</v>
      </c>
      <c r="BF146" s="55">
        <f>SUMIFS('Awards Summary'!$H:$H,'Awards Summary'!$B:$B,$C146,'Awards Summary'!$J:$J,"TAX")</f>
        <v>0</v>
      </c>
      <c r="BG146" s="55">
        <f>SUMIFS('Disbursements Summary'!$E:$E,'Disbursements Summary'!$C:$C,$C146,'Disbursements Summary'!$A:$A,"TAX")</f>
        <v>0</v>
      </c>
      <c r="BH146" s="55">
        <f>SUMIFS('Awards Summary'!$H:$H,'Awards Summary'!$B:$B,$C146,'Awards Summary'!$J:$J,"DOT")</f>
        <v>0</v>
      </c>
      <c r="BI146" s="55">
        <f>SUMIFS('Disbursements Summary'!$E:$E,'Disbursements Summary'!$C:$C,$C146,'Disbursements Summary'!$A:$A,"DOT")</f>
        <v>0</v>
      </c>
      <c r="BJ146" s="55">
        <f>SUMIFS('Awards Summary'!$H:$H,'Awards Summary'!$B:$B,$C146,'Awards Summary'!$J:$J,"DANC")</f>
        <v>0</v>
      </c>
      <c r="BK146" s="55">
        <f>SUMIFS('Disbursements Summary'!$E:$E,'Disbursements Summary'!$C:$C,$C146,'Disbursements Summary'!$A:$A,"DANC")</f>
        <v>0</v>
      </c>
      <c r="BL146" s="55">
        <f>SUMIFS('Awards Summary'!$H:$H,'Awards Summary'!$B:$B,$C146,'Awards Summary'!$J:$J,"DOB")</f>
        <v>0</v>
      </c>
      <c r="BM146" s="55">
        <f>SUMIFS('Disbursements Summary'!$E:$E,'Disbursements Summary'!$C:$C,$C146,'Disbursements Summary'!$A:$A,"DOB")</f>
        <v>0</v>
      </c>
      <c r="BN146" s="55">
        <f>SUMIFS('Awards Summary'!$H:$H,'Awards Summary'!$B:$B,$C146,'Awards Summary'!$J:$J,"DCJS")</f>
        <v>0</v>
      </c>
      <c r="BO146" s="55">
        <f>SUMIFS('Disbursements Summary'!$E:$E,'Disbursements Summary'!$C:$C,$C146,'Disbursements Summary'!$A:$A,"DCJS")</f>
        <v>0</v>
      </c>
      <c r="BP146" s="55">
        <f>SUMIFS('Awards Summary'!$H:$H,'Awards Summary'!$B:$B,$C146,'Awards Summary'!$J:$J,"DHSES")</f>
        <v>0</v>
      </c>
      <c r="BQ146" s="55">
        <f>SUMIFS('Disbursements Summary'!$E:$E,'Disbursements Summary'!$C:$C,$C146,'Disbursements Summary'!$A:$A,"DHSES")</f>
        <v>0</v>
      </c>
      <c r="BR146" s="55">
        <f>SUMIFS('Awards Summary'!$H:$H,'Awards Summary'!$B:$B,$C146,'Awards Summary'!$J:$J,"DHR")</f>
        <v>0</v>
      </c>
      <c r="BS146" s="55">
        <f>SUMIFS('Disbursements Summary'!$E:$E,'Disbursements Summary'!$C:$C,$C146,'Disbursements Summary'!$A:$A,"DHR")</f>
        <v>0</v>
      </c>
      <c r="BT146" s="55">
        <f>SUMIFS('Awards Summary'!$H:$H,'Awards Summary'!$B:$B,$C146,'Awards Summary'!$J:$J,"DMNA")</f>
        <v>0</v>
      </c>
      <c r="BU146" s="55">
        <f>SUMIFS('Disbursements Summary'!$E:$E,'Disbursements Summary'!$C:$C,$C146,'Disbursements Summary'!$A:$A,"DMNA")</f>
        <v>0</v>
      </c>
      <c r="BV146" s="55">
        <f>SUMIFS('Awards Summary'!$H:$H,'Awards Summary'!$B:$B,$C146,'Awards Summary'!$J:$J,"TROOPERS")</f>
        <v>0</v>
      </c>
      <c r="BW146" s="55">
        <f>SUMIFS('Disbursements Summary'!$E:$E,'Disbursements Summary'!$C:$C,$C146,'Disbursements Summary'!$A:$A,"TROOPERS")</f>
        <v>0</v>
      </c>
      <c r="BX146" s="55">
        <f>SUMIFS('Awards Summary'!$H:$H,'Awards Summary'!$B:$B,$C146,'Awards Summary'!$J:$J,"DVA")</f>
        <v>0</v>
      </c>
      <c r="BY146" s="55">
        <f>SUMIFS('Disbursements Summary'!$E:$E,'Disbursements Summary'!$C:$C,$C146,'Disbursements Summary'!$A:$A,"DVA")</f>
        <v>0</v>
      </c>
      <c r="BZ146" s="55">
        <f>SUMIFS('Awards Summary'!$H:$H,'Awards Summary'!$B:$B,$C146,'Awards Summary'!$J:$J,"DASNY")</f>
        <v>0</v>
      </c>
      <c r="CA146" s="55">
        <f>SUMIFS('Disbursements Summary'!$E:$E,'Disbursements Summary'!$C:$C,$C146,'Disbursements Summary'!$A:$A,"DASNY")</f>
        <v>0</v>
      </c>
      <c r="CB146" s="55">
        <f>SUMIFS('Awards Summary'!$H:$H,'Awards Summary'!$B:$B,$C146,'Awards Summary'!$J:$J,"EGG")</f>
        <v>0</v>
      </c>
      <c r="CC146" s="55">
        <f>SUMIFS('Disbursements Summary'!$E:$E,'Disbursements Summary'!$C:$C,$C146,'Disbursements Summary'!$A:$A,"EGG")</f>
        <v>0</v>
      </c>
      <c r="CD146" s="55">
        <f>SUMIFS('Awards Summary'!$H:$H,'Awards Summary'!$B:$B,$C146,'Awards Summary'!$J:$J,"ESD")</f>
        <v>0</v>
      </c>
      <c r="CE146" s="55">
        <f>SUMIFS('Disbursements Summary'!$E:$E,'Disbursements Summary'!$C:$C,$C146,'Disbursements Summary'!$A:$A,"ESD")</f>
        <v>0</v>
      </c>
      <c r="CF146" s="55">
        <f>SUMIFS('Awards Summary'!$H:$H,'Awards Summary'!$B:$B,$C146,'Awards Summary'!$J:$J,"EFC")</f>
        <v>0</v>
      </c>
      <c r="CG146" s="55">
        <f>SUMIFS('Disbursements Summary'!$E:$E,'Disbursements Summary'!$C:$C,$C146,'Disbursements Summary'!$A:$A,"EFC")</f>
        <v>0</v>
      </c>
      <c r="CH146" s="55">
        <f>SUMIFS('Awards Summary'!$H:$H,'Awards Summary'!$B:$B,$C146,'Awards Summary'!$J:$J,"ECFSA")</f>
        <v>0</v>
      </c>
      <c r="CI146" s="55">
        <f>SUMIFS('Disbursements Summary'!$E:$E,'Disbursements Summary'!$C:$C,$C146,'Disbursements Summary'!$A:$A,"ECFSA")</f>
        <v>0</v>
      </c>
      <c r="CJ146" s="55">
        <f>SUMIFS('Awards Summary'!$H:$H,'Awards Summary'!$B:$B,$C146,'Awards Summary'!$J:$J,"ECMC")</f>
        <v>0</v>
      </c>
      <c r="CK146" s="55">
        <f>SUMIFS('Disbursements Summary'!$E:$E,'Disbursements Summary'!$C:$C,$C146,'Disbursements Summary'!$A:$A,"ECMC")</f>
        <v>0</v>
      </c>
      <c r="CL146" s="55">
        <f>SUMIFS('Awards Summary'!$H:$H,'Awards Summary'!$B:$B,$C146,'Awards Summary'!$J:$J,"CHAMBER")</f>
        <v>0</v>
      </c>
      <c r="CM146" s="55">
        <f>SUMIFS('Disbursements Summary'!$E:$E,'Disbursements Summary'!$C:$C,$C146,'Disbursements Summary'!$A:$A,"CHAMBER")</f>
        <v>0</v>
      </c>
      <c r="CN146" s="55">
        <f>SUMIFS('Awards Summary'!$H:$H,'Awards Summary'!$B:$B,$C146,'Awards Summary'!$J:$J,"GAMING")</f>
        <v>0</v>
      </c>
      <c r="CO146" s="55">
        <f>SUMIFS('Disbursements Summary'!$E:$E,'Disbursements Summary'!$C:$C,$C146,'Disbursements Summary'!$A:$A,"GAMING")</f>
        <v>0</v>
      </c>
      <c r="CP146" s="55">
        <f>SUMIFS('Awards Summary'!$H:$H,'Awards Summary'!$B:$B,$C146,'Awards Summary'!$J:$J,"GOER")</f>
        <v>0</v>
      </c>
      <c r="CQ146" s="55">
        <f>SUMIFS('Disbursements Summary'!$E:$E,'Disbursements Summary'!$C:$C,$C146,'Disbursements Summary'!$A:$A,"GOER")</f>
        <v>0</v>
      </c>
      <c r="CR146" s="55">
        <f>SUMIFS('Awards Summary'!$H:$H,'Awards Summary'!$B:$B,$C146,'Awards Summary'!$J:$J,"HESC")</f>
        <v>0</v>
      </c>
      <c r="CS146" s="55">
        <f>SUMIFS('Disbursements Summary'!$E:$E,'Disbursements Summary'!$C:$C,$C146,'Disbursements Summary'!$A:$A,"HESC")</f>
        <v>0</v>
      </c>
      <c r="CT146" s="55">
        <f>SUMIFS('Awards Summary'!$H:$H,'Awards Summary'!$B:$B,$C146,'Awards Summary'!$J:$J,"GOSR")</f>
        <v>0</v>
      </c>
      <c r="CU146" s="55">
        <f>SUMIFS('Disbursements Summary'!$E:$E,'Disbursements Summary'!$C:$C,$C146,'Disbursements Summary'!$A:$A,"GOSR")</f>
        <v>0</v>
      </c>
      <c r="CV146" s="55">
        <f>SUMIFS('Awards Summary'!$H:$H,'Awards Summary'!$B:$B,$C146,'Awards Summary'!$J:$J,"HRPT")</f>
        <v>0</v>
      </c>
      <c r="CW146" s="55">
        <f>SUMIFS('Disbursements Summary'!$E:$E,'Disbursements Summary'!$C:$C,$C146,'Disbursements Summary'!$A:$A,"HRPT")</f>
        <v>0</v>
      </c>
      <c r="CX146" s="55">
        <f>SUMIFS('Awards Summary'!$H:$H,'Awards Summary'!$B:$B,$C146,'Awards Summary'!$J:$J,"HRBRRD")</f>
        <v>0</v>
      </c>
      <c r="CY146" s="55">
        <f>SUMIFS('Disbursements Summary'!$E:$E,'Disbursements Summary'!$C:$C,$C146,'Disbursements Summary'!$A:$A,"HRBRRD")</f>
        <v>0</v>
      </c>
      <c r="CZ146" s="55">
        <f>SUMIFS('Awards Summary'!$H:$H,'Awards Summary'!$B:$B,$C146,'Awards Summary'!$J:$J,"ITS")</f>
        <v>0</v>
      </c>
      <c r="DA146" s="55">
        <f>SUMIFS('Disbursements Summary'!$E:$E,'Disbursements Summary'!$C:$C,$C146,'Disbursements Summary'!$A:$A,"ITS")</f>
        <v>0</v>
      </c>
      <c r="DB146" s="55">
        <f>SUMIFS('Awards Summary'!$H:$H,'Awards Summary'!$B:$B,$C146,'Awards Summary'!$J:$J,"JAVITS")</f>
        <v>0</v>
      </c>
      <c r="DC146" s="55">
        <f>SUMIFS('Disbursements Summary'!$E:$E,'Disbursements Summary'!$C:$C,$C146,'Disbursements Summary'!$A:$A,"JAVITS")</f>
        <v>0</v>
      </c>
      <c r="DD146" s="55">
        <f>SUMIFS('Awards Summary'!$H:$H,'Awards Summary'!$B:$B,$C146,'Awards Summary'!$J:$J,"JCOPE")</f>
        <v>0</v>
      </c>
      <c r="DE146" s="55">
        <f>SUMIFS('Disbursements Summary'!$E:$E,'Disbursements Summary'!$C:$C,$C146,'Disbursements Summary'!$A:$A,"JCOPE")</f>
        <v>0</v>
      </c>
      <c r="DF146" s="55">
        <f>SUMIFS('Awards Summary'!$H:$H,'Awards Summary'!$B:$B,$C146,'Awards Summary'!$J:$J,"JUSTICE")</f>
        <v>0</v>
      </c>
      <c r="DG146" s="55">
        <f>SUMIFS('Disbursements Summary'!$E:$E,'Disbursements Summary'!$C:$C,$C146,'Disbursements Summary'!$A:$A,"JUSTICE")</f>
        <v>0</v>
      </c>
      <c r="DH146" s="55">
        <f>SUMIFS('Awards Summary'!$H:$H,'Awards Summary'!$B:$B,$C146,'Awards Summary'!$J:$J,"LCWSA")</f>
        <v>0</v>
      </c>
      <c r="DI146" s="55">
        <f>SUMIFS('Disbursements Summary'!$E:$E,'Disbursements Summary'!$C:$C,$C146,'Disbursements Summary'!$A:$A,"LCWSA")</f>
        <v>0</v>
      </c>
      <c r="DJ146" s="55">
        <f>SUMIFS('Awards Summary'!$H:$H,'Awards Summary'!$B:$B,$C146,'Awards Summary'!$J:$J,"LIPA")</f>
        <v>0</v>
      </c>
      <c r="DK146" s="55">
        <f>SUMIFS('Disbursements Summary'!$E:$E,'Disbursements Summary'!$C:$C,$C146,'Disbursements Summary'!$A:$A,"LIPA")</f>
        <v>0</v>
      </c>
      <c r="DL146" s="55">
        <f>SUMIFS('Awards Summary'!$H:$H,'Awards Summary'!$B:$B,$C146,'Awards Summary'!$J:$J,"MTA")</f>
        <v>0</v>
      </c>
      <c r="DM146" s="55">
        <f>SUMIFS('Disbursements Summary'!$E:$E,'Disbursements Summary'!$C:$C,$C146,'Disbursements Summary'!$A:$A,"MTA")</f>
        <v>0</v>
      </c>
      <c r="DN146" s="55">
        <f>SUMIFS('Awards Summary'!$H:$H,'Awards Summary'!$B:$B,$C146,'Awards Summary'!$J:$J,"NIFA")</f>
        <v>0</v>
      </c>
      <c r="DO146" s="55">
        <f>SUMIFS('Disbursements Summary'!$E:$E,'Disbursements Summary'!$C:$C,$C146,'Disbursements Summary'!$A:$A,"NIFA")</f>
        <v>0</v>
      </c>
      <c r="DP146" s="55">
        <f>SUMIFS('Awards Summary'!$H:$H,'Awards Summary'!$B:$B,$C146,'Awards Summary'!$J:$J,"NHCC")</f>
        <v>0</v>
      </c>
      <c r="DQ146" s="55">
        <f>SUMIFS('Disbursements Summary'!$E:$E,'Disbursements Summary'!$C:$C,$C146,'Disbursements Summary'!$A:$A,"NHCC")</f>
        <v>0</v>
      </c>
      <c r="DR146" s="55">
        <f>SUMIFS('Awards Summary'!$H:$H,'Awards Summary'!$B:$B,$C146,'Awards Summary'!$J:$J,"NHT")</f>
        <v>0</v>
      </c>
      <c r="DS146" s="55">
        <f>SUMIFS('Disbursements Summary'!$E:$E,'Disbursements Summary'!$C:$C,$C146,'Disbursements Summary'!$A:$A,"NHT")</f>
        <v>0</v>
      </c>
      <c r="DT146" s="55">
        <f>SUMIFS('Awards Summary'!$H:$H,'Awards Summary'!$B:$B,$C146,'Awards Summary'!$J:$J,"NYPA")</f>
        <v>0</v>
      </c>
      <c r="DU146" s="55">
        <f>SUMIFS('Disbursements Summary'!$E:$E,'Disbursements Summary'!$C:$C,$C146,'Disbursements Summary'!$A:$A,"NYPA")</f>
        <v>0</v>
      </c>
      <c r="DV146" s="55">
        <f>SUMIFS('Awards Summary'!$H:$H,'Awards Summary'!$B:$B,$C146,'Awards Summary'!$J:$J,"NYSBA")</f>
        <v>0</v>
      </c>
      <c r="DW146" s="55">
        <f>SUMIFS('Disbursements Summary'!$E:$E,'Disbursements Summary'!$C:$C,$C146,'Disbursements Summary'!$A:$A,"NYSBA")</f>
        <v>0</v>
      </c>
      <c r="DX146" s="55">
        <f>SUMIFS('Awards Summary'!$H:$H,'Awards Summary'!$B:$B,$C146,'Awards Summary'!$J:$J,"NYSERDA")</f>
        <v>0</v>
      </c>
      <c r="DY146" s="55">
        <f>SUMIFS('Disbursements Summary'!$E:$E,'Disbursements Summary'!$C:$C,$C146,'Disbursements Summary'!$A:$A,"NYSERDA")</f>
        <v>0</v>
      </c>
      <c r="DZ146" s="55">
        <f>SUMIFS('Awards Summary'!$H:$H,'Awards Summary'!$B:$B,$C146,'Awards Summary'!$J:$J,"DHCR")</f>
        <v>0</v>
      </c>
      <c r="EA146" s="55">
        <f>SUMIFS('Disbursements Summary'!$E:$E,'Disbursements Summary'!$C:$C,$C146,'Disbursements Summary'!$A:$A,"DHCR")</f>
        <v>0</v>
      </c>
      <c r="EB146" s="55">
        <f>SUMIFS('Awards Summary'!$H:$H,'Awards Summary'!$B:$B,$C146,'Awards Summary'!$J:$J,"HFA")</f>
        <v>0</v>
      </c>
      <c r="EC146" s="55">
        <f>SUMIFS('Disbursements Summary'!$E:$E,'Disbursements Summary'!$C:$C,$C146,'Disbursements Summary'!$A:$A,"HFA")</f>
        <v>0</v>
      </c>
      <c r="ED146" s="55">
        <f>SUMIFS('Awards Summary'!$H:$H,'Awards Summary'!$B:$B,$C146,'Awards Summary'!$J:$J,"NYSIF")</f>
        <v>0</v>
      </c>
      <c r="EE146" s="55">
        <f>SUMIFS('Disbursements Summary'!$E:$E,'Disbursements Summary'!$C:$C,$C146,'Disbursements Summary'!$A:$A,"NYSIF")</f>
        <v>0</v>
      </c>
      <c r="EF146" s="55">
        <f>SUMIFS('Awards Summary'!$H:$H,'Awards Summary'!$B:$B,$C146,'Awards Summary'!$J:$J,"NYBREDS")</f>
        <v>0</v>
      </c>
      <c r="EG146" s="55">
        <f>SUMIFS('Disbursements Summary'!$E:$E,'Disbursements Summary'!$C:$C,$C146,'Disbursements Summary'!$A:$A,"NYBREDS")</f>
        <v>0</v>
      </c>
      <c r="EH146" s="55">
        <f>SUMIFS('Awards Summary'!$H:$H,'Awards Summary'!$B:$B,$C146,'Awards Summary'!$J:$J,"NYSTA")</f>
        <v>0</v>
      </c>
      <c r="EI146" s="55">
        <f>SUMIFS('Disbursements Summary'!$E:$E,'Disbursements Summary'!$C:$C,$C146,'Disbursements Summary'!$A:$A,"NYSTA")</f>
        <v>0</v>
      </c>
      <c r="EJ146" s="55">
        <f>SUMIFS('Awards Summary'!$H:$H,'Awards Summary'!$B:$B,$C146,'Awards Summary'!$J:$J,"NFWB")</f>
        <v>0</v>
      </c>
      <c r="EK146" s="55">
        <f>SUMIFS('Disbursements Summary'!$E:$E,'Disbursements Summary'!$C:$C,$C146,'Disbursements Summary'!$A:$A,"NFWB")</f>
        <v>0</v>
      </c>
      <c r="EL146" s="55">
        <f>SUMIFS('Awards Summary'!$H:$H,'Awards Summary'!$B:$B,$C146,'Awards Summary'!$J:$J,"NFTA")</f>
        <v>0</v>
      </c>
      <c r="EM146" s="55">
        <f>SUMIFS('Disbursements Summary'!$E:$E,'Disbursements Summary'!$C:$C,$C146,'Disbursements Summary'!$A:$A,"NFTA")</f>
        <v>0</v>
      </c>
      <c r="EN146" s="55">
        <f>SUMIFS('Awards Summary'!$H:$H,'Awards Summary'!$B:$B,$C146,'Awards Summary'!$J:$J,"OPWDD")</f>
        <v>0</v>
      </c>
      <c r="EO146" s="55">
        <f>SUMIFS('Disbursements Summary'!$E:$E,'Disbursements Summary'!$C:$C,$C146,'Disbursements Summary'!$A:$A,"OPWDD")</f>
        <v>0</v>
      </c>
      <c r="EP146" s="55">
        <f>SUMIFS('Awards Summary'!$H:$H,'Awards Summary'!$B:$B,$C146,'Awards Summary'!$J:$J,"AGING")</f>
        <v>0</v>
      </c>
      <c r="EQ146" s="55">
        <f>SUMIFS('Disbursements Summary'!$E:$E,'Disbursements Summary'!$C:$C,$C146,'Disbursements Summary'!$A:$A,"AGING")</f>
        <v>0</v>
      </c>
      <c r="ER146" s="55">
        <f>SUMIFS('Awards Summary'!$H:$H,'Awards Summary'!$B:$B,$C146,'Awards Summary'!$J:$J,"OPDV")</f>
        <v>0</v>
      </c>
      <c r="ES146" s="55">
        <f>SUMIFS('Disbursements Summary'!$E:$E,'Disbursements Summary'!$C:$C,$C146,'Disbursements Summary'!$A:$A,"OPDV")</f>
        <v>0</v>
      </c>
      <c r="ET146" s="55">
        <f>SUMIFS('Awards Summary'!$H:$H,'Awards Summary'!$B:$B,$C146,'Awards Summary'!$J:$J,"OVS")</f>
        <v>0</v>
      </c>
      <c r="EU146" s="55">
        <f>SUMIFS('Disbursements Summary'!$E:$E,'Disbursements Summary'!$C:$C,$C146,'Disbursements Summary'!$A:$A,"OVS")</f>
        <v>0</v>
      </c>
      <c r="EV146" s="55">
        <f>SUMIFS('Awards Summary'!$H:$H,'Awards Summary'!$B:$B,$C146,'Awards Summary'!$J:$J,"OASAS")</f>
        <v>0</v>
      </c>
      <c r="EW146" s="55">
        <f>SUMIFS('Disbursements Summary'!$E:$E,'Disbursements Summary'!$C:$C,$C146,'Disbursements Summary'!$A:$A,"OASAS")</f>
        <v>0</v>
      </c>
      <c r="EX146" s="55">
        <f>SUMIFS('Awards Summary'!$H:$H,'Awards Summary'!$B:$B,$C146,'Awards Summary'!$J:$J,"OCFS")</f>
        <v>0</v>
      </c>
      <c r="EY146" s="55">
        <f>SUMIFS('Disbursements Summary'!$E:$E,'Disbursements Summary'!$C:$C,$C146,'Disbursements Summary'!$A:$A,"OCFS")</f>
        <v>0</v>
      </c>
      <c r="EZ146" s="55">
        <f>SUMIFS('Awards Summary'!$H:$H,'Awards Summary'!$B:$B,$C146,'Awards Summary'!$J:$J,"OGS")</f>
        <v>0</v>
      </c>
      <c r="FA146" s="55">
        <f>SUMIFS('Disbursements Summary'!$E:$E,'Disbursements Summary'!$C:$C,$C146,'Disbursements Summary'!$A:$A,"OGS")</f>
        <v>0</v>
      </c>
      <c r="FB146" s="55">
        <f>SUMIFS('Awards Summary'!$H:$H,'Awards Summary'!$B:$B,$C146,'Awards Summary'!$J:$J,"OMH")</f>
        <v>0</v>
      </c>
      <c r="FC146" s="55">
        <f>SUMIFS('Disbursements Summary'!$E:$E,'Disbursements Summary'!$C:$C,$C146,'Disbursements Summary'!$A:$A,"OMH")</f>
        <v>0</v>
      </c>
      <c r="FD146" s="55">
        <f>SUMIFS('Awards Summary'!$H:$H,'Awards Summary'!$B:$B,$C146,'Awards Summary'!$J:$J,"PARKS")</f>
        <v>0</v>
      </c>
      <c r="FE146" s="55">
        <f>SUMIFS('Disbursements Summary'!$E:$E,'Disbursements Summary'!$C:$C,$C146,'Disbursements Summary'!$A:$A,"PARKS")</f>
        <v>0</v>
      </c>
      <c r="FF146" s="55">
        <f>SUMIFS('Awards Summary'!$H:$H,'Awards Summary'!$B:$B,$C146,'Awards Summary'!$J:$J,"OTDA")</f>
        <v>0</v>
      </c>
      <c r="FG146" s="55">
        <f>SUMIFS('Disbursements Summary'!$E:$E,'Disbursements Summary'!$C:$C,$C146,'Disbursements Summary'!$A:$A,"OTDA")</f>
        <v>0</v>
      </c>
      <c r="FH146" s="55">
        <f>SUMIFS('Awards Summary'!$H:$H,'Awards Summary'!$B:$B,$C146,'Awards Summary'!$J:$J,"OIG")</f>
        <v>0</v>
      </c>
      <c r="FI146" s="55">
        <f>SUMIFS('Disbursements Summary'!$E:$E,'Disbursements Summary'!$C:$C,$C146,'Disbursements Summary'!$A:$A,"OIG")</f>
        <v>0</v>
      </c>
      <c r="FJ146" s="55">
        <f>SUMIFS('Awards Summary'!$H:$H,'Awards Summary'!$B:$B,$C146,'Awards Summary'!$J:$J,"OMIG")</f>
        <v>0</v>
      </c>
      <c r="FK146" s="55">
        <f>SUMIFS('Disbursements Summary'!$E:$E,'Disbursements Summary'!$C:$C,$C146,'Disbursements Summary'!$A:$A,"OMIG")</f>
        <v>0</v>
      </c>
      <c r="FL146" s="55">
        <f>SUMIFS('Awards Summary'!$H:$H,'Awards Summary'!$B:$B,$C146,'Awards Summary'!$J:$J,"OSC")</f>
        <v>0</v>
      </c>
      <c r="FM146" s="55">
        <f>SUMIFS('Disbursements Summary'!$E:$E,'Disbursements Summary'!$C:$C,$C146,'Disbursements Summary'!$A:$A,"OSC")</f>
        <v>0</v>
      </c>
      <c r="FN146" s="55">
        <f>SUMIFS('Awards Summary'!$H:$H,'Awards Summary'!$B:$B,$C146,'Awards Summary'!$J:$J,"OWIG")</f>
        <v>0</v>
      </c>
      <c r="FO146" s="55">
        <f>SUMIFS('Disbursements Summary'!$E:$E,'Disbursements Summary'!$C:$C,$C146,'Disbursements Summary'!$A:$A,"OWIG")</f>
        <v>0</v>
      </c>
      <c r="FP146" s="55">
        <f>SUMIFS('Awards Summary'!$H:$H,'Awards Summary'!$B:$B,$C146,'Awards Summary'!$J:$J,"OGDEN")</f>
        <v>0</v>
      </c>
      <c r="FQ146" s="55">
        <f>SUMIFS('Disbursements Summary'!$E:$E,'Disbursements Summary'!$C:$C,$C146,'Disbursements Summary'!$A:$A,"OGDEN")</f>
        <v>0</v>
      </c>
      <c r="FR146" s="55">
        <f>SUMIFS('Awards Summary'!$H:$H,'Awards Summary'!$B:$B,$C146,'Awards Summary'!$J:$J,"ORDA")</f>
        <v>0</v>
      </c>
      <c r="FS146" s="55">
        <f>SUMIFS('Disbursements Summary'!$E:$E,'Disbursements Summary'!$C:$C,$C146,'Disbursements Summary'!$A:$A,"ORDA")</f>
        <v>0</v>
      </c>
      <c r="FT146" s="55">
        <f>SUMIFS('Awards Summary'!$H:$H,'Awards Summary'!$B:$B,$C146,'Awards Summary'!$J:$J,"OSWEGO")</f>
        <v>0</v>
      </c>
      <c r="FU146" s="55">
        <f>SUMIFS('Disbursements Summary'!$E:$E,'Disbursements Summary'!$C:$C,$C146,'Disbursements Summary'!$A:$A,"OSWEGO")</f>
        <v>0</v>
      </c>
      <c r="FV146" s="55">
        <f>SUMIFS('Awards Summary'!$H:$H,'Awards Summary'!$B:$B,$C146,'Awards Summary'!$J:$J,"PERB")</f>
        <v>0</v>
      </c>
      <c r="FW146" s="55">
        <f>SUMIFS('Disbursements Summary'!$E:$E,'Disbursements Summary'!$C:$C,$C146,'Disbursements Summary'!$A:$A,"PERB")</f>
        <v>0</v>
      </c>
      <c r="FX146" s="55">
        <f>SUMIFS('Awards Summary'!$H:$H,'Awards Summary'!$B:$B,$C146,'Awards Summary'!$J:$J,"RGRTA")</f>
        <v>0</v>
      </c>
      <c r="FY146" s="55">
        <f>SUMIFS('Disbursements Summary'!$E:$E,'Disbursements Summary'!$C:$C,$C146,'Disbursements Summary'!$A:$A,"RGRTA")</f>
        <v>0</v>
      </c>
      <c r="FZ146" s="55">
        <f>SUMIFS('Awards Summary'!$H:$H,'Awards Summary'!$B:$B,$C146,'Awards Summary'!$J:$J,"RIOC")</f>
        <v>0</v>
      </c>
      <c r="GA146" s="55">
        <f>SUMIFS('Disbursements Summary'!$E:$E,'Disbursements Summary'!$C:$C,$C146,'Disbursements Summary'!$A:$A,"RIOC")</f>
        <v>0</v>
      </c>
      <c r="GB146" s="55">
        <f>SUMIFS('Awards Summary'!$H:$H,'Awards Summary'!$B:$B,$C146,'Awards Summary'!$J:$J,"RPCI")</f>
        <v>0</v>
      </c>
      <c r="GC146" s="55">
        <f>SUMIFS('Disbursements Summary'!$E:$E,'Disbursements Summary'!$C:$C,$C146,'Disbursements Summary'!$A:$A,"RPCI")</f>
        <v>0</v>
      </c>
      <c r="GD146" s="55">
        <f>SUMIFS('Awards Summary'!$H:$H,'Awards Summary'!$B:$B,$C146,'Awards Summary'!$J:$J,"SMDA")</f>
        <v>0</v>
      </c>
      <c r="GE146" s="55">
        <f>SUMIFS('Disbursements Summary'!$E:$E,'Disbursements Summary'!$C:$C,$C146,'Disbursements Summary'!$A:$A,"SMDA")</f>
        <v>0</v>
      </c>
      <c r="GF146" s="55">
        <f>SUMIFS('Awards Summary'!$H:$H,'Awards Summary'!$B:$B,$C146,'Awards Summary'!$J:$J,"SCOC")</f>
        <v>0</v>
      </c>
      <c r="GG146" s="55">
        <f>SUMIFS('Disbursements Summary'!$E:$E,'Disbursements Summary'!$C:$C,$C146,'Disbursements Summary'!$A:$A,"SCOC")</f>
        <v>0</v>
      </c>
      <c r="GH146" s="55">
        <f>SUMIFS('Awards Summary'!$H:$H,'Awards Summary'!$B:$B,$C146,'Awards Summary'!$J:$J,"SUCF")</f>
        <v>0</v>
      </c>
      <c r="GI146" s="55">
        <f>SUMIFS('Disbursements Summary'!$E:$E,'Disbursements Summary'!$C:$C,$C146,'Disbursements Summary'!$A:$A,"SUCF")</f>
        <v>0</v>
      </c>
      <c r="GJ146" s="55">
        <f>SUMIFS('Awards Summary'!$H:$H,'Awards Summary'!$B:$B,$C146,'Awards Summary'!$J:$J,"SUNY")</f>
        <v>0</v>
      </c>
      <c r="GK146" s="55">
        <f>SUMIFS('Disbursements Summary'!$E:$E,'Disbursements Summary'!$C:$C,$C146,'Disbursements Summary'!$A:$A,"SUNY")</f>
        <v>0</v>
      </c>
      <c r="GL146" s="55">
        <f>SUMIFS('Awards Summary'!$H:$H,'Awards Summary'!$B:$B,$C146,'Awards Summary'!$J:$J,"SRAA")</f>
        <v>0</v>
      </c>
      <c r="GM146" s="55">
        <f>SUMIFS('Disbursements Summary'!$E:$E,'Disbursements Summary'!$C:$C,$C146,'Disbursements Summary'!$A:$A,"SRAA")</f>
        <v>0</v>
      </c>
      <c r="GN146" s="55">
        <f>SUMIFS('Awards Summary'!$H:$H,'Awards Summary'!$B:$B,$C146,'Awards Summary'!$J:$J,"UNDC")</f>
        <v>0</v>
      </c>
      <c r="GO146" s="55">
        <f>SUMIFS('Disbursements Summary'!$E:$E,'Disbursements Summary'!$C:$C,$C146,'Disbursements Summary'!$A:$A,"UNDC")</f>
        <v>0</v>
      </c>
      <c r="GP146" s="55">
        <f>SUMIFS('Awards Summary'!$H:$H,'Awards Summary'!$B:$B,$C146,'Awards Summary'!$J:$J,"MVWA")</f>
        <v>0</v>
      </c>
      <c r="GQ146" s="55">
        <f>SUMIFS('Disbursements Summary'!$E:$E,'Disbursements Summary'!$C:$C,$C146,'Disbursements Summary'!$A:$A,"MVWA")</f>
        <v>0</v>
      </c>
      <c r="GR146" s="55">
        <f>SUMIFS('Awards Summary'!$H:$H,'Awards Summary'!$B:$B,$C146,'Awards Summary'!$J:$J,"WMC")</f>
        <v>0</v>
      </c>
      <c r="GS146" s="55">
        <f>SUMIFS('Disbursements Summary'!$E:$E,'Disbursements Summary'!$C:$C,$C146,'Disbursements Summary'!$A:$A,"WMC")</f>
        <v>0</v>
      </c>
      <c r="GT146" s="55">
        <f>SUMIFS('Awards Summary'!$H:$H,'Awards Summary'!$B:$B,$C146,'Awards Summary'!$J:$J,"WCB")</f>
        <v>0</v>
      </c>
      <c r="GU146" s="55">
        <f>SUMIFS('Disbursements Summary'!$E:$E,'Disbursements Summary'!$C:$C,$C146,'Disbursements Summary'!$A:$A,"WCB")</f>
        <v>0</v>
      </c>
      <c r="GV146" s="32">
        <f t="shared" si="10"/>
        <v>0</v>
      </c>
      <c r="GW146" s="32">
        <f t="shared" si="11"/>
        <v>0</v>
      </c>
      <c r="GX146" s="30" t="b">
        <f t="shared" si="12"/>
        <v>1</v>
      </c>
      <c r="GY146" s="30" t="b">
        <f t="shared" si="13"/>
        <v>1</v>
      </c>
    </row>
    <row r="147" spans="1:207" s="61" customFormat="1">
      <c r="A147" s="22" t="str">
        <f t="shared" si="14"/>
        <v/>
      </c>
      <c r="B147" s="70" t="s">
        <v>470</v>
      </c>
      <c r="C147" s="71">
        <v>171419</v>
      </c>
      <c r="D147" s="66">
        <f>COUNTIF('Awards Summary'!B:B,"171419")</f>
        <v>0</v>
      </c>
      <c r="E147" s="67">
        <f>SUMIFS('Awards Summary'!H:H,'Awards Summary'!B:B,"171419")</f>
        <v>0</v>
      </c>
      <c r="F147" s="68">
        <f>SUMIFS('Disbursements Summary'!E:E,'Disbursements Summary'!C:C, "171419")</f>
        <v>0</v>
      </c>
      <c r="H147" s="55">
        <f>SUMIFS('Awards Summary'!$H:$H,'Awards Summary'!$B:$B,$C147,'Awards Summary'!$J:$J,"APA")</f>
        <v>0</v>
      </c>
      <c r="I147" s="55">
        <f>SUMIFS('Disbursements Summary'!$E:$E,'Disbursements Summary'!$C:$C,$C147,'Disbursements Summary'!$A:$A,"APA")</f>
        <v>0</v>
      </c>
      <c r="J147" s="55">
        <f>SUMIFS('Awards Summary'!$H:$H,'Awards Summary'!$B:$B,$C147,'Awards Summary'!$J:$J,"Ag&amp;Horse")</f>
        <v>0</v>
      </c>
      <c r="K147" s="55">
        <f>SUMIFS('Disbursements Summary'!$E:$E,'Disbursements Summary'!$C:$C,$C147,'Disbursements Summary'!$A:$A,"Ag&amp;Horse")</f>
        <v>0</v>
      </c>
      <c r="L147" s="55">
        <f>SUMIFS('Awards Summary'!$H:$H,'Awards Summary'!$B:$B,$C147,'Awards Summary'!$J:$J,"ACAA")</f>
        <v>0</v>
      </c>
      <c r="M147" s="55">
        <f>SUMIFS('Disbursements Summary'!$E:$E,'Disbursements Summary'!$C:$C,$C147,'Disbursements Summary'!$A:$A,"ACAA")</f>
        <v>0</v>
      </c>
      <c r="N147" s="55">
        <f>SUMIFS('Awards Summary'!$H:$H,'Awards Summary'!$B:$B,$C147,'Awards Summary'!$J:$J,"PortAlbany")</f>
        <v>0</v>
      </c>
      <c r="O147" s="55">
        <f>SUMIFS('Disbursements Summary'!$E:$E,'Disbursements Summary'!$C:$C,$C147,'Disbursements Summary'!$A:$A,"PortAlbany")</f>
        <v>0</v>
      </c>
      <c r="P147" s="55">
        <f>SUMIFS('Awards Summary'!$H:$H,'Awards Summary'!$B:$B,$C147,'Awards Summary'!$J:$J,"SLA")</f>
        <v>0</v>
      </c>
      <c r="Q147" s="55">
        <f>SUMIFS('Disbursements Summary'!$E:$E,'Disbursements Summary'!$C:$C,$C147,'Disbursements Summary'!$A:$A,"SLA")</f>
        <v>0</v>
      </c>
      <c r="R147" s="55">
        <f>SUMIFS('Awards Summary'!$H:$H,'Awards Summary'!$B:$B,$C147,'Awards Summary'!$J:$J,"BPCA")</f>
        <v>0</v>
      </c>
      <c r="S147" s="55">
        <f>SUMIFS('Disbursements Summary'!$E:$E,'Disbursements Summary'!$C:$C,$C147,'Disbursements Summary'!$A:$A,"BPCA")</f>
        <v>0</v>
      </c>
      <c r="T147" s="55">
        <f>SUMIFS('Awards Summary'!$H:$H,'Awards Summary'!$B:$B,$C147,'Awards Summary'!$J:$J,"ELECTIONS")</f>
        <v>0</v>
      </c>
      <c r="U147" s="55">
        <f>SUMIFS('Disbursements Summary'!$E:$E,'Disbursements Summary'!$C:$C,$C147,'Disbursements Summary'!$A:$A,"ELECTIONS")</f>
        <v>0</v>
      </c>
      <c r="V147" s="55">
        <f>SUMIFS('Awards Summary'!$H:$H,'Awards Summary'!$B:$B,$C147,'Awards Summary'!$J:$J,"BFSA")</f>
        <v>0</v>
      </c>
      <c r="W147" s="55">
        <f>SUMIFS('Disbursements Summary'!$E:$E,'Disbursements Summary'!$C:$C,$C147,'Disbursements Summary'!$A:$A,"BFSA")</f>
        <v>0</v>
      </c>
      <c r="X147" s="55">
        <f>SUMIFS('Awards Summary'!$H:$H,'Awards Summary'!$B:$B,$C147,'Awards Summary'!$J:$J,"CDTA")</f>
        <v>0</v>
      </c>
      <c r="Y147" s="55">
        <f>SUMIFS('Disbursements Summary'!$E:$E,'Disbursements Summary'!$C:$C,$C147,'Disbursements Summary'!$A:$A,"CDTA")</f>
        <v>0</v>
      </c>
      <c r="Z147" s="55">
        <f>SUMIFS('Awards Summary'!$H:$H,'Awards Summary'!$B:$B,$C147,'Awards Summary'!$J:$J,"CCWSA")</f>
        <v>0</v>
      </c>
      <c r="AA147" s="55">
        <f>SUMIFS('Disbursements Summary'!$E:$E,'Disbursements Summary'!$C:$C,$C147,'Disbursements Summary'!$A:$A,"CCWSA")</f>
        <v>0</v>
      </c>
      <c r="AB147" s="55">
        <f>SUMIFS('Awards Summary'!$H:$H,'Awards Summary'!$B:$B,$C147,'Awards Summary'!$J:$J,"CNYRTA")</f>
        <v>0</v>
      </c>
      <c r="AC147" s="55">
        <f>SUMIFS('Disbursements Summary'!$E:$E,'Disbursements Summary'!$C:$C,$C147,'Disbursements Summary'!$A:$A,"CNYRTA")</f>
        <v>0</v>
      </c>
      <c r="AD147" s="55">
        <f>SUMIFS('Awards Summary'!$H:$H,'Awards Summary'!$B:$B,$C147,'Awards Summary'!$J:$J,"CUCF")</f>
        <v>0</v>
      </c>
      <c r="AE147" s="55">
        <f>SUMIFS('Disbursements Summary'!$E:$E,'Disbursements Summary'!$C:$C,$C147,'Disbursements Summary'!$A:$A,"CUCF")</f>
        <v>0</v>
      </c>
      <c r="AF147" s="55">
        <f>SUMIFS('Awards Summary'!$H:$H,'Awards Summary'!$B:$B,$C147,'Awards Summary'!$J:$J,"CUNY")</f>
        <v>0</v>
      </c>
      <c r="AG147" s="55">
        <f>SUMIFS('Disbursements Summary'!$E:$E,'Disbursements Summary'!$C:$C,$C147,'Disbursements Summary'!$A:$A,"CUNY")</f>
        <v>0</v>
      </c>
      <c r="AH147" s="55">
        <f>SUMIFS('Awards Summary'!$H:$H,'Awards Summary'!$B:$B,$C147,'Awards Summary'!$J:$J,"ARTS")</f>
        <v>0</v>
      </c>
      <c r="AI147" s="55">
        <f>SUMIFS('Disbursements Summary'!$E:$E,'Disbursements Summary'!$C:$C,$C147,'Disbursements Summary'!$A:$A,"ARTS")</f>
        <v>0</v>
      </c>
      <c r="AJ147" s="55">
        <f>SUMIFS('Awards Summary'!$H:$H,'Awards Summary'!$B:$B,$C147,'Awards Summary'!$J:$J,"AG&amp;MKTS")</f>
        <v>0</v>
      </c>
      <c r="AK147" s="55">
        <f>SUMIFS('Disbursements Summary'!$E:$E,'Disbursements Summary'!$C:$C,$C147,'Disbursements Summary'!$A:$A,"AG&amp;MKTS")</f>
        <v>0</v>
      </c>
      <c r="AL147" s="55">
        <f>SUMIFS('Awards Summary'!$H:$H,'Awards Summary'!$B:$B,$C147,'Awards Summary'!$J:$J,"CS")</f>
        <v>0</v>
      </c>
      <c r="AM147" s="55">
        <f>SUMIFS('Disbursements Summary'!$E:$E,'Disbursements Summary'!$C:$C,$C147,'Disbursements Summary'!$A:$A,"CS")</f>
        <v>0</v>
      </c>
      <c r="AN147" s="55">
        <f>SUMIFS('Awards Summary'!$H:$H,'Awards Summary'!$B:$B,$C147,'Awards Summary'!$J:$J,"DOCCS")</f>
        <v>0</v>
      </c>
      <c r="AO147" s="55">
        <f>SUMIFS('Disbursements Summary'!$E:$E,'Disbursements Summary'!$C:$C,$C147,'Disbursements Summary'!$A:$A,"DOCCS")</f>
        <v>0</v>
      </c>
      <c r="AP147" s="55">
        <f>SUMIFS('Awards Summary'!$H:$H,'Awards Summary'!$B:$B,$C147,'Awards Summary'!$J:$J,"DED")</f>
        <v>0</v>
      </c>
      <c r="AQ147" s="55">
        <f>SUMIFS('Disbursements Summary'!$E:$E,'Disbursements Summary'!$C:$C,$C147,'Disbursements Summary'!$A:$A,"DED")</f>
        <v>0</v>
      </c>
      <c r="AR147" s="55">
        <f>SUMIFS('Awards Summary'!$H:$H,'Awards Summary'!$B:$B,$C147,'Awards Summary'!$J:$J,"DEC")</f>
        <v>0</v>
      </c>
      <c r="AS147" s="55">
        <f>SUMIFS('Disbursements Summary'!$E:$E,'Disbursements Summary'!$C:$C,$C147,'Disbursements Summary'!$A:$A,"DEC")</f>
        <v>0</v>
      </c>
      <c r="AT147" s="55">
        <f>SUMIFS('Awards Summary'!$H:$H,'Awards Summary'!$B:$B,$C147,'Awards Summary'!$J:$J,"DFS")</f>
        <v>0</v>
      </c>
      <c r="AU147" s="55">
        <f>SUMIFS('Disbursements Summary'!$E:$E,'Disbursements Summary'!$C:$C,$C147,'Disbursements Summary'!$A:$A,"DFS")</f>
        <v>0</v>
      </c>
      <c r="AV147" s="55">
        <f>SUMIFS('Awards Summary'!$H:$H,'Awards Summary'!$B:$B,$C147,'Awards Summary'!$J:$J,"DOH")</f>
        <v>0</v>
      </c>
      <c r="AW147" s="55">
        <f>SUMIFS('Disbursements Summary'!$E:$E,'Disbursements Summary'!$C:$C,$C147,'Disbursements Summary'!$A:$A,"DOH")</f>
        <v>0</v>
      </c>
      <c r="AX147" s="55">
        <f>SUMIFS('Awards Summary'!$H:$H,'Awards Summary'!$B:$B,$C147,'Awards Summary'!$J:$J,"DOL")</f>
        <v>0</v>
      </c>
      <c r="AY147" s="55">
        <f>SUMIFS('Disbursements Summary'!$E:$E,'Disbursements Summary'!$C:$C,$C147,'Disbursements Summary'!$A:$A,"DOL")</f>
        <v>0</v>
      </c>
      <c r="AZ147" s="55">
        <f>SUMIFS('Awards Summary'!$H:$H,'Awards Summary'!$B:$B,$C147,'Awards Summary'!$J:$J,"DMV")</f>
        <v>0</v>
      </c>
      <c r="BA147" s="55">
        <f>SUMIFS('Disbursements Summary'!$E:$E,'Disbursements Summary'!$C:$C,$C147,'Disbursements Summary'!$A:$A,"DMV")</f>
        <v>0</v>
      </c>
      <c r="BB147" s="55">
        <f>SUMIFS('Awards Summary'!$H:$H,'Awards Summary'!$B:$B,$C147,'Awards Summary'!$J:$J,"DPS")</f>
        <v>0</v>
      </c>
      <c r="BC147" s="55">
        <f>SUMIFS('Disbursements Summary'!$E:$E,'Disbursements Summary'!$C:$C,$C147,'Disbursements Summary'!$A:$A,"DPS")</f>
        <v>0</v>
      </c>
      <c r="BD147" s="55">
        <f>SUMIFS('Awards Summary'!$H:$H,'Awards Summary'!$B:$B,$C147,'Awards Summary'!$J:$J,"DOS")</f>
        <v>0</v>
      </c>
      <c r="BE147" s="55">
        <f>SUMIFS('Disbursements Summary'!$E:$E,'Disbursements Summary'!$C:$C,$C147,'Disbursements Summary'!$A:$A,"DOS")</f>
        <v>0</v>
      </c>
      <c r="BF147" s="55">
        <f>SUMIFS('Awards Summary'!$H:$H,'Awards Summary'!$B:$B,$C147,'Awards Summary'!$J:$J,"TAX")</f>
        <v>0</v>
      </c>
      <c r="BG147" s="55">
        <f>SUMIFS('Disbursements Summary'!$E:$E,'Disbursements Summary'!$C:$C,$C147,'Disbursements Summary'!$A:$A,"TAX")</f>
        <v>0</v>
      </c>
      <c r="BH147" s="55">
        <f>SUMIFS('Awards Summary'!$H:$H,'Awards Summary'!$B:$B,$C147,'Awards Summary'!$J:$J,"DOT")</f>
        <v>0</v>
      </c>
      <c r="BI147" s="55">
        <f>SUMIFS('Disbursements Summary'!$E:$E,'Disbursements Summary'!$C:$C,$C147,'Disbursements Summary'!$A:$A,"DOT")</f>
        <v>0</v>
      </c>
      <c r="BJ147" s="55">
        <f>SUMIFS('Awards Summary'!$H:$H,'Awards Summary'!$B:$B,$C147,'Awards Summary'!$J:$J,"DANC")</f>
        <v>0</v>
      </c>
      <c r="BK147" s="55">
        <f>SUMIFS('Disbursements Summary'!$E:$E,'Disbursements Summary'!$C:$C,$C147,'Disbursements Summary'!$A:$A,"DANC")</f>
        <v>0</v>
      </c>
      <c r="BL147" s="55">
        <f>SUMIFS('Awards Summary'!$H:$H,'Awards Summary'!$B:$B,$C147,'Awards Summary'!$J:$J,"DOB")</f>
        <v>0</v>
      </c>
      <c r="BM147" s="55">
        <f>SUMIFS('Disbursements Summary'!$E:$E,'Disbursements Summary'!$C:$C,$C147,'Disbursements Summary'!$A:$A,"DOB")</f>
        <v>0</v>
      </c>
      <c r="BN147" s="55">
        <f>SUMIFS('Awards Summary'!$H:$H,'Awards Summary'!$B:$B,$C147,'Awards Summary'!$J:$J,"DCJS")</f>
        <v>0</v>
      </c>
      <c r="BO147" s="55">
        <f>SUMIFS('Disbursements Summary'!$E:$E,'Disbursements Summary'!$C:$C,$C147,'Disbursements Summary'!$A:$A,"DCJS")</f>
        <v>0</v>
      </c>
      <c r="BP147" s="55">
        <f>SUMIFS('Awards Summary'!$H:$H,'Awards Summary'!$B:$B,$C147,'Awards Summary'!$J:$J,"DHSES")</f>
        <v>0</v>
      </c>
      <c r="BQ147" s="55">
        <f>SUMIFS('Disbursements Summary'!$E:$E,'Disbursements Summary'!$C:$C,$C147,'Disbursements Summary'!$A:$A,"DHSES")</f>
        <v>0</v>
      </c>
      <c r="BR147" s="55">
        <f>SUMIFS('Awards Summary'!$H:$H,'Awards Summary'!$B:$B,$C147,'Awards Summary'!$J:$J,"DHR")</f>
        <v>0</v>
      </c>
      <c r="BS147" s="55">
        <f>SUMIFS('Disbursements Summary'!$E:$E,'Disbursements Summary'!$C:$C,$C147,'Disbursements Summary'!$A:$A,"DHR")</f>
        <v>0</v>
      </c>
      <c r="BT147" s="55">
        <f>SUMIFS('Awards Summary'!$H:$H,'Awards Summary'!$B:$B,$C147,'Awards Summary'!$J:$J,"DMNA")</f>
        <v>0</v>
      </c>
      <c r="BU147" s="55">
        <f>SUMIFS('Disbursements Summary'!$E:$E,'Disbursements Summary'!$C:$C,$C147,'Disbursements Summary'!$A:$A,"DMNA")</f>
        <v>0</v>
      </c>
      <c r="BV147" s="55">
        <f>SUMIFS('Awards Summary'!$H:$H,'Awards Summary'!$B:$B,$C147,'Awards Summary'!$J:$J,"TROOPERS")</f>
        <v>0</v>
      </c>
      <c r="BW147" s="55">
        <f>SUMIFS('Disbursements Summary'!$E:$E,'Disbursements Summary'!$C:$C,$C147,'Disbursements Summary'!$A:$A,"TROOPERS")</f>
        <v>0</v>
      </c>
      <c r="BX147" s="55">
        <f>SUMIFS('Awards Summary'!$H:$H,'Awards Summary'!$B:$B,$C147,'Awards Summary'!$J:$J,"DVA")</f>
        <v>0</v>
      </c>
      <c r="BY147" s="55">
        <f>SUMIFS('Disbursements Summary'!$E:$E,'Disbursements Summary'!$C:$C,$C147,'Disbursements Summary'!$A:$A,"DVA")</f>
        <v>0</v>
      </c>
      <c r="BZ147" s="55">
        <f>SUMIFS('Awards Summary'!$H:$H,'Awards Summary'!$B:$B,$C147,'Awards Summary'!$J:$J,"DASNY")</f>
        <v>0</v>
      </c>
      <c r="CA147" s="55">
        <f>SUMIFS('Disbursements Summary'!$E:$E,'Disbursements Summary'!$C:$C,$C147,'Disbursements Summary'!$A:$A,"DASNY")</f>
        <v>0</v>
      </c>
      <c r="CB147" s="55">
        <f>SUMIFS('Awards Summary'!$H:$H,'Awards Summary'!$B:$B,$C147,'Awards Summary'!$J:$J,"EGG")</f>
        <v>0</v>
      </c>
      <c r="CC147" s="55">
        <f>SUMIFS('Disbursements Summary'!$E:$E,'Disbursements Summary'!$C:$C,$C147,'Disbursements Summary'!$A:$A,"EGG")</f>
        <v>0</v>
      </c>
      <c r="CD147" s="55">
        <f>SUMIFS('Awards Summary'!$H:$H,'Awards Summary'!$B:$B,$C147,'Awards Summary'!$J:$J,"ESD")</f>
        <v>0</v>
      </c>
      <c r="CE147" s="55">
        <f>SUMIFS('Disbursements Summary'!$E:$E,'Disbursements Summary'!$C:$C,$C147,'Disbursements Summary'!$A:$A,"ESD")</f>
        <v>0</v>
      </c>
      <c r="CF147" s="55">
        <f>SUMIFS('Awards Summary'!$H:$H,'Awards Summary'!$B:$B,$C147,'Awards Summary'!$J:$J,"EFC")</f>
        <v>0</v>
      </c>
      <c r="CG147" s="55">
        <f>SUMIFS('Disbursements Summary'!$E:$E,'Disbursements Summary'!$C:$C,$C147,'Disbursements Summary'!$A:$A,"EFC")</f>
        <v>0</v>
      </c>
      <c r="CH147" s="55">
        <f>SUMIFS('Awards Summary'!$H:$H,'Awards Summary'!$B:$B,$C147,'Awards Summary'!$J:$J,"ECFSA")</f>
        <v>0</v>
      </c>
      <c r="CI147" s="55">
        <f>SUMIFS('Disbursements Summary'!$E:$E,'Disbursements Summary'!$C:$C,$C147,'Disbursements Summary'!$A:$A,"ECFSA")</f>
        <v>0</v>
      </c>
      <c r="CJ147" s="55">
        <f>SUMIFS('Awards Summary'!$H:$H,'Awards Summary'!$B:$B,$C147,'Awards Summary'!$J:$J,"ECMC")</f>
        <v>0</v>
      </c>
      <c r="CK147" s="55">
        <f>SUMIFS('Disbursements Summary'!$E:$E,'Disbursements Summary'!$C:$C,$C147,'Disbursements Summary'!$A:$A,"ECMC")</f>
        <v>0</v>
      </c>
      <c r="CL147" s="55">
        <f>SUMIFS('Awards Summary'!$H:$H,'Awards Summary'!$B:$B,$C147,'Awards Summary'!$J:$J,"CHAMBER")</f>
        <v>0</v>
      </c>
      <c r="CM147" s="55">
        <f>SUMIFS('Disbursements Summary'!$E:$E,'Disbursements Summary'!$C:$C,$C147,'Disbursements Summary'!$A:$A,"CHAMBER")</f>
        <v>0</v>
      </c>
      <c r="CN147" s="55">
        <f>SUMIFS('Awards Summary'!$H:$H,'Awards Summary'!$B:$B,$C147,'Awards Summary'!$J:$J,"GAMING")</f>
        <v>0</v>
      </c>
      <c r="CO147" s="55">
        <f>SUMIFS('Disbursements Summary'!$E:$E,'Disbursements Summary'!$C:$C,$C147,'Disbursements Summary'!$A:$A,"GAMING")</f>
        <v>0</v>
      </c>
      <c r="CP147" s="55">
        <f>SUMIFS('Awards Summary'!$H:$H,'Awards Summary'!$B:$B,$C147,'Awards Summary'!$J:$J,"GOER")</f>
        <v>0</v>
      </c>
      <c r="CQ147" s="55">
        <f>SUMIFS('Disbursements Summary'!$E:$E,'Disbursements Summary'!$C:$C,$C147,'Disbursements Summary'!$A:$A,"GOER")</f>
        <v>0</v>
      </c>
      <c r="CR147" s="55">
        <f>SUMIFS('Awards Summary'!$H:$H,'Awards Summary'!$B:$B,$C147,'Awards Summary'!$J:$J,"HESC")</f>
        <v>0</v>
      </c>
      <c r="CS147" s="55">
        <f>SUMIFS('Disbursements Summary'!$E:$E,'Disbursements Summary'!$C:$C,$C147,'Disbursements Summary'!$A:$A,"HESC")</f>
        <v>0</v>
      </c>
      <c r="CT147" s="55">
        <f>SUMIFS('Awards Summary'!$H:$H,'Awards Summary'!$B:$B,$C147,'Awards Summary'!$J:$J,"GOSR")</f>
        <v>0</v>
      </c>
      <c r="CU147" s="55">
        <f>SUMIFS('Disbursements Summary'!$E:$E,'Disbursements Summary'!$C:$C,$C147,'Disbursements Summary'!$A:$A,"GOSR")</f>
        <v>0</v>
      </c>
      <c r="CV147" s="55">
        <f>SUMIFS('Awards Summary'!$H:$H,'Awards Summary'!$B:$B,$C147,'Awards Summary'!$J:$J,"HRPT")</f>
        <v>0</v>
      </c>
      <c r="CW147" s="55">
        <f>SUMIFS('Disbursements Summary'!$E:$E,'Disbursements Summary'!$C:$C,$C147,'Disbursements Summary'!$A:$A,"HRPT")</f>
        <v>0</v>
      </c>
      <c r="CX147" s="55">
        <f>SUMIFS('Awards Summary'!$H:$H,'Awards Summary'!$B:$B,$C147,'Awards Summary'!$J:$J,"HRBRRD")</f>
        <v>0</v>
      </c>
      <c r="CY147" s="55">
        <f>SUMIFS('Disbursements Summary'!$E:$E,'Disbursements Summary'!$C:$C,$C147,'Disbursements Summary'!$A:$A,"HRBRRD")</f>
        <v>0</v>
      </c>
      <c r="CZ147" s="55">
        <f>SUMIFS('Awards Summary'!$H:$H,'Awards Summary'!$B:$B,$C147,'Awards Summary'!$J:$J,"ITS")</f>
        <v>0</v>
      </c>
      <c r="DA147" s="55">
        <f>SUMIFS('Disbursements Summary'!$E:$E,'Disbursements Summary'!$C:$C,$C147,'Disbursements Summary'!$A:$A,"ITS")</f>
        <v>0</v>
      </c>
      <c r="DB147" s="55">
        <f>SUMIFS('Awards Summary'!$H:$H,'Awards Summary'!$B:$B,$C147,'Awards Summary'!$J:$J,"JAVITS")</f>
        <v>0</v>
      </c>
      <c r="DC147" s="55">
        <f>SUMIFS('Disbursements Summary'!$E:$E,'Disbursements Summary'!$C:$C,$C147,'Disbursements Summary'!$A:$A,"JAVITS")</f>
        <v>0</v>
      </c>
      <c r="DD147" s="55">
        <f>SUMIFS('Awards Summary'!$H:$H,'Awards Summary'!$B:$B,$C147,'Awards Summary'!$J:$J,"JCOPE")</f>
        <v>0</v>
      </c>
      <c r="DE147" s="55">
        <f>SUMIFS('Disbursements Summary'!$E:$E,'Disbursements Summary'!$C:$C,$C147,'Disbursements Summary'!$A:$A,"JCOPE")</f>
        <v>0</v>
      </c>
      <c r="DF147" s="55">
        <f>SUMIFS('Awards Summary'!$H:$H,'Awards Summary'!$B:$B,$C147,'Awards Summary'!$J:$J,"JUSTICE")</f>
        <v>0</v>
      </c>
      <c r="DG147" s="55">
        <f>SUMIFS('Disbursements Summary'!$E:$E,'Disbursements Summary'!$C:$C,$C147,'Disbursements Summary'!$A:$A,"JUSTICE")</f>
        <v>0</v>
      </c>
      <c r="DH147" s="55">
        <f>SUMIFS('Awards Summary'!$H:$H,'Awards Summary'!$B:$B,$C147,'Awards Summary'!$J:$J,"LCWSA")</f>
        <v>0</v>
      </c>
      <c r="DI147" s="55">
        <f>SUMIFS('Disbursements Summary'!$E:$E,'Disbursements Summary'!$C:$C,$C147,'Disbursements Summary'!$A:$A,"LCWSA")</f>
        <v>0</v>
      </c>
      <c r="DJ147" s="55">
        <f>SUMIFS('Awards Summary'!$H:$H,'Awards Summary'!$B:$B,$C147,'Awards Summary'!$J:$J,"LIPA")</f>
        <v>0</v>
      </c>
      <c r="DK147" s="55">
        <f>SUMIFS('Disbursements Summary'!$E:$E,'Disbursements Summary'!$C:$C,$C147,'Disbursements Summary'!$A:$A,"LIPA")</f>
        <v>0</v>
      </c>
      <c r="DL147" s="55">
        <f>SUMIFS('Awards Summary'!$H:$H,'Awards Summary'!$B:$B,$C147,'Awards Summary'!$J:$J,"MTA")</f>
        <v>0</v>
      </c>
      <c r="DM147" s="55">
        <f>SUMIFS('Disbursements Summary'!$E:$E,'Disbursements Summary'!$C:$C,$C147,'Disbursements Summary'!$A:$A,"MTA")</f>
        <v>0</v>
      </c>
      <c r="DN147" s="55">
        <f>SUMIFS('Awards Summary'!$H:$H,'Awards Summary'!$B:$B,$C147,'Awards Summary'!$J:$J,"NIFA")</f>
        <v>0</v>
      </c>
      <c r="DO147" s="55">
        <f>SUMIFS('Disbursements Summary'!$E:$E,'Disbursements Summary'!$C:$C,$C147,'Disbursements Summary'!$A:$A,"NIFA")</f>
        <v>0</v>
      </c>
      <c r="DP147" s="55">
        <f>SUMIFS('Awards Summary'!$H:$H,'Awards Summary'!$B:$B,$C147,'Awards Summary'!$J:$J,"NHCC")</f>
        <v>0</v>
      </c>
      <c r="DQ147" s="55">
        <f>SUMIFS('Disbursements Summary'!$E:$E,'Disbursements Summary'!$C:$C,$C147,'Disbursements Summary'!$A:$A,"NHCC")</f>
        <v>0</v>
      </c>
      <c r="DR147" s="55">
        <f>SUMIFS('Awards Summary'!$H:$H,'Awards Summary'!$B:$B,$C147,'Awards Summary'!$J:$J,"NHT")</f>
        <v>0</v>
      </c>
      <c r="DS147" s="55">
        <f>SUMIFS('Disbursements Summary'!$E:$E,'Disbursements Summary'!$C:$C,$C147,'Disbursements Summary'!$A:$A,"NHT")</f>
        <v>0</v>
      </c>
      <c r="DT147" s="55">
        <f>SUMIFS('Awards Summary'!$H:$H,'Awards Summary'!$B:$B,$C147,'Awards Summary'!$J:$J,"NYPA")</f>
        <v>0</v>
      </c>
      <c r="DU147" s="55">
        <f>SUMIFS('Disbursements Summary'!$E:$E,'Disbursements Summary'!$C:$C,$C147,'Disbursements Summary'!$A:$A,"NYPA")</f>
        <v>0</v>
      </c>
      <c r="DV147" s="55">
        <f>SUMIFS('Awards Summary'!$H:$H,'Awards Summary'!$B:$B,$C147,'Awards Summary'!$J:$J,"NYSBA")</f>
        <v>0</v>
      </c>
      <c r="DW147" s="55">
        <f>SUMIFS('Disbursements Summary'!$E:$E,'Disbursements Summary'!$C:$C,$C147,'Disbursements Summary'!$A:$A,"NYSBA")</f>
        <v>0</v>
      </c>
      <c r="DX147" s="55">
        <f>SUMIFS('Awards Summary'!$H:$H,'Awards Summary'!$B:$B,$C147,'Awards Summary'!$J:$J,"NYSERDA")</f>
        <v>0</v>
      </c>
      <c r="DY147" s="55">
        <f>SUMIFS('Disbursements Summary'!$E:$E,'Disbursements Summary'!$C:$C,$C147,'Disbursements Summary'!$A:$A,"NYSERDA")</f>
        <v>0</v>
      </c>
      <c r="DZ147" s="55">
        <f>SUMIFS('Awards Summary'!$H:$H,'Awards Summary'!$B:$B,$C147,'Awards Summary'!$J:$J,"DHCR")</f>
        <v>0</v>
      </c>
      <c r="EA147" s="55">
        <f>SUMIFS('Disbursements Summary'!$E:$E,'Disbursements Summary'!$C:$C,$C147,'Disbursements Summary'!$A:$A,"DHCR")</f>
        <v>0</v>
      </c>
      <c r="EB147" s="55">
        <f>SUMIFS('Awards Summary'!$H:$H,'Awards Summary'!$B:$B,$C147,'Awards Summary'!$J:$J,"HFA")</f>
        <v>0</v>
      </c>
      <c r="EC147" s="55">
        <f>SUMIFS('Disbursements Summary'!$E:$E,'Disbursements Summary'!$C:$C,$C147,'Disbursements Summary'!$A:$A,"HFA")</f>
        <v>0</v>
      </c>
      <c r="ED147" s="55">
        <f>SUMIFS('Awards Summary'!$H:$H,'Awards Summary'!$B:$B,$C147,'Awards Summary'!$J:$J,"NYSIF")</f>
        <v>0</v>
      </c>
      <c r="EE147" s="55">
        <f>SUMIFS('Disbursements Summary'!$E:$E,'Disbursements Summary'!$C:$C,$C147,'Disbursements Summary'!$A:$A,"NYSIF")</f>
        <v>0</v>
      </c>
      <c r="EF147" s="55">
        <f>SUMIFS('Awards Summary'!$H:$H,'Awards Summary'!$B:$B,$C147,'Awards Summary'!$J:$J,"NYBREDS")</f>
        <v>0</v>
      </c>
      <c r="EG147" s="55">
        <f>SUMIFS('Disbursements Summary'!$E:$E,'Disbursements Summary'!$C:$C,$C147,'Disbursements Summary'!$A:$A,"NYBREDS")</f>
        <v>0</v>
      </c>
      <c r="EH147" s="55">
        <f>SUMIFS('Awards Summary'!$H:$H,'Awards Summary'!$B:$B,$C147,'Awards Summary'!$J:$J,"NYSTA")</f>
        <v>0</v>
      </c>
      <c r="EI147" s="55">
        <f>SUMIFS('Disbursements Summary'!$E:$E,'Disbursements Summary'!$C:$C,$C147,'Disbursements Summary'!$A:$A,"NYSTA")</f>
        <v>0</v>
      </c>
      <c r="EJ147" s="55">
        <f>SUMIFS('Awards Summary'!$H:$H,'Awards Summary'!$B:$B,$C147,'Awards Summary'!$J:$J,"NFWB")</f>
        <v>0</v>
      </c>
      <c r="EK147" s="55">
        <f>SUMIFS('Disbursements Summary'!$E:$E,'Disbursements Summary'!$C:$C,$C147,'Disbursements Summary'!$A:$A,"NFWB")</f>
        <v>0</v>
      </c>
      <c r="EL147" s="55">
        <f>SUMIFS('Awards Summary'!$H:$H,'Awards Summary'!$B:$B,$C147,'Awards Summary'!$J:$J,"NFTA")</f>
        <v>0</v>
      </c>
      <c r="EM147" s="55">
        <f>SUMIFS('Disbursements Summary'!$E:$E,'Disbursements Summary'!$C:$C,$C147,'Disbursements Summary'!$A:$A,"NFTA")</f>
        <v>0</v>
      </c>
      <c r="EN147" s="55">
        <f>SUMIFS('Awards Summary'!$H:$H,'Awards Summary'!$B:$B,$C147,'Awards Summary'!$J:$J,"OPWDD")</f>
        <v>0</v>
      </c>
      <c r="EO147" s="55">
        <f>SUMIFS('Disbursements Summary'!$E:$E,'Disbursements Summary'!$C:$C,$C147,'Disbursements Summary'!$A:$A,"OPWDD")</f>
        <v>0</v>
      </c>
      <c r="EP147" s="55">
        <f>SUMIFS('Awards Summary'!$H:$H,'Awards Summary'!$B:$B,$C147,'Awards Summary'!$J:$J,"AGING")</f>
        <v>0</v>
      </c>
      <c r="EQ147" s="55">
        <f>SUMIFS('Disbursements Summary'!$E:$E,'Disbursements Summary'!$C:$C,$C147,'Disbursements Summary'!$A:$A,"AGING")</f>
        <v>0</v>
      </c>
      <c r="ER147" s="55">
        <f>SUMIFS('Awards Summary'!$H:$H,'Awards Summary'!$B:$B,$C147,'Awards Summary'!$J:$J,"OPDV")</f>
        <v>0</v>
      </c>
      <c r="ES147" s="55">
        <f>SUMIFS('Disbursements Summary'!$E:$E,'Disbursements Summary'!$C:$C,$C147,'Disbursements Summary'!$A:$A,"OPDV")</f>
        <v>0</v>
      </c>
      <c r="ET147" s="55">
        <f>SUMIFS('Awards Summary'!$H:$H,'Awards Summary'!$B:$B,$C147,'Awards Summary'!$J:$J,"OVS")</f>
        <v>0</v>
      </c>
      <c r="EU147" s="55">
        <f>SUMIFS('Disbursements Summary'!$E:$E,'Disbursements Summary'!$C:$C,$C147,'Disbursements Summary'!$A:$A,"OVS")</f>
        <v>0</v>
      </c>
      <c r="EV147" s="55">
        <f>SUMIFS('Awards Summary'!$H:$H,'Awards Summary'!$B:$B,$C147,'Awards Summary'!$J:$J,"OASAS")</f>
        <v>0</v>
      </c>
      <c r="EW147" s="55">
        <f>SUMIFS('Disbursements Summary'!$E:$E,'Disbursements Summary'!$C:$C,$C147,'Disbursements Summary'!$A:$A,"OASAS")</f>
        <v>0</v>
      </c>
      <c r="EX147" s="55">
        <f>SUMIFS('Awards Summary'!$H:$H,'Awards Summary'!$B:$B,$C147,'Awards Summary'!$J:$J,"OCFS")</f>
        <v>0</v>
      </c>
      <c r="EY147" s="55">
        <f>SUMIFS('Disbursements Summary'!$E:$E,'Disbursements Summary'!$C:$C,$C147,'Disbursements Summary'!$A:$A,"OCFS")</f>
        <v>0</v>
      </c>
      <c r="EZ147" s="55">
        <f>SUMIFS('Awards Summary'!$H:$H,'Awards Summary'!$B:$B,$C147,'Awards Summary'!$J:$J,"OGS")</f>
        <v>0</v>
      </c>
      <c r="FA147" s="55">
        <f>SUMIFS('Disbursements Summary'!$E:$E,'Disbursements Summary'!$C:$C,$C147,'Disbursements Summary'!$A:$A,"OGS")</f>
        <v>0</v>
      </c>
      <c r="FB147" s="55">
        <f>SUMIFS('Awards Summary'!$H:$H,'Awards Summary'!$B:$B,$C147,'Awards Summary'!$J:$J,"OMH")</f>
        <v>0</v>
      </c>
      <c r="FC147" s="55">
        <f>SUMIFS('Disbursements Summary'!$E:$E,'Disbursements Summary'!$C:$C,$C147,'Disbursements Summary'!$A:$A,"OMH")</f>
        <v>0</v>
      </c>
      <c r="FD147" s="55">
        <f>SUMIFS('Awards Summary'!$H:$H,'Awards Summary'!$B:$B,$C147,'Awards Summary'!$J:$J,"PARKS")</f>
        <v>0</v>
      </c>
      <c r="FE147" s="55">
        <f>SUMIFS('Disbursements Summary'!$E:$E,'Disbursements Summary'!$C:$C,$C147,'Disbursements Summary'!$A:$A,"PARKS")</f>
        <v>0</v>
      </c>
      <c r="FF147" s="55">
        <f>SUMIFS('Awards Summary'!$H:$H,'Awards Summary'!$B:$B,$C147,'Awards Summary'!$J:$J,"OTDA")</f>
        <v>0</v>
      </c>
      <c r="FG147" s="55">
        <f>SUMIFS('Disbursements Summary'!$E:$E,'Disbursements Summary'!$C:$C,$C147,'Disbursements Summary'!$A:$A,"OTDA")</f>
        <v>0</v>
      </c>
      <c r="FH147" s="55">
        <f>SUMIFS('Awards Summary'!$H:$H,'Awards Summary'!$B:$B,$C147,'Awards Summary'!$J:$J,"OIG")</f>
        <v>0</v>
      </c>
      <c r="FI147" s="55">
        <f>SUMIFS('Disbursements Summary'!$E:$E,'Disbursements Summary'!$C:$C,$C147,'Disbursements Summary'!$A:$A,"OIG")</f>
        <v>0</v>
      </c>
      <c r="FJ147" s="55">
        <f>SUMIFS('Awards Summary'!$H:$H,'Awards Summary'!$B:$B,$C147,'Awards Summary'!$J:$J,"OMIG")</f>
        <v>0</v>
      </c>
      <c r="FK147" s="55">
        <f>SUMIFS('Disbursements Summary'!$E:$E,'Disbursements Summary'!$C:$C,$C147,'Disbursements Summary'!$A:$A,"OMIG")</f>
        <v>0</v>
      </c>
      <c r="FL147" s="55">
        <f>SUMIFS('Awards Summary'!$H:$H,'Awards Summary'!$B:$B,$C147,'Awards Summary'!$J:$J,"OSC")</f>
        <v>0</v>
      </c>
      <c r="FM147" s="55">
        <f>SUMIFS('Disbursements Summary'!$E:$E,'Disbursements Summary'!$C:$C,$C147,'Disbursements Summary'!$A:$A,"OSC")</f>
        <v>0</v>
      </c>
      <c r="FN147" s="55">
        <f>SUMIFS('Awards Summary'!$H:$H,'Awards Summary'!$B:$B,$C147,'Awards Summary'!$J:$J,"OWIG")</f>
        <v>0</v>
      </c>
      <c r="FO147" s="55">
        <f>SUMIFS('Disbursements Summary'!$E:$E,'Disbursements Summary'!$C:$C,$C147,'Disbursements Summary'!$A:$A,"OWIG")</f>
        <v>0</v>
      </c>
      <c r="FP147" s="55">
        <f>SUMIFS('Awards Summary'!$H:$H,'Awards Summary'!$B:$B,$C147,'Awards Summary'!$J:$J,"OGDEN")</f>
        <v>0</v>
      </c>
      <c r="FQ147" s="55">
        <f>SUMIFS('Disbursements Summary'!$E:$E,'Disbursements Summary'!$C:$C,$C147,'Disbursements Summary'!$A:$A,"OGDEN")</f>
        <v>0</v>
      </c>
      <c r="FR147" s="55">
        <f>SUMIFS('Awards Summary'!$H:$H,'Awards Summary'!$B:$B,$C147,'Awards Summary'!$J:$J,"ORDA")</f>
        <v>0</v>
      </c>
      <c r="FS147" s="55">
        <f>SUMIFS('Disbursements Summary'!$E:$E,'Disbursements Summary'!$C:$C,$C147,'Disbursements Summary'!$A:$A,"ORDA")</f>
        <v>0</v>
      </c>
      <c r="FT147" s="55">
        <f>SUMIFS('Awards Summary'!$H:$H,'Awards Summary'!$B:$B,$C147,'Awards Summary'!$J:$J,"OSWEGO")</f>
        <v>0</v>
      </c>
      <c r="FU147" s="55">
        <f>SUMIFS('Disbursements Summary'!$E:$E,'Disbursements Summary'!$C:$C,$C147,'Disbursements Summary'!$A:$A,"OSWEGO")</f>
        <v>0</v>
      </c>
      <c r="FV147" s="55">
        <f>SUMIFS('Awards Summary'!$H:$H,'Awards Summary'!$B:$B,$C147,'Awards Summary'!$J:$J,"PERB")</f>
        <v>0</v>
      </c>
      <c r="FW147" s="55">
        <f>SUMIFS('Disbursements Summary'!$E:$E,'Disbursements Summary'!$C:$C,$C147,'Disbursements Summary'!$A:$A,"PERB")</f>
        <v>0</v>
      </c>
      <c r="FX147" s="55">
        <f>SUMIFS('Awards Summary'!$H:$H,'Awards Summary'!$B:$B,$C147,'Awards Summary'!$J:$J,"RGRTA")</f>
        <v>0</v>
      </c>
      <c r="FY147" s="55">
        <f>SUMIFS('Disbursements Summary'!$E:$E,'Disbursements Summary'!$C:$C,$C147,'Disbursements Summary'!$A:$A,"RGRTA")</f>
        <v>0</v>
      </c>
      <c r="FZ147" s="55">
        <f>SUMIFS('Awards Summary'!$H:$H,'Awards Summary'!$B:$B,$C147,'Awards Summary'!$J:$J,"RIOC")</f>
        <v>0</v>
      </c>
      <c r="GA147" s="55">
        <f>SUMIFS('Disbursements Summary'!$E:$E,'Disbursements Summary'!$C:$C,$C147,'Disbursements Summary'!$A:$A,"RIOC")</f>
        <v>0</v>
      </c>
      <c r="GB147" s="55">
        <f>SUMIFS('Awards Summary'!$H:$H,'Awards Summary'!$B:$B,$C147,'Awards Summary'!$J:$J,"RPCI")</f>
        <v>0</v>
      </c>
      <c r="GC147" s="55">
        <f>SUMIFS('Disbursements Summary'!$E:$E,'Disbursements Summary'!$C:$C,$C147,'Disbursements Summary'!$A:$A,"RPCI")</f>
        <v>0</v>
      </c>
      <c r="GD147" s="55">
        <f>SUMIFS('Awards Summary'!$H:$H,'Awards Summary'!$B:$B,$C147,'Awards Summary'!$J:$J,"SMDA")</f>
        <v>0</v>
      </c>
      <c r="GE147" s="55">
        <f>SUMIFS('Disbursements Summary'!$E:$E,'Disbursements Summary'!$C:$C,$C147,'Disbursements Summary'!$A:$A,"SMDA")</f>
        <v>0</v>
      </c>
      <c r="GF147" s="55">
        <f>SUMIFS('Awards Summary'!$H:$H,'Awards Summary'!$B:$B,$C147,'Awards Summary'!$J:$J,"SCOC")</f>
        <v>0</v>
      </c>
      <c r="GG147" s="55">
        <f>SUMIFS('Disbursements Summary'!$E:$E,'Disbursements Summary'!$C:$C,$C147,'Disbursements Summary'!$A:$A,"SCOC")</f>
        <v>0</v>
      </c>
      <c r="GH147" s="55">
        <f>SUMIFS('Awards Summary'!$H:$H,'Awards Summary'!$B:$B,$C147,'Awards Summary'!$J:$J,"SUCF")</f>
        <v>0</v>
      </c>
      <c r="GI147" s="55">
        <f>SUMIFS('Disbursements Summary'!$E:$E,'Disbursements Summary'!$C:$C,$C147,'Disbursements Summary'!$A:$A,"SUCF")</f>
        <v>0</v>
      </c>
      <c r="GJ147" s="55">
        <f>SUMIFS('Awards Summary'!$H:$H,'Awards Summary'!$B:$B,$C147,'Awards Summary'!$J:$J,"SUNY")</f>
        <v>0</v>
      </c>
      <c r="GK147" s="55">
        <f>SUMIFS('Disbursements Summary'!$E:$E,'Disbursements Summary'!$C:$C,$C147,'Disbursements Summary'!$A:$A,"SUNY")</f>
        <v>0</v>
      </c>
      <c r="GL147" s="55">
        <f>SUMIFS('Awards Summary'!$H:$H,'Awards Summary'!$B:$B,$C147,'Awards Summary'!$J:$J,"SRAA")</f>
        <v>0</v>
      </c>
      <c r="GM147" s="55">
        <f>SUMIFS('Disbursements Summary'!$E:$E,'Disbursements Summary'!$C:$C,$C147,'Disbursements Summary'!$A:$A,"SRAA")</f>
        <v>0</v>
      </c>
      <c r="GN147" s="55">
        <f>SUMIFS('Awards Summary'!$H:$H,'Awards Summary'!$B:$B,$C147,'Awards Summary'!$J:$J,"UNDC")</f>
        <v>0</v>
      </c>
      <c r="GO147" s="55">
        <f>SUMIFS('Disbursements Summary'!$E:$E,'Disbursements Summary'!$C:$C,$C147,'Disbursements Summary'!$A:$A,"UNDC")</f>
        <v>0</v>
      </c>
      <c r="GP147" s="55">
        <f>SUMIFS('Awards Summary'!$H:$H,'Awards Summary'!$B:$B,$C147,'Awards Summary'!$J:$J,"MVWA")</f>
        <v>0</v>
      </c>
      <c r="GQ147" s="55">
        <f>SUMIFS('Disbursements Summary'!$E:$E,'Disbursements Summary'!$C:$C,$C147,'Disbursements Summary'!$A:$A,"MVWA")</f>
        <v>0</v>
      </c>
      <c r="GR147" s="55">
        <f>SUMIFS('Awards Summary'!$H:$H,'Awards Summary'!$B:$B,$C147,'Awards Summary'!$J:$J,"WMC")</f>
        <v>0</v>
      </c>
      <c r="GS147" s="55">
        <f>SUMIFS('Disbursements Summary'!$E:$E,'Disbursements Summary'!$C:$C,$C147,'Disbursements Summary'!$A:$A,"WMC")</f>
        <v>0</v>
      </c>
      <c r="GT147" s="55">
        <f>SUMIFS('Awards Summary'!$H:$H,'Awards Summary'!$B:$B,$C147,'Awards Summary'!$J:$J,"WCB")</f>
        <v>0</v>
      </c>
      <c r="GU147" s="55">
        <f>SUMIFS('Disbursements Summary'!$E:$E,'Disbursements Summary'!$C:$C,$C147,'Disbursements Summary'!$A:$A,"WCB")</f>
        <v>0</v>
      </c>
      <c r="GV147" s="32">
        <f t="shared" si="10"/>
        <v>0</v>
      </c>
      <c r="GW147" s="32">
        <f t="shared" si="11"/>
        <v>0</v>
      </c>
      <c r="GX147" s="30" t="b">
        <f t="shared" si="12"/>
        <v>1</v>
      </c>
      <c r="GY147" s="30" t="b">
        <f t="shared" si="13"/>
        <v>1</v>
      </c>
    </row>
    <row r="148" spans="1:207" s="61" customFormat="1">
      <c r="A148" s="22" t="str">
        <f t="shared" si="14"/>
        <v/>
      </c>
      <c r="B148" s="70" t="s">
        <v>468</v>
      </c>
      <c r="C148" s="71">
        <v>171421</v>
      </c>
      <c r="D148" s="66">
        <f>COUNTIF('Awards Summary'!B:B,"171421")</f>
        <v>0</v>
      </c>
      <c r="E148" s="67">
        <f>SUMIFS('Awards Summary'!H:H,'Awards Summary'!B:B,"171421")</f>
        <v>0</v>
      </c>
      <c r="F148" s="68">
        <f>SUMIFS('Disbursements Summary'!E:E,'Disbursements Summary'!C:C, "171421")</f>
        <v>0</v>
      </c>
      <c r="H148" s="55">
        <f>SUMIFS('Awards Summary'!$H:$H,'Awards Summary'!$B:$B,$C148,'Awards Summary'!$J:$J,"APA")</f>
        <v>0</v>
      </c>
      <c r="I148" s="55">
        <f>SUMIFS('Disbursements Summary'!$E:$E,'Disbursements Summary'!$C:$C,$C148,'Disbursements Summary'!$A:$A,"APA")</f>
        <v>0</v>
      </c>
      <c r="J148" s="55">
        <f>SUMIFS('Awards Summary'!$H:$H,'Awards Summary'!$B:$B,$C148,'Awards Summary'!$J:$J,"Ag&amp;Horse")</f>
        <v>0</v>
      </c>
      <c r="K148" s="55">
        <f>SUMIFS('Disbursements Summary'!$E:$E,'Disbursements Summary'!$C:$C,$C148,'Disbursements Summary'!$A:$A,"Ag&amp;Horse")</f>
        <v>0</v>
      </c>
      <c r="L148" s="55">
        <f>SUMIFS('Awards Summary'!$H:$H,'Awards Summary'!$B:$B,$C148,'Awards Summary'!$J:$J,"ACAA")</f>
        <v>0</v>
      </c>
      <c r="M148" s="55">
        <f>SUMIFS('Disbursements Summary'!$E:$E,'Disbursements Summary'!$C:$C,$C148,'Disbursements Summary'!$A:$A,"ACAA")</f>
        <v>0</v>
      </c>
      <c r="N148" s="55">
        <f>SUMIFS('Awards Summary'!$H:$H,'Awards Summary'!$B:$B,$C148,'Awards Summary'!$J:$J,"PortAlbany")</f>
        <v>0</v>
      </c>
      <c r="O148" s="55">
        <f>SUMIFS('Disbursements Summary'!$E:$E,'Disbursements Summary'!$C:$C,$C148,'Disbursements Summary'!$A:$A,"PortAlbany")</f>
        <v>0</v>
      </c>
      <c r="P148" s="55">
        <f>SUMIFS('Awards Summary'!$H:$H,'Awards Summary'!$B:$B,$C148,'Awards Summary'!$J:$J,"SLA")</f>
        <v>0</v>
      </c>
      <c r="Q148" s="55">
        <f>SUMIFS('Disbursements Summary'!$E:$E,'Disbursements Summary'!$C:$C,$C148,'Disbursements Summary'!$A:$A,"SLA")</f>
        <v>0</v>
      </c>
      <c r="R148" s="55">
        <f>SUMIFS('Awards Summary'!$H:$H,'Awards Summary'!$B:$B,$C148,'Awards Summary'!$J:$J,"BPCA")</f>
        <v>0</v>
      </c>
      <c r="S148" s="55">
        <f>SUMIFS('Disbursements Summary'!$E:$E,'Disbursements Summary'!$C:$C,$C148,'Disbursements Summary'!$A:$A,"BPCA")</f>
        <v>0</v>
      </c>
      <c r="T148" s="55">
        <f>SUMIFS('Awards Summary'!$H:$H,'Awards Summary'!$B:$B,$C148,'Awards Summary'!$J:$J,"ELECTIONS")</f>
        <v>0</v>
      </c>
      <c r="U148" s="55">
        <f>SUMIFS('Disbursements Summary'!$E:$E,'Disbursements Summary'!$C:$C,$C148,'Disbursements Summary'!$A:$A,"ELECTIONS")</f>
        <v>0</v>
      </c>
      <c r="V148" s="55">
        <f>SUMIFS('Awards Summary'!$H:$H,'Awards Summary'!$B:$B,$C148,'Awards Summary'!$J:$J,"BFSA")</f>
        <v>0</v>
      </c>
      <c r="W148" s="55">
        <f>SUMIFS('Disbursements Summary'!$E:$E,'Disbursements Summary'!$C:$C,$C148,'Disbursements Summary'!$A:$A,"BFSA")</f>
        <v>0</v>
      </c>
      <c r="X148" s="55">
        <f>SUMIFS('Awards Summary'!$H:$H,'Awards Summary'!$B:$B,$C148,'Awards Summary'!$J:$J,"CDTA")</f>
        <v>0</v>
      </c>
      <c r="Y148" s="55">
        <f>SUMIFS('Disbursements Summary'!$E:$E,'Disbursements Summary'!$C:$C,$C148,'Disbursements Summary'!$A:$A,"CDTA")</f>
        <v>0</v>
      </c>
      <c r="Z148" s="55">
        <f>SUMIFS('Awards Summary'!$H:$H,'Awards Summary'!$B:$B,$C148,'Awards Summary'!$J:$J,"CCWSA")</f>
        <v>0</v>
      </c>
      <c r="AA148" s="55">
        <f>SUMIFS('Disbursements Summary'!$E:$E,'Disbursements Summary'!$C:$C,$C148,'Disbursements Summary'!$A:$A,"CCWSA")</f>
        <v>0</v>
      </c>
      <c r="AB148" s="55">
        <f>SUMIFS('Awards Summary'!$H:$H,'Awards Summary'!$B:$B,$C148,'Awards Summary'!$J:$J,"CNYRTA")</f>
        <v>0</v>
      </c>
      <c r="AC148" s="55">
        <f>SUMIFS('Disbursements Summary'!$E:$E,'Disbursements Summary'!$C:$C,$C148,'Disbursements Summary'!$A:$A,"CNYRTA")</f>
        <v>0</v>
      </c>
      <c r="AD148" s="55">
        <f>SUMIFS('Awards Summary'!$H:$H,'Awards Summary'!$B:$B,$C148,'Awards Summary'!$J:$J,"CUCF")</f>
        <v>0</v>
      </c>
      <c r="AE148" s="55">
        <f>SUMIFS('Disbursements Summary'!$E:$E,'Disbursements Summary'!$C:$C,$C148,'Disbursements Summary'!$A:$A,"CUCF")</f>
        <v>0</v>
      </c>
      <c r="AF148" s="55">
        <f>SUMIFS('Awards Summary'!$H:$H,'Awards Summary'!$B:$B,$C148,'Awards Summary'!$J:$J,"CUNY")</f>
        <v>0</v>
      </c>
      <c r="AG148" s="55">
        <f>SUMIFS('Disbursements Summary'!$E:$E,'Disbursements Summary'!$C:$C,$C148,'Disbursements Summary'!$A:$A,"CUNY")</f>
        <v>0</v>
      </c>
      <c r="AH148" s="55">
        <f>SUMIFS('Awards Summary'!$H:$H,'Awards Summary'!$B:$B,$C148,'Awards Summary'!$J:$J,"ARTS")</f>
        <v>0</v>
      </c>
      <c r="AI148" s="55">
        <f>SUMIFS('Disbursements Summary'!$E:$E,'Disbursements Summary'!$C:$C,$C148,'Disbursements Summary'!$A:$A,"ARTS")</f>
        <v>0</v>
      </c>
      <c r="AJ148" s="55">
        <f>SUMIFS('Awards Summary'!$H:$H,'Awards Summary'!$B:$B,$C148,'Awards Summary'!$J:$J,"AG&amp;MKTS")</f>
        <v>0</v>
      </c>
      <c r="AK148" s="55">
        <f>SUMIFS('Disbursements Summary'!$E:$E,'Disbursements Summary'!$C:$C,$C148,'Disbursements Summary'!$A:$A,"AG&amp;MKTS")</f>
        <v>0</v>
      </c>
      <c r="AL148" s="55">
        <f>SUMIFS('Awards Summary'!$H:$H,'Awards Summary'!$B:$B,$C148,'Awards Summary'!$J:$J,"CS")</f>
        <v>0</v>
      </c>
      <c r="AM148" s="55">
        <f>SUMIFS('Disbursements Summary'!$E:$E,'Disbursements Summary'!$C:$C,$C148,'Disbursements Summary'!$A:$A,"CS")</f>
        <v>0</v>
      </c>
      <c r="AN148" s="55">
        <f>SUMIFS('Awards Summary'!$H:$H,'Awards Summary'!$B:$B,$C148,'Awards Summary'!$J:$J,"DOCCS")</f>
        <v>0</v>
      </c>
      <c r="AO148" s="55">
        <f>SUMIFS('Disbursements Summary'!$E:$E,'Disbursements Summary'!$C:$C,$C148,'Disbursements Summary'!$A:$A,"DOCCS")</f>
        <v>0</v>
      </c>
      <c r="AP148" s="55">
        <f>SUMIFS('Awards Summary'!$H:$H,'Awards Summary'!$B:$B,$C148,'Awards Summary'!$J:$J,"DED")</f>
        <v>0</v>
      </c>
      <c r="AQ148" s="55">
        <f>SUMIFS('Disbursements Summary'!$E:$E,'Disbursements Summary'!$C:$C,$C148,'Disbursements Summary'!$A:$A,"DED")</f>
        <v>0</v>
      </c>
      <c r="AR148" s="55">
        <f>SUMIFS('Awards Summary'!$H:$H,'Awards Summary'!$B:$B,$C148,'Awards Summary'!$J:$J,"DEC")</f>
        <v>0</v>
      </c>
      <c r="AS148" s="55">
        <f>SUMIFS('Disbursements Summary'!$E:$E,'Disbursements Summary'!$C:$C,$C148,'Disbursements Summary'!$A:$A,"DEC")</f>
        <v>0</v>
      </c>
      <c r="AT148" s="55">
        <f>SUMIFS('Awards Summary'!$H:$H,'Awards Summary'!$B:$B,$C148,'Awards Summary'!$J:$J,"DFS")</f>
        <v>0</v>
      </c>
      <c r="AU148" s="55">
        <f>SUMIFS('Disbursements Summary'!$E:$E,'Disbursements Summary'!$C:$C,$C148,'Disbursements Summary'!$A:$A,"DFS")</f>
        <v>0</v>
      </c>
      <c r="AV148" s="55">
        <f>SUMIFS('Awards Summary'!$H:$H,'Awards Summary'!$B:$B,$C148,'Awards Summary'!$J:$J,"DOH")</f>
        <v>0</v>
      </c>
      <c r="AW148" s="55">
        <f>SUMIFS('Disbursements Summary'!$E:$E,'Disbursements Summary'!$C:$C,$C148,'Disbursements Summary'!$A:$A,"DOH")</f>
        <v>0</v>
      </c>
      <c r="AX148" s="55">
        <f>SUMIFS('Awards Summary'!$H:$H,'Awards Summary'!$B:$B,$C148,'Awards Summary'!$J:$J,"DOL")</f>
        <v>0</v>
      </c>
      <c r="AY148" s="55">
        <f>SUMIFS('Disbursements Summary'!$E:$E,'Disbursements Summary'!$C:$C,$C148,'Disbursements Summary'!$A:$A,"DOL")</f>
        <v>0</v>
      </c>
      <c r="AZ148" s="55">
        <f>SUMIFS('Awards Summary'!$H:$H,'Awards Summary'!$B:$B,$C148,'Awards Summary'!$J:$J,"DMV")</f>
        <v>0</v>
      </c>
      <c r="BA148" s="55">
        <f>SUMIFS('Disbursements Summary'!$E:$E,'Disbursements Summary'!$C:$C,$C148,'Disbursements Summary'!$A:$A,"DMV")</f>
        <v>0</v>
      </c>
      <c r="BB148" s="55">
        <f>SUMIFS('Awards Summary'!$H:$H,'Awards Summary'!$B:$B,$C148,'Awards Summary'!$J:$J,"DPS")</f>
        <v>0</v>
      </c>
      <c r="BC148" s="55">
        <f>SUMIFS('Disbursements Summary'!$E:$E,'Disbursements Summary'!$C:$C,$C148,'Disbursements Summary'!$A:$A,"DPS")</f>
        <v>0</v>
      </c>
      <c r="BD148" s="55">
        <f>SUMIFS('Awards Summary'!$H:$H,'Awards Summary'!$B:$B,$C148,'Awards Summary'!$J:$J,"DOS")</f>
        <v>0</v>
      </c>
      <c r="BE148" s="55">
        <f>SUMIFS('Disbursements Summary'!$E:$E,'Disbursements Summary'!$C:$C,$C148,'Disbursements Summary'!$A:$A,"DOS")</f>
        <v>0</v>
      </c>
      <c r="BF148" s="55">
        <f>SUMIFS('Awards Summary'!$H:$H,'Awards Summary'!$B:$B,$C148,'Awards Summary'!$J:$J,"TAX")</f>
        <v>0</v>
      </c>
      <c r="BG148" s="55">
        <f>SUMIFS('Disbursements Summary'!$E:$E,'Disbursements Summary'!$C:$C,$C148,'Disbursements Summary'!$A:$A,"TAX")</f>
        <v>0</v>
      </c>
      <c r="BH148" s="55">
        <f>SUMIFS('Awards Summary'!$H:$H,'Awards Summary'!$B:$B,$C148,'Awards Summary'!$J:$J,"DOT")</f>
        <v>0</v>
      </c>
      <c r="BI148" s="55">
        <f>SUMIFS('Disbursements Summary'!$E:$E,'Disbursements Summary'!$C:$C,$C148,'Disbursements Summary'!$A:$A,"DOT")</f>
        <v>0</v>
      </c>
      <c r="BJ148" s="55">
        <f>SUMIFS('Awards Summary'!$H:$H,'Awards Summary'!$B:$B,$C148,'Awards Summary'!$J:$J,"DANC")</f>
        <v>0</v>
      </c>
      <c r="BK148" s="55">
        <f>SUMIFS('Disbursements Summary'!$E:$E,'Disbursements Summary'!$C:$C,$C148,'Disbursements Summary'!$A:$A,"DANC")</f>
        <v>0</v>
      </c>
      <c r="BL148" s="55">
        <f>SUMIFS('Awards Summary'!$H:$H,'Awards Summary'!$B:$B,$C148,'Awards Summary'!$J:$J,"DOB")</f>
        <v>0</v>
      </c>
      <c r="BM148" s="55">
        <f>SUMIFS('Disbursements Summary'!$E:$E,'Disbursements Summary'!$C:$C,$C148,'Disbursements Summary'!$A:$A,"DOB")</f>
        <v>0</v>
      </c>
      <c r="BN148" s="55">
        <f>SUMIFS('Awards Summary'!$H:$H,'Awards Summary'!$B:$B,$C148,'Awards Summary'!$J:$J,"DCJS")</f>
        <v>0</v>
      </c>
      <c r="BO148" s="55">
        <f>SUMIFS('Disbursements Summary'!$E:$E,'Disbursements Summary'!$C:$C,$C148,'Disbursements Summary'!$A:$A,"DCJS")</f>
        <v>0</v>
      </c>
      <c r="BP148" s="55">
        <f>SUMIFS('Awards Summary'!$H:$H,'Awards Summary'!$B:$B,$C148,'Awards Summary'!$J:$J,"DHSES")</f>
        <v>0</v>
      </c>
      <c r="BQ148" s="55">
        <f>SUMIFS('Disbursements Summary'!$E:$E,'Disbursements Summary'!$C:$C,$C148,'Disbursements Summary'!$A:$A,"DHSES")</f>
        <v>0</v>
      </c>
      <c r="BR148" s="55">
        <f>SUMIFS('Awards Summary'!$H:$H,'Awards Summary'!$B:$B,$C148,'Awards Summary'!$J:$J,"DHR")</f>
        <v>0</v>
      </c>
      <c r="BS148" s="55">
        <f>SUMIFS('Disbursements Summary'!$E:$E,'Disbursements Summary'!$C:$C,$C148,'Disbursements Summary'!$A:$A,"DHR")</f>
        <v>0</v>
      </c>
      <c r="BT148" s="55">
        <f>SUMIFS('Awards Summary'!$H:$H,'Awards Summary'!$B:$B,$C148,'Awards Summary'!$J:$J,"DMNA")</f>
        <v>0</v>
      </c>
      <c r="BU148" s="55">
        <f>SUMIFS('Disbursements Summary'!$E:$E,'Disbursements Summary'!$C:$C,$C148,'Disbursements Summary'!$A:$A,"DMNA")</f>
        <v>0</v>
      </c>
      <c r="BV148" s="55">
        <f>SUMIFS('Awards Summary'!$H:$H,'Awards Summary'!$B:$B,$C148,'Awards Summary'!$J:$J,"TROOPERS")</f>
        <v>0</v>
      </c>
      <c r="BW148" s="55">
        <f>SUMIFS('Disbursements Summary'!$E:$E,'Disbursements Summary'!$C:$C,$C148,'Disbursements Summary'!$A:$A,"TROOPERS")</f>
        <v>0</v>
      </c>
      <c r="BX148" s="55">
        <f>SUMIFS('Awards Summary'!$H:$H,'Awards Summary'!$B:$B,$C148,'Awards Summary'!$J:$J,"DVA")</f>
        <v>0</v>
      </c>
      <c r="BY148" s="55">
        <f>SUMIFS('Disbursements Summary'!$E:$E,'Disbursements Summary'!$C:$C,$C148,'Disbursements Summary'!$A:$A,"DVA")</f>
        <v>0</v>
      </c>
      <c r="BZ148" s="55">
        <f>SUMIFS('Awards Summary'!$H:$H,'Awards Summary'!$B:$B,$C148,'Awards Summary'!$J:$J,"DASNY")</f>
        <v>0</v>
      </c>
      <c r="CA148" s="55">
        <f>SUMIFS('Disbursements Summary'!$E:$E,'Disbursements Summary'!$C:$C,$C148,'Disbursements Summary'!$A:$A,"DASNY")</f>
        <v>0</v>
      </c>
      <c r="CB148" s="55">
        <f>SUMIFS('Awards Summary'!$H:$H,'Awards Summary'!$B:$B,$C148,'Awards Summary'!$J:$J,"EGG")</f>
        <v>0</v>
      </c>
      <c r="CC148" s="55">
        <f>SUMIFS('Disbursements Summary'!$E:$E,'Disbursements Summary'!$C:$C,$C148,'Disbursements Summary'!$A:$A,"EGG")</f>
        <v>0</v>
      </c>
      <c r="CD148" s="55">
        <f>SUMIFS('Awards Summary'!$H:$H,'Awards Summary'!$B:$B,$C148,'Awards Summary'!$J:$J,"ESD")</f>
        <v>0</v>
      </c>
      <c r="CE148" s="55">
        <f>SUMIFS('Disbursements Summary'!$E:$E,'Disbursements Summary'!$C:$C,$C148,'Disbursements Summary'!$A:$A,"ESD")</f>
        <v>0</v>
      </c>
      <c r="CF148" s="55">
        <f>SUMIFS('Awards Summary'!$H:$H,'Awards Summary'!$B:$B,$C148,'Awards Summary'!$J:$J,"EFC")</f>
        <v>0</v>
      </c>
      <c r="CG148" s="55">
        <f>SUMIFS('Disbursements Summary'!$E:$E,'Disbursements Summary'!$C:$C,$C148,'Disbursements Summary'!$A:$A,"EFC")</f>
        <v>0</v>
      </c>
      <c r="CH148" s="55">
        <f>SUMIFS('Awards Summary'!$H:$H,'Awards Summary'!$B:$B,$C148,'Awards Summary'!$J:$J,"ECFSA")</f>
        <v>0</v>
      </c>
      <c r="CI148" s="55">
        <f>SUMIFS('Disbursements Summary'!$E:$E,'Disbursements Summary'!$C:$C,$C148,'Disbursements Summary'!$A:$A,"ECFSA")</f>
        <v>0</v>
      </c>
      <c r="CJ148" s="55">
        <f>SUMIFS('Awards Summary'!$H:$H,'Awards Summary'!$B:$B,$C148,'Awards Summary'!$J:$J,"ECMC")</f>
        <v>0</v>
      </c>
      <c r="CK148" s="55">
        <f>SUMIFS('Disbursements Summary'!$E:$E,'Disbursements Summary'!$C:$C,$C148,'Disbursements Summary'!$A:$A,"ECMC")</f>
        <v>0</v>
      </c>
      <c r="CL148" s="55">
        <f>SUMIFS('Awards Summary'!$H:$H,'Awards Summary'!$B:$B,$C148,'Awards Summary'!$J:$J,"CHAMBER")</f>
        <v>0</v>
      </c>
      <c r="CM148" s="55">
        <f>SUMIFS('Disbursements Summary'!$E:$E,'Disbursements Summary'!$C:$C,$C148,'Disbursements Summary'!$A:$A,"CHAMBER")</f>
        <v>0</v>
      </c>
      <c r="CN148" s="55">
        <f>SUMIFS('Awards Summary'!$H:$H,'Awards Summary'!$B:$B,$C148,'Awards Summary'!$J:$J,"GAMING")</f>
        <v>0</v>
      </c>
      <c r="CO148" s="55">
        <f>SUMIFS('Disbursements Summary'!$E:$E,'Disbursements Summary'!$C:$C,$C148,'Disbursements Summary'!$A:$A,"GAMING")</f>
        <v>0</v>
      </c>
      <c r="CP148" s="55">
        <f>SUMIFS('Awards Summary'!$H:$H,'Awards Summary'!$B:$B,$C148,'Awards Summary'!$J:$J,"GOER")</f>
        <v>0</v>
      </c>
      <c r="CQ148" s="55">
        <f>SUMIFS('Disbursements Summary'!$E:$E,'Disbursements Summary'!$C:$C,$C148,'Disbursements Summary'!$A:$A,"GOER")</f>
        <v>0</v>
      </c>
      <c r="CR148" s="55">
        <f>SUMIFS('Awards Summary'!$H:$H,'Awards Summary'!$B:$B,$C148,'Awards Summary'!$J:$J,"HESC")</f>
        <v>0</v>
      </c>
      <c r="CS148" s="55">
        <f>SUMIFS('Disbursements Summary'!$E:$E,'Disbursements Summary'!$C:$C,$C148,'Disbursements Summary'!$A:$A,"HESC")</f>
        <v>0</v>
      </c>
      <c r="CT148" s="55">
        <f>SUMIFS('Awards Summary'!$H:$H,'Awards Summary'!$B:$B,$C148,'Awards Summary'!$J:$J,"GOSR")</f>
        <v>0</v>
      </c>
      <c r="CU148" s="55">
        <f>SUMIFS('Disbursements Summary'!$E:$E,'Disbursements Summary'!$C:$C,$C148,'Disbursements Summary'!$A:$A,"GOSR")</f>
        <v>0</v>
      </c>
      <c r="CV148" s="55">
        <f>SUMIFS('Awards Summary'!$H:$H,'Awards Summary'!$B:$B,$C148,'Awards Summary'!$J:$J,"HRPT")</f>
        <v>0</v>
      </c>
      <c r="CW148" s="55">
        <f>SUMIFS('Disbursements Summary'!$E:$E,'Disbursements Summary'!$C:$C,$C148,'Disbursements Summary'!$A:$A,"HRPT")</f>
        <v>0</v>
      </c>
      <c r="CX148" s="55">
        <f>SUMIFS('Awards Summary'!$H:$H,'Awards Summary'!$B:$B,$C148,'Awards Summary'!$J:$J,"HRBRRD")</f>
        <v>0</v>
      </c>
      <c r="CY148" s="55">
        <f>SUMIFS('Disbursements Summary'!$E:$E,'Disbursements Summary'!$C:$C,$C148,'Disbursements Summary'!$A:$A,"HRBRRD")</f>
        <v>0</v>
      </c>
      <c r="CZ148" s="55">
        <f>SUMIFS('Awards Summary'!$H:$H,'Awards Summary'!$B:$B,$C148,'Awards Summary'!$J:$J,"ITS")</f>
        <v>0</v>
      </c>
      <c r="DA148" s="55">
        <f>SUMIFS('Disbursements Summary'!$E:$E,'Disbursements Summary'!$C:$C,$C148,'Disbursements Summary'!$A:$A,"ITS")</f>
        <v>0</v>
      </c>
      <c r="DB148" s="55">
        <f>SUMIFS('Awards Summary'!$H:$H,'Awards Summary'!$B:$B,$C148,'Awards Summary'!$J:$J,"JAVITS")</f>
        <v>0</v>
      </c>
      <c r="DC148" s="55">
        <f>SUMIFS('Disbursements Summary'!$E:$E,'Disbursements Summary'!$C:$C,$C148,'Disbursements Summary'!$A:$A,"JAVITS")</f>
        <v>0</v>
      </c>
      <c r="DD148" s="55">
        <f>SUMIFS('Awards Summary'!$H:$H,'Awards Summary'!$B:$B,$C148,'Awards Summary'!$J:$J,"JCOPE")</f>
        <v>0</v>
      </c>
      <c r="DE148" s="55">
        <f>SUMIFS('Disbursements Summary'!$E:$E,'Disbursements Summary'!$C:$C,$C148,'Disbursements Summary'!$A:$A,"JCOPE")</f>
        <v>0</v>
      </c>
      <c r="DF148" s="55">
        <f>SUMIFS('Awards Summary'!$H:$H,'Awards Summary'!$B:$B,$C148,'Awards Summary'!$J:$J,"JUSTICE")</f>
        <v>0</v>
      </c>
      <c r="DG148" s="55">
        <f>SUMIFS('Disbursements Summary'!$E:$E,'Disbursements Summary'!$C:$C,$C148,'Disbursements Summary'!$A:$A,"JUSTICE")</f>
        <v>0</v>
      </c>
      <c r="DH148" s="55">
        <f>SUMIFS('Awards Summary'!$H:$H,'Awards Summary'!$B:$B,$C148,'Awards Summary'!$J:$J,"LCWSA")</f>
        <v>0</v>
      </c>
      <c r="DI148" s="55">
        <f>SUMIFS('Disbursements Summary'!$E:$E,'Disbursements Summary'!$C:$C,$C148,'Disbursements Summary'!$A:$A,"LCWSA")</f>
        <v>0</v>
      </c>
      <c r="DJ148" s="55">
        <f>SUMIFS('Awards Summary'!$H:$H,'Awards Summary'!$B:$B,$C148,'Awards Summary'!$J:$J,"LIPA")</f>
        <v>0</v>
      </c>
      <c r="DK148" s="55">
        <f>SUMIFS('Disbursements Summary'!$E:$E,'Disbursements Summary'!$C:$C,$C148,'Disbursements Summary'!$A:$A,"LIPA")</f>
        <v>0</v>
      </c>
      <c r="DL148" s="55">
        <f>SUMIFS('Awards Summary'!$H:$H,'Awards Summary'!$B:$B,$C148,'Awards Summary'!$J:$J,"MTA")</f>
        <v>0</v>
      </c>
      <c r="DM148" s="55">
        <f>SUMIFS('Disbursements Summary'!$E:$E,'Disbursements Summary'!$C:$C,$C148,'Disbursements Summary'!$A:$A,"MTA")</f>
        <v>0</v>
      </c>
      <c r="DN148" s="55">
        <f>SUMIFS('Awards Summary'!$H:$H,'Awards Summary'!$B:$B,$C148,'Awards Summary'!$J:$J,"NIFA")</f>
        <v>0</v>
      </c>
      <c r="DO148" s="55">
        <f>SUMIFS('Disbursements Summary'!$E:$E,'Disbursements Summary'!$C:$C,$C148,'Disbursements Summary'!$A:$A,"NIFA")</f>
        <v>0</v>
      </c>
      <c r="DP148" s="55">
        <f>SUMIFS('Awards Summary'!$H:$H,'Awards Summary'!$B:$B,$C148,'Awards Summary'!$J:$J,"NHCC")</f>
        <v>0</v>
      </c>
      <c r="DQ148" s="55">
        <f>SUMIFS('Disbursements Summary'!$E:$E,'Disbursements Summary'!$C:$C,$C148,'Disbursements Summary'!$A:$A,"NHCC")</f>
        <v>0</v>
      </c>
      <c r="DR148" s="55">
        <f>SUMIFS('Awards Summary'!$H:$H,'Awards Summary'!$B:$B,$C148,'Awards Summary'!$J:$J,"NHT")</f>
        <v>0</v>
      </c>
      <c r="DS148" s="55">
        <f>SUMIFS('Disbursements Summary'!$E:$E,'Disbursements Summary'!$C:$C,$C148,'Disbursements Summary'!$A:$A,"NHT")</f>
        <v>0</v>
      </c>
      <c r="DT148" s="55">
        <f>SUMIFS('Awards Summary'!$H:$H,'Awards Summary'!$B:$B,$C148,'Awards Summary'!$J:$J,"NYPA")</f>
        <v>0</v>
      </c>
      <c r="DU148" s="55">
        <f>SUMIFS('Disbursements Summary'!$E:$E,'Disbursements Summary'!$C:$C,$C148,'Disbursements Summary'!$A:$A,"NYPA")</f>
        <v>0</v>
      </c>
      <c r="DV148" s="55">
        <f>SUMIFS('Awards Summary'!$H:$H,'Awards Summary'!$B:$B,$C148,'Awards Summary'!$J:$J,"NYSBA")</f>
        <v>0</v>
      </c>
      <c r="DW148" s="55">
        <f>SUMIFS('Disbursements Summary'!$E:$E,'Disbursements Summary'!$C:$C,$C148,'Disbursements Summary'!$A:$A,"NYSBA")</f>
        <v>0</v>
      </c>
      <c r="DX148" s="55">
        <f>SUMIFS('Awards Summary'!$H:$H,'Awards Summary'!$B:$B,$C148,'Awards Summary'!$J:$J,"NYSERDA")</f>
        <v>0</v>
      </c>
      <c r="DY148" s="55">
        <f>SUMIFS('Disbursements Summary'!$E:$E,'Disbursements Summary'!$C:$C,$C148,'Disbursements Summary'!$A:$A,"NYSERDA")</f>
        <v>0</v>
      </c>
      <c r="DZ148" s="55">
        <f>SUMIFS('Awards Summary'!$H:$H,'Awards Summary'!$B:$B,$C148,'Awards Summary'!$J:$J,"DHCR")</f>
        <v>0</v>
      </c>
      <c r="EA148" s="55">
        <f>SUMIFS('Disbursements Summary'!$E:$E,'Disbursements Summary'!$C:$C,$C148,'Disbursements Summary'!$A:$A,"DHCR")</f>
        <v>0</v>
      </c>
      <c r="EB148" s="55">
        <f>SUMIFS('Awards Summary'!$H:$H,'Awards Summary'!$B:$B,$C148,'Awards Summary'!$J:$J,"HFA")</f>
        <v>0</v>
      </c>
      <c r="EC148" s="55">
        <f>SUMIFS('Disbursements Summary'!$E:$E,'Disbursements Summary'!$C:$C,$C148,'Disbursements Summary'!$A:$A,"HFA")</f>
        <v>0</v>
      </c>
      <c r="ED148" s="55">
        <f>SUMIFS('Awards Summary'!$H:$H,'Awards Summary'!$B:$B,$C148,'Awards Summary'!$J:$J,"NYSIF")</f>
        <v>0</v>
      </c>
      <c r="EE148" s="55">
        <f>SUMIFS('Disbursements Summary'!$E:$E,'Disbursements Summary'!$C:$C,$C148,'Disbursements Summary'!$A:$A,"NYSIF")</f>
        <v>0</v>
      </c>
      <c r="EF148" s="55">
        <f>SUMIFS('Awards Summary'!$H:$H,'Awards Summary'!$B:$B,$C148,'Awards Summary'!$J:$J,"NYBREDS")</f>
        <v>0</v>
      </c>
      <c r="EG148" s="55">
        <f>SUMIFS('Disbursements Summary'!$E:$E,'Disbursements Summary'!$C:$C,$C148,'Disbursements Summary'!$A:$A,"NYBREDS")</f>
        <v>0</v>
      </c>
      <c r="EH148" s="55">
        <f>SUMIFS('Awards Summary'!$H:$H,'Awards Summary'!$B:$B,$C148,'Awards Summary'!$J:$J,"NYSTA")</f>
        <v>0</v>
      </c>
      <c r="EI148" s="55">
        <f>SUMIFS('Disbursements Summary'!$E:$E,'Disbursements Summary'!$C:$C,$C148,'Disbursements Summary'!$A:$A,"NYSTA")</f>
        <v>0</v>
      </c>
      <c r="EJ148" s="55">
        <f>SUMIFS('Awards Summary'!$H:$H,'Awards Summary'!$B:$B,$C148,'Awards Summary'!$J:$J,"NFWB")</f>
        <v>0</v>
      </c>
      <c r="EK148" s="55">
        <f>SUMIFS('Disbursements Summary'!$E:$E,'Disbursements Summary'!$C:$C,$C148,'Disbursements Summary'!$A:$A,"NFWB")</f>
        <v>0</v>
      </c>
      <c r="EL148" s="55">
        <f>SUMIFS('Awards Summary'!$H:$H,'Awards Summary'!$B:$B,$C148,'Awards Summary'!$J:$J,"NFTA")</f>
        <v>0</v>
      </c>
      <c r="EM148" s="55">
        <f>SUMIFS('Disbursements Summary'!$E:$E,'Disbursements Summary'!$C:$C,$C148,'Disbursements Summary'!$A:$A,"NFTA")</f>
        <v>0</v>
      </c>
      <c r="EN148" s="55">
        <f>SUMIFS('Awards Summary'!$H:$H,'Awards Summary'!$B:$B,$C148,'Awards Summary'!$J:$J,"OPWDD")</f>
        <v>0</v>
      </c>
      <c r="EO148" s="55">
        <f>SUMIFS('Disbursements Summary'!$E:$E,'Disbursements Summary'!$C:$C,$C148,'Disbursements Summary'!$A:$A,"OPWDD")</f>
        <v>0</v>
      </c>
      <c r="EP148" s="55">
        <f>SUMIFS('Awards Summary'!$H:$H,'Awards Summary'!$B:$B,$C148,'Awards Summary'!$J:$J,"AGING")</f>
        <v>0</v>
      </c>
      <c r="EQ148" s="55">
        <f>SUMIFS('Disbursements Summary'!$E:$E,'Disbursements Summary'!$C:$C,$C148,'Disbursements Summary'!$A:$A,"AGING")</f>
        <v>0</v>
      </c>
      <c r="ER148" s="55">
        <f>SUMIFS('Awards Summary'!$H:$H,'Awards Summary'!$B:$B,$C148,'Awards Summary'!$J:$J,"OPDV")</f>
        <v>0</v>
      </c>
      <c r="ES148" s="55">
        <f>SUMIFS('Disbursements Summary'!$E:$E,'Disbursements Summary'!$C:$C,$C148,'Disbursements Summary'!$A:$A,"OPDV")</f>
        <v>0</v>
      </c>
      <c r="ET148" s="55">
        <f>SUMIFS('Awards Summary'!$H:$H,'Awards Summary'!$B:$B,$C148,'Awards Summary'!$J:$J,"OVS")</f>
        <v>0</v>
      </c>
      <c r="EU148" s="55">
        <f>SUMIFS('Disbursements Summary'!$E:$E,'Disbursements Summary'!$C:$C,$C148,'Disbursements Summary'!$A:$A,"OVS")</f>
        <v>0</v>
      </c>
      <c r="EV148" s="55">
        <f>SUMIFS('Awards Summary'!$H:$H,'Awards Summary'!$B:$B,$C148,'Awards Summary'!$J:$J,"OASAS")</f>
        <v>0</v>
      </c>
      <c r="EW148" s="55">
        <f>SUMIFS('Disbursements Summary'!$E:$E,'Disbursements Summary'!$C:$C,$C148,'Disbursements Summary'!$A:$A,"OASAS")</f>
        <v>0</v>
      </c>
      <c r="EX148" s="55">
        <f>SUMIFS('Awards Summary'!$H:$H,'Awards Summary'!$B:$B,$C148,'Awards Summary'!$J:$J,"OCFS")</f>
        <v>0</v>
      </c>
      <c r="EY148" s="55">
        <f>SUMIFS('Disbursements Summary'!$E:$E,'Disbursements Summary'!$C:$C,$C148,'Disbursements Summary'!$A:$A,"OCFS")</f>
        <v>0</v>
      </c>
      <c r="EZ148" s="55">
        <f>SUMIFS('Awards Summary'!$H:$H,'Awards Summary'!$B:$B,$C148,'Awards Summary'!$J:$J,"OGS")</f>
        <v>0</v>
      </c>
      <c r="FA148" s="55">
        <f>SUMIFS('Disbursements Summary'!$E:$E,'Disbursements Summary'!$C:$C,$C148,'Disbursements Summary'!$A:$A,"OGS")</f>
        <v>0</v>
      </c>
      <c r="FB148" s="55">
        <f>SUMIFS('Awards Summary'!$H:$H,'Awards Summary'!$B:$B,$C148,'Awards Summary'!$J:$J,"OMH")</f>
        <v>0</v>
      </c>
      <c r="FC148" s="55">
        <f>SUMIFS('Disbursements Summary'!$E:$E,'Disbursements Summary'!$C:$C,$C148,'Disbursements Summary'!$A:$A,"OMH")</f>
        <v>0</v>
      </c>
      <c r="FD148" s="55">
        <f>SUMIFS('Awards Summary'!$H:$H,'Awards Summary'!$B:$B,$C148,'Awards Summary'!$J:$J,"PARKS")</f>
        <v>0</v>
      </c>
      <c r="FE148" s="55">
        <f>SUMIFS('Disbursements Summary'!$E:$E,'Disbursements Summary'!$C:$C,$C148,'Disbursements Summary'!$A:$A,"PARKS")</f>
        <v>0</v>
      </c>
      <c r="FF148" s="55">
        <f>SUMIFS('Awards Summary'!$H:$H,'Awards Summary'!$B:$B,$C148,'Awards Summary'!$J:$J,"OTDA")</f>
        <v>0</v>
      </c>
      <c r="FG148" s="55">
        <f>SUMIFS('Disbursements Summary'!$E:$E,'Disbursements Summary'!$C:$C,$C148,'Disbursements Summary'!$A:$A,"OTDA")</f>
        <v>0</v>
      </c>
      <c r="FH148" s="55">
        <f>SUMIFS('Awards Summary'!$H:$H,'Awards Summary'!$B:$B,$C148,'Awards Summary'!$J:$J,"OIG")</f>
        <v>0</v>
      </c>
      <c r="FI148" s="55">
        <f>SUMIFS('Disbursements Summary'!$E:$E,'Disbursements Summary'!$C:$C,$C148,'Disbursements Summary'!$A:$A,"OIG")</f>
        <v>0</v>
      </c>
      <c r="FJ148" s="55">
        <f>SUMIFS('Awards Summary'!$H:$H,'Awards Summary'!$B:$B,$C148,'Awards Summary'!$J:$J,"OMIG")</f>
        <v>0</v>
      </c>
      <c r="FK148" s="55">
        <f>SUMIFS('Disbursements Summary'!$E:$E,'Disbursements Summary'!$C:$C,$C148,'Disbursements Summary'!$A:$A,"OMIG")</f>
        <v>0</v>
      </c>
      <c r="FL148" s="55">
        <f>SUMIFS('Awards Summary'!$H:$H,'Awards Summary'!$B:$B,$C148,'Awards Summary'!$J:$J,"OSC")</f>
        <v>0</v>
      </c>
      <c r="FM148" s="55">
        <f>SUMIFS('Disbursements Summary'!$E:$E,'Disbursements Summary'!$C:$C,$C148,'Disbursements Summary'!$A:$A,"OSC")</f>
        <v>0</v>
      </c>
      <c r="FN148" s="55">
        <f>SUMIFS('Awards Summary'!$H:$H,'Awards Summary'!$B:$B,$C148,'Awards Summary'!$J:$J,"OWIG")</f>
        <v>0</v>
      </c>
      <c r="FO148" s="55">
        <f>SUMIFS('Disbursements Summary'!$E:$E,'Disbursements Summary'!$C:$C,$C148,'Disbursements Summary'!$A:$A,"OWIG")</f>
        <v>0</v>
      </c>
      <c r="FP148" s="55">
        <f>SUMIFS('Awards Summary'!$H:$H,'Awards Summary'!$B:$B,$C148,'Awards Summary'!$J:$J,"OGDEN")</f>
        <v>0</v>
      </c>
      <c r="FQ148" s="55">
        <f>SUMIFS('Disbursements Summary'!$E:$E,'Disbursements Summary'!$C:$C,$C148,'Disbursements Summary'!$A:$A,"OGDEN")</f>
        <v>0</v>
      </c>
      <c r="FR148" s="55">
        <f>SUMIFS('Awards Summary'!$H:$H,'Awards Summary'!$B:$B,$C148,'Awards Summary'!$J:$J,"ORDA")</f>
        <v>0</v>
      </c>
      <c r="FS148" s="55">
        <f>SUMIFS('Disbursements Summary'!$E:$E,'Disbursements Summary'!$C:$C,$C148,'Disbursements Summary'!$A:$A,"ORDA")</f>
        <v>0</v>
      </c>
      <c r="FT148" s="55">
        <f>SUMIFS('Awards Summary'!$H:$H,'Awards Summary'!$B:$B,$C148,'Awards Summary'!$J:$J,"OSWEGO")</f>
        <v>0</v>
      </c>
      <c r="FU148" s="55">
        <f>SUMIFS('Disbursements Summary'!$E:$E,'Disbursements Summary'!$C:$C,$C148,'Disbursements Summary'!$A:$A,"OSWEGO")</f>
        <v>0</v>
      </c>
      <c r="FV148" s="55">
        <f>SUMIFS('Awards Summary'!$H:$H,'Awards Summary'!$B:$B,$C148,'Awards Summary'!$J:$J,"PERB")</f>
        <v>0</v>
      </c>
      <c r="FW148" s="55">
        <f>SUMIFS('Disbursements Summary'!$E:$E,'Disbursements Summary'!$C:$C,$C148,'Disbursements Summary'!$A:$A,"PERB")</f>
        <v>0</v>
      </c>
      <c r="FX148" s="55">
        <f>SUMIFS('Awards Summary'!$H:$H,'Awards Summary'!$B:$B,$C148,'Awards Summary'!$J:$J,"RGRTA")</f>
        <v>0</v>
      </c>
      <c r="FY148" s="55">
        <f>SUMIFS('Disbursements Summary'!$E:$E,'Disbursements Summary'!$C:$C,$C148,'Disbursements Summary'!$A:$A,"RGRTA")</f>
        <v>0</v>
      </c>
      <c r="FZ148" s="55">
        <f>SUMIFS('Awards Summary'!$H:$H,'Awards Summary'!$B:$B,$C148,'Awards Summary'!$J:$J,"RIOC")</f>
        <v>0</v>
      </c>
      <c r="GA148" s="55">
        <f>SUMIFS('Disbursements Summary'!$E:$E,'Disbursements Summary'!$C:$C,$C148,'Disbursements Summary'!$A:$A,"RIOC")</f>
        <v>0</v>
      </c>
      <c r="GB148" s="55">
        <f>SUMIFS('Awards Summary'!$H:$H,'Awards Summary'!$B:$B,$C148,'Awards Summary'!$J:$J,"RPCI")</f>
        <v>0</v>
      </c>
      <c r="GC148" s="55">
        <f>SUMIFS('Disbursements Summary'!$E:$E,'Disbursements Summary'!$C:$C,$C148,'Disbursements Summary'!$A:$A,"RPCI")</f>
        <v>0</v>
      </c>
      <c r="GD148" s="55">
        <f>SUMIFS('Awards Summary'!$H:$H,'Awards Summary'!$B:$B,$C148,'Awards Summary'!$J:$J,"SMDA")</f>
        <v>0</v>
      </c>
      <c r="GE148" s="55">
        <f>SUMIFS('Disbursements Summary'!$E:$E,'Disbursements Summary'!$C:$C,$C148,'Disbursements Summary'!$A:$A,"SMDA")</f>
        <v>0</v>
      </c>
      <c r="GF148" s="55">
        <f>SUMIFS('Awards Summary'!$H:$H,'Awards Summary'!$B:$B,$C148,'Awards Summary'!$J:$J,"SCOC")</f>
        <v>0</v>
      </c>
      <c r="GG148" s="55">
        <f>SUMIFS('Disbursements Summary'!$E:$E,'Disbursements Summary'!$C:$C,$C148,'Disbursements Summary'!$A:$A,"SCOC")</f>
        <v>0</v>
      </c>
      <c r="GH148" s="55">
        <f>SUMIFS('Awards Summary'!$H:$H,'Awards Summary'!$B:$B,$C148,'Awards Summary'!$J:$J,"SUCF")</f>
        <v>0</v>
      </c>
      <c r="GI148" s="55">
        <f>SUMIFS('Disbursements Summary'!$E:$E,'Disbursements Summary'!$C:$C,$C148,'Disbursements Summary'!$A:$A,"SUCF")</f>
        <v>0</v>
      </c>
      <c r="GJ148" s="55">
        <f>SUMIFS('Awards Summary'!$H:$H,'Awards Summary'!$B:$B,$C148,'Awards Summary'!$J:$J,"SUNY")</f>
        <v>0</v>
      </c>
      <c r="GK148" s="55">
        <f>SUMIFS('Disbursements Summary'!$E:$E,'Disbursements Summary'!$C:$C,$C148,'Disbursements Summary'!$A:$A,"SUNY")</f>
        <v>0</v>
      </c>
      <c r="GL148" s="55">
        <f>SUMIFS('Awards Summary'!$H:$H,'Awards Summary'!$B:$B,$C148,'Awards Summary'!$J:$J,"SRAA")</f>
        <v>0</v>
      </c>
      <c r="GM148" s="55">
        <f>SUMIFS('Disbursements Summary'!$E:$E,'Disbursements Summary'!$C:$C,$C148,'Disbursements Summary'!$A:$A,"SRAA")</f>
        <v>0</v>
      </c>
      <c r="GN148" s="55">
        <f>SUMIFS('Awards Summary'!$H:$H,'Awards Summary'!$B:$B,$C148,'Awards Summary'!$J:$J,"UNDC")</f>
        <v>0</v>
      </c>
      <c r="GO148" s="55">
        <f>SUMIFS('Disbursements Summary'!$E:$E,'Disbursements Summary'!$C:$C,$C148,'Disbursements Summary'!$A:$A,"UNDC")</f>
        <v>0</v>
      </c>
      <c r="GP148" s="55">
        <f>SUMIFS('Awards Summary'!$H:$H,'Awards Summary'!$B:$B,$C148,'Awards Summary'!$J:$J,"MVWA")</f>
        <v>0</v>
      </c>
      <c r="GQ148" s="55">
        <f>SUMIFS('Disbursements Summary'!$E:$E,'Disbursements Summary'!$C:$C,$C148,'Disbursements Summary'!$A:$A,"MVWA")</f>
        <v>0</v>
      </c>
      <c r="GR148" s="55">
        <f>SUMIFS('Awards Summary'!$H:$H,'Awards Summary'!$B:$B,$C148,'Awards Summary'!$J:$J,"WMC")</f>
        <v>0</v>
      </c>
      <c r="GS148" s="55">
        <f>SUMIFS('Disbursements Summary'!$E:$E,'Disbursements Summary'!$C:$C,$C148,'Disbursements Summary'!$A:$A,"WMC")</f>
        <v>0</v>
      </c>
      <c r="GT148" s="55">
        <f>SUMIFS('Awards Summary'!$H:$H,'Awards Summary'!$B:$B,$C148,'Awards Summary'!$J:$J,"WCB")</f>
        <v>0</v>
      </c>
      <c r="GU148" s="55">
        <f>SUMIFS('Disbursements Summary'!$E:$E,'Disbursements Summary'!$C:$C,$C148,'Disbursements Summary'!$A:$A,"WCB")</f>
        <v>0</v>
      </c>
      <c r="GV148" s="32">
        <f t="shared" si="10"/>
        <v>0</v>
      </c>
      <c r="GW148" s="32">
        <f t="shared" si="11"/>
        <v>0</v>
      </c>
      <c r="GX148" s="30" t="b">
        <f t="shared" si="12"/>
        <v>1</v>
      </c>
      <c r="GY148" s="30" t="b">
        <f t="shared" si="13"/>
        <v>1</v>
      </c>
    </row>
    <row r="149" spans="1:207" s="323" customFormat="1">
      <c r="A149" s="22" t="str">
        <f t="shared" si="14"/>
        <v/>
      </c>
      <c r="B149" s="70" t="s">
        <v>491</v>
      </c>
      <c r="C149" s="71">
        <v>171447</v>
      </c>
      <c r="D149" s="66">
        <f>COUNTIF('Awards Summary'!B:B,"171447")</f>
        <v>0</v>
      </c>
      <c r="E149" s="67">
        <f>SUMIFS('Awards Summary'!H:H,'Awards Summary'!B:B,"171447")</f>
        <v>0</v>
      </c>
      <c r="F149" s="68">
        <f>SUMIFS('Disbursements Summary'!E:E,'Disbursements Summary'!C:C, "171447")</f>
        <v>0</v>
      </c>
      <c r="H149" s="55">
        <f>SUMIFS('Awards Summary'!$H:$H,'Awards Summary'!$B:$B,$C149,'Awards Summary'!$J:$J,"APA")</f>
        <v>0</v>
      </c>
      <c r="I149" s="55">
        <f>SUMIFS('Disbursements Summary'!$E:$E,'Disbursements Summary'!$C:$C,$C149,'Disbursements Summary'!$A:$A,"APA")</f>
        <v>0</v>
      </c>
      <c r="J149" s="55">
        <f>SUMIFS('Awards Summary'!$H:$H,'Awards Summary'!$B:$B,$C149,'Awards Summary'!$J:$J,"Ag&amp;Horse")</f>
        <v>0</v>
      </c>
      <c r="K149" s="55">
        <f>SUMIFS('Disbursements Summary'!$E:$E,'Disbursements Summary'!$C:$C,$C149,'Disbursements Summary'!$A:$A,"Ag&amp;Horse")</f>
        <v>0</v>
      </c>
      <c r="L149" s="55">
        <f>SUMIFS('Awards Summary'!$H:$H,'Awards Summary'!$B:$B,$C149,'Awards Summary'!$J:$J,"ACAA")</f>
        <v>0</v>
      </c>
      <c r="M149" s="55">
        <f>SUMIFS('Disbursements Summary'!$E:$E,'Disbursements Summary'!$C:$C,$C149,'Disbursements Summary'!$A:$A,"ACAA")</f>
        <v>0</v>
      </c>
      <c r="N149" s="55">
        <f>SUMIFS('Awards Summary'!$H:$H,'Awards Summary'!$B:$B,$C149,'Awards Summary'!$J:$J,"PortAlbany")</f>
        <v>0</v>
      </c>
      <c r="O149" s="55">
        <f>SUMIFS('Disbursements Summary'!$E:$E,'Disbursements Summary'!$C:$C,$C149,'Disbursements Summary'!$A:$A,"PortAlbany")</f>
        <v>0</v>
      </c>
      <c r="P149" s="55">
        <f>SUMIFS('Awards Summary'!$H:$H,'Awards Summary'!$B:$B,$C149,'Awards Summary'!$J:$J,"SLA")</f>
        <v>0</v>
      </c>
      <c r="Q149" s="55">
        <f>SUMIFS('Disbursements Summary'!$E:$E,'Disbursements Summary'!$C:$C,$C149,'Disbursements Summary'!$A:$A,"SLA")</f>
        <v>0</v>
      </c>
      <c r="R149" s="55">
        <f>SUMIFS('Awards Summary'!$H:$H,'Awards Summary'!$B:$B,$C149,'Awards Summary'!$J:$J,"BPCA")</f>
        <v>0</v>
      </c>
      <c r="S149" s="55">
        <f>SUMIFS('Disbursements Summary'!$E:$E,'Disbursements Summary'!$C:$C,$C149,'Disbursements Summary'!$A:$A,"BPCA")</f>
        <v>0</v>
      </c>
      <c r="T149" s="55">
        <f>SUMIFS('Awards Summary'!$H:$H,'Awards Summary'!$B:$B,$C149,'Awards Summary'!$J:$J,"ELECTIONS")</f>
        <v>0</v>
      </c>
      <c r="U149" s="55">
        <f>SUMIFS('Disbursements Summary'!$E:$E,'Disbursements Summary'!$C:$C,$C149,'Disbursements Summary'!$A:$A,"ELECTIONS")</f>
        <v>0</v>
      </c>
      <c r="V149" s="55">
        <f>SUMIFS('Awards Summary'!$H:$H,'Awards Summary'!$B:$B,$C149,'Awards Summary'!$J:$J,"BFSA")</f>
        <v>0</v>
      </c>
      <c r="W149" s="55">
        <f>SUMIFS('Disbursements Summary'!$E:$E,'Disbursements Summary'!$C:$C,$C149,'Disbursements Summary'!$A:$A,"BFSA")</f>
        <v>0</v>
      </c>
      <c r="X149" s="55">
        <f>SUMIFS('Awards Summary'!$H:$H,'Awards Summary'!$B:$B,$C149,'Awards Summary'!$J:$J,"CDTA")</f>
        <v>0</v>
      </c>
      <c r="Y149" s="55">
        <f>SUMIFS('Disbursements Summary'!$E:$E,'Disbursements Summary'!$C:$C,$C149,'Disbursements Summary'!$A:$A,"CDTA")</f>
        <v>0</v>
      </c>
      <c r="Z149" s="55">
        <f>SUMIFS('Awards Summary'!$H:$H,'Awards Summary'!$B:$B,$C149,'Awards Summary'!$J:$J,"CCWSA")</f>
        <v>0</v>
      </c>
      <c r="AA149" s="55">
        <f>SUMIFS('Disbursements Summary'!$E:$E,'Disbursements Summary'!$C:$C,$C149,'Disbursements Summary'!$A:$A,"CCWSA")</f>
        <v>0</v>
      </c>
      <c r="AB149" s="55">
        <f>SUMIFS('Awards Summary'!$H:$H,'Awards Summary'!$B:$B,$C149,'Awards Summary'!$J:$J,"CNYRTA")</f>
        <v>0</v>
      </c>
      <c r="AC149" s="55">
        <f>SUMIFS('Disbursements Summary'!$E:$E,'Disbursements Summary'!$C:$C,$C149,'Disbursements Summary'!$A:$A,"CNYRTA")</f>
        <v>0</v>
      </c>
      <c r="AD149" s="55">
        <f>SUMIFS('Awards Summary'!$H:$H,'Awards Summary'!$B:$B,$C149,'Awards Summary'!$J:$J,"CUCF")</f>
        <v>0</v>
      </c>
      <c r="AE149" s="55">
        <f>SUMIFS('Disbursements Summary'!$E:$E,'Disbursements Summary'!$C:$C,$C149,'Disbursements Summary'!$A:$A,"CUCF")</f>
        <v>0</v>
      </c>
      <c r="AF149" s="55">
        <f>SUMIFS('Awards Summary'!$H:$H,'Awards Summary'!$B:$B,$C149,'Awards Summary'!$J:$J,"CUNY")</f>
        <v>0</v>
      </c>
      <c r="AG149" s="55">
        <f>SUMIFS('Disbursements Summary'!$E:$E,'Disbursements Summary'!$C:$C,$C149,'Disbursements Summary'!$A:$A,"CUNY")</f>
        <v>0</v>
      </c>
      <c r="AH149" s="55">
        <f>SUMIFS('Awards Summary'!$H:$H,'Awards Summary'!$B:$B,$C149,'Awards Summary'!$J:$J,"ARTS")</f>
        <v>0</v>
      </c>
      <c r="AI149" s="55">
        <f>SUMIFS('Disbursements Summary'!$E:$E,'Disbursements Summary'!$C:$C,$C149,'Disbursements Summary'!$A:$A,"ARTS")</f>
        <v>0</v>
      </c>
      <c r="AJ149" s="55">
        <f>SUMIFS('Awards Summary'!$H:$H,'Awards Summary'!$B:$B,$C149,'Awards Summary'!$J:$J,"AG&amp;MKTS")</f>
        <v>0</v>
      </c>
      <c r="AK149" s="55">
        <f>SUMIFS('Disbursements Summary'!$E:$E,'Disbursements Summary'!$C:$C,$C149,'Disbursements Summary'!$A:$A,"AG&amp;MKTS")</f>
        <v>0</v>
      </c>
      <c r="AL149" s="55">
        <f>SUMIFS('Awards Summary'!$H:$H,'Awards Summary'!$B:$B,$C149,'Awards Summary'!$J:$J,"CS")</f>
        <v>0</v>
      </c>
      <c r="AM149" s="55">
        <f>SUMIFS('Disbursements Summary'!$E:$E,'Disbursements Summary'!$C:$C,$C149,'Disbursements Summary'!$A:$A,"CS")</f>
        <v>0</v>
      </c>
      <c r="AN149" s="55">
        <f>SUMIFS('Awards Summary'!$H:$H,'Awards Summary'!$B:$B,$C149,'Awards Summary'!$J:$J,"DOCCS")</f>
        <v>0</v>
      </c>
      <c r="AO149" s="55">
        <f>SUMIFS('Disbursements Summary'!$E:$E,'Disbursements Summary'!$C:$C,$C149,'Disbursements Summary'!$A:$A,"DOCCS")</f>
        <v>0</v>
      </c>
      <c r="AP149" s="55">
        <f>SUMIFS('Awards Summary'!$H:$H,'Awards Summary'!$B:$B,$C149,'Awards Summary'!$J:$J,"DED")</f>
        <v>0</v>
      </c>
      <c r="AQ149" s="55">
        <f>SUMIFS('Disbursements Summary'!$E:$E,'Disbursements Summary'!$C:$C,$C149,'Disbursements Summary'!$A:$A,"DED")</f>
        <v>0</v>
      </c>
      <c r="AR149" s="55">
        <f>SUMIFS('Awards Summary'!$H:$H,'Awards Summary'!$B:$B,$C149,'Awards Summary'!$J:$J,"DEC")</f>
        <v>0</v>
      </c>
      <c r="AS149" s="55">
        <f>SUMIFS('Disbursements Summary'!$E:$E,'Disbursements Summary'!$C:$C,$C149,'Disbursements Summary'!$A:$A,"DEC")</f>
        <v>0</v>
      </c>
      <c r="AT149" s="55">
        <f>SUMIFS('Awards Summary'!$H:$H,'Awards Summary'!$B:$B,$C149,'Awards Summary'!$J:$J,"DFS")</f>
        <v>0</v>
      </c>
      <c r="AU149" s="55">
        <f>SUMIFS('Disbursements Summary'!$E:$E,'Disbursements Summary'!$C:$C,$C149,'Disbursements Summary'!$A:$A,"DFS")</f>
        <v>0</v>
      </c>
      <c r="AV149" s="55">
        <f>SUMIFS('Awards Summary'!$H:$H,'Awards Summary'!$B:$B,$C149,'Awards Summary'!$J:$J,"DOH")</f>
        <v>0</v>
      </c>
      <c r="AW149" s="55">
        <f>SUMIFS('Disbursements Summary'!$E:$E,'Disbursements Summary'!$C:$C,$C149,'Disbursements Summary'!$A:$A,"DOH")</f>
        <v>0</v>
      </c>
      <c r="AX149" s="55">
        <f>SUMIFS('Awards Summary'!$H:$H,'Awards Summary'!$B:$B,$C149,'Awards Summary'!$J:$J,"DOL")</f>
        <v>0</v>
      </c>
      <c r="AY149" s="55">
        <f>SUMIFS('Disbursements Summary'!$E:$E,'Disbursements Summary'!$C:$C,$C149,'Disbursements Summary'!$A:$A,"DOL")</f>
        <v>0</v>
      </c>
      <c r="AZ149" s="55">
        <f>SUMIFS('Awards Summary'!$H:$H,'Awards Summary'!$B:$B,$C149,'Awards Summary'!$J:$J,"DMV")</f>
        <v>0</v>
      </c>
      <c r="BA149" s="55">
        <f>SUMIFS('Disbursements Summary'!$E:$E,'Disbursements Summary'!$C:$C,$C149,'Disbursements Summary'!$A:$A,"DMV")</f>
        <v>0</v>
      </c>
      <c r="BB149" s="55">
        <f>SUMIFS('Awards Summary'!$H:$H,'Awards Summary'!$B:$B,$C149,'Awards Summary'!$J:$J,"DPS")</f>
        <v>0</v>
      </c>
      <c r="BC149" s="55">
        <f>SUMIFS('Disbursements Summary'!$E:$E,'Disbursements Summary'!$C:$C,$C149,'Disbursements Summary'!$A:$A,"DPS")</f>
        <v>0</v>
      </c>
      <c r="BD149" s="55">
        <f>SUMIFS('Awards Summary'!$H:$H,'Awards Summary'!$B:$B,$C149,'Awards Summary'!$J:$J,"DOS")</f>
        <v>0</v>
      </c>
      <c r="BE149" s="55">
        <f>SUMIFS('Disbursements Summary'!$E:$E,'Disbursements Summary'!$C:$C,$C149,'Disbursements Summary'!$A:$A,"DOS")</f>
        <v>0</v>
      </c>
      <c r="BF149" s="55">
        <f>SUMIFS('Awards Summary'!$H:$H,'Awards Summary'!$B:$B,$C149,'Awards Summary'!$J:$J,"TAX")</f>
        <v>0</v>
      </c>
      <c r="BG149" s="55">
        <f>SUMIFS('Disbursements Summary'!$E:$E,'Disbursements Summary'!$C:$C,$C149,'Disbursements Summary'!$A:$A,"TAX")</f>
        <v>0</v>
      </c>
      <c r="BH149" s="55">
        <f>SUMIFS('Awards Summary'!$H:$H,'Awards Summary'!$B:$B,$C149,'Awards Summary'!$J:$J,"DOT")</f>
        <v>0</v>
      </c>
      <c r="BI149" s="55">
        <f>SUMIFS('Disbursements Summary'!$E:$E,'Disbursements Summary'!$C:$C,$C149,'Disbursements Summary'!$A:$A,"DOT")</f>
        <v>0</v>
      </c>
      <c r="BJ149" s="55">
        <f>SUMIFS('Awards Summary'!$H:$H,'Awards Summary'!$B:$B,$C149,'Awards Summary'!$J:$J,"DANC")</f>
        <v>0</v>
      </c>
      <c r="BK149" s="55">
        <f>SUMIFS('Disbursements Summary'!$E:$E,'Disbursements Summary'!$C:$C,$C149,'Disbursements Summary'!$A:$A,"DANC")</f>
        <v>0</v>
      </c>
      <c r="BL149" s="55">
        <f>SUMIFS('Awards Summary'!$H:$H,'Awards Summary'!$B:$B,$C149,'Awards Summary'!$J:$J,"DOB")</f>
        <v>0</v>
      </c>
      <c r="BM149" s="55">
        <f>SUMIFS('Disbursements Summary'!$E:$E,'Disbursements Summary'!$C:$C,$C149,'Disbursements Summary'!$A:$A,"DOB")</f>
        <v>0</v>
      </c>
      <c r="BN149" s="55">
        <f>SUMIFS('Awards Summary'!$H:$H,'Awards Summary'!$B:$B,$C149,'Awards Summary'!$J:$J,"DCJS")</f>
        <v>0</v>
      </c>
      <c r="BO149" s="55">
        <f>SUMIFS('Disbursements Summary'!$E:$E,'Disbursements Summary'!$C:$C,$C149,'Disbursements Summary'!$A:$A,"DCJS")</f>
        <v>0</v>
      </c>
      <c r="BP149" s="55">
        <f>SUMIFS('Awards Summary'!$H:$H,'Awards Summary'!$B:$B,$C149,'Awards Summary'!$J:$J,"DHSES")</f>
        <v>0</v>
      </c>
      <c r="BQ149" s="55">
        <f>SUMIFS('Disbursements Summary'!$E:$E,'Disbursements Summary'!$C:$C,$C149,'Disbursements Summary'!$A:$A,"DHSES")</f>
        <v>0</v>
      </c>
      <c r="BR149" s="55">
        <f>SUMIFS('Awards Summary'!$H:$H,'Awards Summary'!$B:$B,$C149,'Awards Summary'!$J:$J,"DHR")</f>
        <v>0</v>
      </c>
      <c r="BS149" s="55">
        <f>SUMIFS('Disbursements Summary'!$E:$E,'Disbursements Summary'!$C:$C,$C149,'Disbursements Summary'!$A:$A,"DHR")</f>
        <v>0</v>
      </c>
      <c r="BT149" s="55">
        <f>SUMIFS('Awards Summary'!$H:$H,'Awards Summary'!$B:$B,$C149,'Awards Summary'!$J:$J,"DMNA")</f>
        <v>0</v>
      </c>
      <c r="BU149" s="55">
        <f>SUMIFS('Disbursements Summary'!$E:$E,'Disbursements Summary'!$C:$C,$C149,'Disbursements Summary'!$A:$A,"DMNA")</f>
        <v>0</v>
      </c>
      <c r="BV149" s="55">
        <f>SUMIFS('Awards Summary'!$H:$H,'Awards Summary'!$B:$B,$C149,'Awards Summary'!$J:$J,"TROOPERS")</f>
        <v>0</v>
      </c>
      <c r="BW149" s="55">
        <f>SUMIFS('Disbursements Summary'!$E:$E,'Disbursements Summary'!$C:$C,$C149,'Disbursements Summary'!$A:$A,"TROOPERS")</f>
        <v>0</v>
      </c>
      <c r="BX149" s="55">
        <f>SUMIFS('Awards Summary'!$H:$H,'Awards Summary'!$B:$B,$C149,'Awards Summary'!$J:$J,"DVA")</f>
        <v>0</v>
      </c>
      <c r="BY149" s="55">
        <f>SUMIFS('Disbursements Summary'!$E:$E,'Disbursements Summary'!$C:$C,$C149,'Disbursements Summary'!$A:$A,"DVA")</f>
        <v>0</v>
      </c>
      <c r="BZ149" s="55">
        <f>SUMIFS('Awards Summary'!$H:$H,'Awards Summary'!$B:$B,$C149,'Awards Summary'!$J:$J,"DASNY")</f>
        <v>0</v>
      </c>
      <c r="CA149" s="55">
        <f>SUMIFS('Disbursements Summary'!$E:$E,'Disbursements Summary'!$C:$C,$C149,'Disbursements Summary'!$A:$A,"DASNY")</f>
        <v>0</v>
      </c>
      <c r="CB149" s="55">
        <f>SUMIFS('Awards Summary'!$H:$H,'Awards Summary'!$B:$B,$C149,'Awards Summary'!$J:$J,"EGG")</f>
        <v>0</v>
      </c>
      <c r="CC149" s="55">
        <f>SUMIFS('Disbursements Summary'!$E:$E,'Disbursements Summary'!$C:$C,$C149,'Disbursements Summary'!$A:$A,"EGG")</f>
        <v>0</v>
      </c>
      <c r="CD149" s="55">
        <f>SUMIFS('Awards Summary'!$H:$H,'Awards Summary'!$B:$B,$C149,'Awards Summary'!$J:$J,"ESD")</f>
        <v>0</v>
      </c>
      <c r="CE149" s="55">
        <f>SUMIFS('Disbursements Summary'!$E:$E,'Disbursements Summary'!$C:$C,$C149,'Disbursements Summary'!$A:$A,"ESD")</f>
        <v>0</v>
      </c>
      <c r="CF149" s="55">
        <f>SUMIFS('Awards Summary'!$H:$H,'Awards Summary'!$B:$B,$C149,'Awards Summary'!$J:$J,"EFC")</f>
        <v>0</v>
      </c>
      <c r="CG149" s="55">
        <f>SUMIFS('Disbursements Summary'!$E:$E,'Disbursements Summary'!$C:$C,$C149,'Disbursements Summary'!$A:$A,"EFC")</f>
        <v>0</v>
      </c>
      <c r="CH149" s="55">
        <f>SUMIFS('Awards Summary'!$H:$H,'Awards Summary'!$B:$B,$C149,'Awards Summary'!$J:$J,"ECFSA")</f>
        <v>0</v>
      </c>
      <c r="CI149" s="55">
        <f>SUMIFS('Disbursements Summary'!$E:$E,'Disbursements Summary'!$C:$C,$C149,'Disbursements Summary'!$A:$A,"ECFSA")</f>
        <v>0</v>
      </c>
      <c r="CJ149" s="55">
        <f>SUMIFS('Awards Summary'!$H:$H,'Awards Summary'!$B:$B,$C149,'Awards Summary'!$J:$J,"ECMC")</f>
        <v>0</v>
      </c>
      <c r="CK149" s="55">
        <f>SUMIFS('Disbursements Summary'!$E:$E,'Disbursements Summary'!$C:$C,$C149,'Disbursements Summary'!$A:$A,"ECMC")</f>
        <v>0</v>
      </c>
      <c r="CL149" s="55">
        <f>SUMIFS('Awards Summary'!$H:$H,'Awards Summary'!$B:$B,$C149,'Awards Summary'!$J:$J,"CHAMBER")</f>
        <v>0</v>
      </c>
      <c r="CM149" s="55">
        <f>SUMIFS('Disbursements Summary'!$E:$E,'Disbursements Summary'!$C:$C,$C149,'Disbursements Summary'!$A:$A,"CHAMBER")</f>
        <v>0</v>
      </c>
      <c r="CN149" s="55">
        <f>SUMIFS('Awards Summary'!$H:$H,'Awards Summary'!$B:$B,$C149,'Awards Summary'!$J:$J,"GAMING")</f>
        <v>0</v>
      </c>
      <c r="CO149" s="55">
        <f>SUMIFS('Disbursements Summary'!$E:$E,'Disbursements Summary'!$C:$C,$C149,'Disbursements Summary'!$A:$A,"GAMING")</f>
        <v>0</v>
      </c>
      <c r="CP149" s="55">
        <f>SUMIFS('Awards Summary'!$H:$H,'Awards Summary'!$B:$B,$C149,'Awards Summary'!$J:$J,"GOER")</f>
        <v>0</v>
      </c>
      <c r="CQ149" s="55">
        <f>SUMIFS('Disbursements Summary'!$E:$E,'Disbursements Summary'!$C:$C,$C149,'Disbursements Summary'!$A:$A,"GOER")</f>
        <v>0</v>
      </c>
      <c r="CR149" s="55">
        <f>SUMIFS('Awards Summary'!$H:$H,'Awards Summary'!$B:$B,$C149,'Awards Summary'!$J:$J,"HESC")</f>
        <v>0</v>
      </c>
      <c r="CS149" s="55">
        <f>SUMIFS('Disbursements Summary'!$E:$E,'Disbursements Summary'!$C:$C,$C149,'Disbursements Summary'!$A:$A,"HESC")</f>
        <v>0</v>
      </c>
      <c r="CT149" s="55">
        <f>SUMIFS('Awards Summary'!$H:$H,'Awards Summary'!$B:$B,$C149,'Awards Summary'!$J:$J,"GOSR")</f>
        <v>0</v>
      </c>
      <c r="CU149" s="55">
        <f>SUMIFS('Disbursements Summary'!$E:$E,'Disbursements Summary'!$C:$C,$C149,'Disbursements Summary'!$A:$A,"GOSR")</f>
        <v>0</v>
      </c>
      <c r="CV149" s="55">
        <f>SUMIFS('Awards Summary'!$H:$H,'Awards Summary'!$B:$B,$C149,'Awards Summary'!$J:$J,"HRPT")</f>
        <v>0</v>
      </c>
      <c r="CW149" s="55">
        <f>SUMIFS('Disbursements Summary'!$E:$E,'Disbursements Summary'!$C:$C,$C149,'Disbursements Summary'!$A:$A,"HRPT")</f>
        <v>0</v>
      </c>
      <c r="CX149" s="55">
        <f>SUMIFS('Awards Summary'!$H:$H,'Awards Summary'!$B:$B,$C149,'Awards Summary'!$J:$J,"HRBRRD")</f>
        <v>0</v>
      </c>
      <c r="CY149" s="55">
        <f>SUMIFS('Disbursements Summary'!$E:$E,'Disbursements Summary'!$C:$C,$C149,'Disbursements Summary'!$A:$A,"HRBRRD")</f>
        <v>0</v>
      </c>
      <c r="CZ149" s="55">
        <f>SUMIFS('Awards Summary'!$H:$H,'Awards Summary'!$B:$B,$C149,'Awards Summary'!$J:$J,"ITS")</f>
        <v>0</v>
      </c>
      <c r="DA149" s="55">
        <f>SUMIFS('Disbursements Summary'!$E:$E,'Disbursements Summary'!$C:$C,$C149,'Disbursements Summary'!$A:$A,"ITS")</f>
        <v>0</v>
      </c>
      <c r="DB149" s="55">
        <f>SUMIFS('Awards Summary'!$H:$H,'Awards Summary'!$B:$B,$C149,'Awards Summary'!$J:$J,"JAVITS")</f>
        <v>0</v>
      </c>
      <c r="DC149" s="55">
        <f>SUMIFS('Disbursements Summary'!$E:$E,'Disbursements Summary'!$C:$C,$C149,'Disbursements Summary'!$A:$A,"JAVITS")</f>
        <v>0</v>
      </c>
      <c r="DD149" s="55">
        <f>SUMIFS('Awards Summary'!$H:$H,'Awards Summary'!$B:$B,$C149,'Awards Summary'!$J:$J,"JCOPE")</f>
        <v>0</v>
      </c>
      <c r="DE149" s="55">
        <f>SUMIFS('Disbursements Summary'!$E:$E,'Disbursements Summary'!$C:$C,$C149,'Disbursements Summary'!$A:$A,"JCOPE")</f>
        <v>0</v>
      </c>
      <c r="DF149" s="55">
        <f>SUMIFS('Awards Summary'!$H:$H,'Awards Summary'!$B:$B,$C149,'Awards Summary'!$J:$J,"JUSTICE")</f>
        <v>0</v>
      </c>
      <c r="DG149" s="55">
        <f>SUMIFS('Disbursements Summary'!$E:$E,'Disbursements Summary'!$C:$C,$C149,'Disbursements Summary'!$A:$A,"JUSTICE")</f>
        <v>0</v>
      </c>
      <c r="DH149" s="55">
        <f>SUMIFS('Awards Summary'!$H:$H,'Awards Summary'!$B:$B,$C149,'Awards Summary'!$J:$J,"LCWSA")</f>
        <v>0</v>
      </c>
      <c r="DI149" s="55">
        <f>SUMIFS('Disbursements Summary'!$E:$E,'Disbursements Summary'!$C:$C,$C149,'Disbursements Summary'!$A:$A,"LCWSA")</f>
        <v>0</v>
      </c>
      <c r="DJ149" s="55">
        <f>SUMIFS('Awards Summary'!$H:$H,'Awards Summary'!$B:$B,$C149,'Awards Summary'!$J:$J,"LIPA")</f>
        <v>0</v>
      </c>
      <c r="DK149" s="55">
        <f>SUMIFS('Disbursements Summary'!$E:$E,'Disbursements Summary'!$C:$C,$C149,'Disbursements Summary'!$A:$A,"LIPA")</f>
        <v>0</v>
      </c>
      <c r="DL149" s="55">
        <f>SUMIFS('Awards Summary'!$H:$H,'Awards Summary'!$B:$B,$C149,'Awards Summary'!$J:$J,"MTA")</f>
        <v>0</v>
      </c>
      <c r="DM149" s="55">
        <f>SUMIFS('Disbursements Summary'!$E:$E,'Disbursements Summary'!$C:$C,$C149,'Disbursements Summary'!$A:$A,"MTA")</f>
        <v>0</v>
      </c>
      <c r="DN149" s="55">
        <f>SUMIFS('Awards Summary'!$H:$H,'Awards Summary'!$B:$B,$C149,'Awards Summary'!$J:$J,"NIFA")</f>
        <v>0</v>
      </c>
      <c r="DO149" s="55">
        <f>SUMIFS('Disbursements Summary'!$E:$E,'Disbursements Summary'!$C:$C,$C149,'Disbursements Summary'!$A:$A,"NIFA")</f>
        <v>0</v>
      </c>
      <c r="DP149" s="55">
        <f>SUMIFS('Awards Summary'!$H:$H,'Awards Summary'!$B:$B,$C149,'Awards Summary'!$J:$J,"NHCC")</f>
        <v>0</v>
      </c>
      <c r="DQ149" s="55">
        <f>SUMIFS('Disbursements Summary'!$E:$E,'Disbursements Summary'!$C:$C,$C149,'Disbursements Summary'!$A:$A,"NHCC")</f>
        <v>0</v>
      </c>
      <c r="DR149" s="55">
        <f>SUMIFS('Awards Summary'!$H:$H,'Awards Summary'!$B:$B,$C149,'Awards Summary'!$J:$J,"NHT")</f>
        <v>0</v>
      </c>
      <c r="DS149" s="55">
        <f>SUMIFS('Disbursements Summary'!$E:$E,'Disbursements Summary'!$C:$C,$C149,'Disbursements Summary'!$A:$A,"NHT")</f>
        <v>0</v>
      </c>
      <c r="DT149" s="55">
        <f>SUMIFS('Awards Summary'!$H:$H,'Awards Summary'!$B:$B,$C149,'Awards Summary'!$J:$J,"NYPA")</f>
        <v>0</v>
      </c>
      <c r="DU149" s="55">
        <f>SUMIFS('Disbursements Summary'!$E:$E,'Disbursements Summary'!$C:$C,$C149,'Disbursements Summary'!$A:$A,"NYPA")</f>
        <v>0</v>
      </c>
      <c r="DV149" s="55">
        <f>SUMIFS('Awards Summary'!$H:$H,'Awards Summary'!$B:$B,$C149,'Awards Summary'!$J:$J,"NYSBA")</f>
        <v>0</v>
      </c>
      <c r="DW149" s="55">
        <f>SUMIFS('Disbursements Summary'!$E:$E,'Disbursements Summary'!$C:$C,$C149,'Disbursements Summary'!$A:$A,"NYSBA")</f>
        <v>0</v>
      </c>
      <c r="DX149" s="55">
        <f>SUMIFS('Awards Summary'!$H:$H,'Awards Summary'!$B:$B,$C149,'Awards Summary'!$J:$J,"NYSERDA")</f>
        <v>0</v>
      </c>
      <c r="DY149" s="55">
        <f>SUMIFS('Disbursements Summary'!$E:$E,'Disbursements Summary'!$C:$C,$C149,'Disbursements Summary'!$A:$A,"NYSERDA")</f>
        <v>0</v>
      </c>
      <c r="DZ149" s="55">
        <f>SUMIFS('Awards Summary'!$H:$H,'Awards Summary'!$B:$B,$C149,'Awards Summary'!$J:$J,"DHCR")</f>
        <v>0</v>
      </c>
      <c r="EA149" s="55">
        <f>SUMIFS('Disbursements Summary'!$E:$E,'Disbursements Summary'!$C:$C,$C149,'Disbursements Summary'!$A:$A,"DHCR")</f>
        <v>0</v>
      </c>
      <c r="EB149" s="55">
        <f>SUMIFS('Awards Summary'!$H:$H,'Awards Summary'!$B:$B,$C149,'Awards Summary'!$J:$J,"HFA")</f>
        <v>0</v>
      </c>
      <c r="EC149" s="55">
        <f>SUMIFS('Disbursements Summary'!$E:$E,'Disbursements Summary'!$C:$C,$C149,'Disbursements Summary'!$A:$A,"HFA")</f>
        <v>0</v>
      </c>
      <c r="ED149" s="55">
        <f>SUMIFS('Awards Summary'!$H:$H,'Awards Summary'!$B:$B,$C149,'Awards Summary'!$J:$J,"NYSIF")</f>
        <v>0</v>
      </c>
      <c r="EE149" s="55">
        <f>SUMIFS('Disbursements Summary'!$E:$E,'Disbursements Summary'!$C:$C,$C149,'Disbursements Summary'!$A:$A,"NYSIF")</f>
        <v>0</v>
      </c>
      <c r="EF149" s="55">
        <f>SUMIFS('Awards Summary'!$H:$H,'Awards Summary'!$B:$B,$C149,'Awards Summary'!$J:$J,"NYBREDS")</f>
        <v>0</v>
      </c>
      <c r="EG149" s="55">
        <f>SUMIFS('Disbursements Summary'!$E:$E,'Disbursements Summary'!$C:$C,$C149,'Disbursements Summary'!$A:$A,"NYBREDS")</f>
        <v>0</v>
      </c>
      <c r="EH149" s="55">
        <f>SUMIFS('Awards Summary'!$H:$H,'Awards Summary'!$B:$B,$C149,'Awards Summary'!$J:$J,"NYSTA")</f>
        <v>0</v>
      </c>
      <c r="EI149" s="55">
        <f>SUMIFS('Disbursements Summary'!$E:$E,'Disbursements Summary'!$C:$C,$C149,'Disbursements Summary'!$A:$A,"NYSTA")</f>
        <v>0</v>
      </c>
      <c r="EJ149" s="55">
        <f>SUMIFS('Awards Summary'!$H:$H,'Awards Summary'!$B:$B,$C149,'Awards Summary'!$J:$J,"NFWB")</f>
        <v>0</v>
      </c>
      <c r="EK149" s="55">
        <f>SUMIFS('Disbursements Summary'!$E:$E,'Disbursements Summary'!$C:$C,$C149,'Disbursements Summary'!$A:$A,"NFWB")</f>
        <v>0</v>
      </c>
      <c r="EL149" s="55">
        <f>SUMIFS('Awards Summary'!$H:$H,'Awards Summary'!$B:$B,$C149,'Awards Summary'!$J:$J,"NFTA")</f>
        <v>0</v>
      </c>
      <c r="EM149" s="55">
        <f>SUMIFS('Disbursements Summary'!$E:$E,'Disbursements Summary'!$C:$C,$C149,'Disbursements Summary'!$A:$A,"NFTA")</f>
        <v>0</v>
      </c>
      <c r="EN149" s="55">
        <f>SUMIFS('Awards Summary'!$H:$H,'Awards Summary'!$B:$B,$C149,'Awards Summary'!$J:$J,"OPWDD")</f>
        <v>0</v>
      </c>
      <c r="EO149" s="55">
        <f>SUMIFS('Disbursements Summary'!$E:$E,'Disbursements Summary'!$C:$C,$C149,'Disbursements Summary'!$A:$A,"OPWDD")</f>
        <v>0</v>
      </c>
      <c r="EP149" s="55">
        <f>SUMIFS('Awards Summary'!$H:$H,'Awards Summary'!$B:$B,$C149,'Awards Summary'!$J:$J,"AGING")</f>
        <v>0</v>
      </c>
      <c r="EQ149" s="55">
        <f>SUMIFS('Disbursements Summary'!$E:$E,'Disbursements Summary'!$C:$C,$C149,'Disbursements Summary'!$A:$A,"AGING")</f>
        <v>0</v>
      </c>
      <c r="ER149" s="55">
        <f>SUMIFS('Awards Summary'!$H:$H,'Awards Summary'!$B:$B,$C149,'Awards Summary'!$J:$J,"OPDV")</f>
        <v>0</v>
      </c>
      <c r="ES149" s="55">
        <f>SUMIFS('Disbursements Summary'!$E:$E,'Disbursements Summary'!$C:$C,$C149,'Disbursements Summary'!$A:$A,"OPDV")</f>
        <v>0</v>
      </c>
      <c r="ET149" s="55">
        <f>SUMIFS('Awards Summary'!$H:$H,'Awards Summary'!$B:$B,$C149,'Awards Summary'!$J:$J,"OVS")</f>
        <v>0</v>
      </c>
      <c r="EU149" s="55">
        <f>SUMIFS('Disbursements Summary'!$E:$E,'Disbursements Summary'!$C:$C,$C149,'Disbursements Summary'!$A:$A,"OVS")</f>
        <v>0</v>
      </c>
      <c r="EV149" s="55">
        <f>SUMIFS('Awards Summary'!$H:$H,'Awards Summary'!$B:$B,$C149,'Awards Summary'!$J:$J,"OASAS")</f>
        <v>0</v>
      </c>
      <c r="EW149" s="55">
        <f>SUMIFS('Disbursements Summary'!$E:$E,'Disbursements Summary'!$C:$C,$C149,'Disbursements Summary'!$A:$A,"OASAS")</f>
        <v>0</v>
      </c>
      <c r="EX149" s="55">
        <f>SUMIFS('Awards Summary'!$H:$H,'Awards Summary'!$B:$B,$C149,'Awards Summary'!$J:$J,"OCFS")</f>
        <v>0</v>
      </c>
      <c r="EY149" s="55">
        <f>SUMIFS('Disbursements Summary'!$E:$E,'Disbursements Summary'!$C:$C,$C149,'Disbursements Summary'!$A:$A,"OCFS")</f>
        <v>0</v>
      </c>
      <c r="EZ149" s="55">
        <f>SUMIFS('Awards Summary'!$H:$H,'Awards Summary'!$B:$B,$C149,'Awards Summary'!$J:$J,"OGS")</f>
        <v>0</v>
      </c>
      <c r="FA149" s="55">
        <f>SUMIFS('Disbursements Summary'!$E:$E,'Disbursements Summary'!$C:$C,$C149,'Disbursements Summary'!$A:$A,"OGS")</f>
        <v>0</v>
      </c>
      <c r="FB149" s="55">
        <f>SUMIFS('Awards Summary'!$H:$H,'Awards Summary'!$B:$B,$C149,'Awards Summary'!$J:$J,"OMH")</f>
        <v>0</v>
      </c>
      <c r="FC149" s="55">
        <f>SUMIFS('Disbursements Summary'!$E:$E,'Disbursements Summary'!$C:$C,$C149,'Disbursements Summary'!$A:$A,"OMH")</f>
        <v>0</v>
      </c>
      <c r="FD149" s="55">
        <f>SUMIFS('Awards Summary'!$H:$H,'Awards Summary'!$B:$B,$C149,'Awards Summary'!$J:$J,"PARKS")</f>
        <v>0</v>
      </c>
      <c r="FE149" s="55">
        <f>SUMIFS('Disbursements Summary'!$E:$E,'Disbursements Summary'!$C:$C,$C149,'Disbursements Summary'!$A:$A,"PARKS")</f>
        <v>0</v>
      </c>
      <c r="FF149" s="55">
        <f>SUMIFS('Awards Summary'!$H:$H,'Awards Summary'!$B:$B,$C149,'Awards Summary'!$J:$J,"OTDA")</f>
        <v>0</v>
      </c>
      <c r="FG149" s="55">
        <f>SUMIFS('Disbursements Summary'!$E:$E,'Disbursements Summary'!$C:$C,$C149,'Disbursements Summary'!$A:$A,"OTDA")</f>
        <v>0</v>
      </c>
      <c r="FH149" s="55">
        <f>SUMIFS('Awards Summary'!$H:$H,'Awards Summary'!$B:$B,$C149,'Awards Summary'!$J:$J,"OIG")</f>
        <v>0</v>
      </c>
      <c r="FI149" s="55">
        <f>SUMIFS('Disbursements Summary'!$E:$E,'Disbursements Summary'!$C:$C,$C149,'Disbursements Summary'!$A:$A,"OIG")</f>
        <v>0</v>
      </c>
      <c r="FJ149" s="55">
        <f>SUMIFS('Awards Summary'!$H:$H,'Awards Summary'!$B:$B,$C149,'Awards Summary'!$J:$J,"OMIG")</f>
        <v>0</v>
      </c>
      <c r="FK149" s="55">
        <f>SUMIFS('Disbursements Summary'!$E:$E,'Disbursements Summary'!$C:$C,$C149,'Disbursements Summary'!$A:$A,"OMIG")</f>
        <v>0</v>
      </c>
      <c r="FL149" s="55">
        <f>SUMIFS('Awards Summary'!$H:$H,'Awards Summary'!$B:$B,$C149,'Awards Summary'!$J:$J,"OSC")</f>
        <v>0</v>
      </c>
      <c r="FM149" s="55">
        <f>SUMIFS('Disbursements Summary'!$E:$E,'Disbursements Summary'!$C:$C,$C149,'Disbursements Summary'!$A:$A,"OSC")</f>
        <v>0</v>
      </c>
      <c r="FN149" s="55">
        <f>SUMIFS('Awards Summary'!$H:$H,'Awards Summary'!$B:$B,$C149,'Awards Summary'!$J:$J,"OWIG")</f>
        <v>0</v>
      </c>
      <c r="FO149" s="55">
        <f>SUMIFS('Disbursements Summary'!$E:$E,'Disbursements Summary'!$C:$C,$C149,'Disbursements Summary'!$A:$A,"OWIG")</f>
        <v>0</v>
      </c>
      <c r="FP149" s="55">
        <f>SUMIFS('Awards Summary'!$H:$H,'Awards Summary'!$B:$B,$C149,'Awards Summary'!$J:$J,"OGDEN")</f>
        <v>0</v>
      </c>
      <c r="FQ149" s="55">
        <f>SUMIFS('Disbursements Summary'!$E:$E,'Disbursements Summary'!$C:$C,$C149,'Disbursements Summary'!$A:$A,"OGDEN")</f>
        <v>0</v>
      </c>
      <c r="FR149" s="55">
        <f>SUMIFS('Awards Summary'!$H:$H,'Awards Summary'!$B:$B,$C149,'Awards Summary'!$J:$J,"ORDA")</f>
        <v>0</v>
      </c>
      <c r="FS149" s="55">
        <f>SUMIFS('Disbursements Summary'!$E:$E,'Disbursements Summary'!$C:$C,$C149,'Disbursements Summary'!$A:$A,"ORDA")</f>
        <v>0</v>
      </c>
      <c r="FT149" s="55">
        <f>SUMIFS('Awards Summary'!$H:$H,'Awards Summary'!$B:$B,$C149,'Awards Summary'!$J:$J,"OSWEGO")</f>
        <v>0</v>
      </c>
      <c r="FU149" s="55">
        <f>SUMIFS('Disbursements Summary'!$E:$E,'Disbursements Summary'!$C:$C,$C149,'Disbursements Summary'!$A:$A,"OSWEGO")</f>
        <v>0</v>
      </c>
      <c r="FV149" s="55">
        <f>SUMIFS('Awards Summary'!$H:$H,'Awards Summary'!$B:$B,$C149,'Awards Summary'!$J:$J,"PERB")</f>
        <v>0</v>
      </c>
      <c r="FW149" s="55">
        <f>SUMIFS('Disbursements Summary'!$E:$E,'Disbursements Summary'!$C:$C,$C149,'Disbursements Summary'!$A:$A,"PERB")</f>
        <v>0</v>
      </c>
      <c r="FX149" s="55">
        <f>SUMIFS('Awards Summary'!$H:$H,'Awards Summary'!$B:$B,$C149,'Awards Summary'!$J:$J,"RGRTA")</f>
        <v>0</v>
      </c>
      <c r="FY149" s="55">
        <f>SUMIFS('Disbursements Summary'!$E:$E,'Disbursements Summary'!$C:$C,$C149,'Disbursements Summary'!$A:$A,"RGRTA")</f>
        <v>0</v>
      </c>
      <c r="FZ149" s="55">
        <f>SUMIFS('Awards Summary'!$H:$H,'Awards Summary'!$B:$B,$C149,'Awards Summary'!$J:$J,"RIOC")</f>
        <v>0</v>
      </c>
      <c r="GA149" s="55">
        <f>SUMIFS('Disbursements Summary'!$E:$E,'Disbursements Summary'!$C:$C,$C149,'Disbursements Summary'!$A:$A,"RIOC")</f>
        <v>0</v>
      </c>
      <c r="GB149" s="55">
        <f>SUMIFS('Awards Summary'!$H:$H,'Awards Summary'!$B:$B,$C149,'Awards Summary'!$J:$J,"RPCI")</f>
        <v>0</v>
      </c>
      <c r="GC149" s="55">
        <f>SUMIFS('Disbursements Summary'!$E:$E,'Disbursements Summary'!$C:$C,$C149,'Disbursements Summary'!$A:$A,"RPCI")</f>
        <v>0</v>
      </c>
      <c r="GD149" s="55">
        <f>SUMIFS('Awards Summary'!$H:$H,'Awards Summary'!$B:$B,$C149,'Awards Summary'!$J:$J,"SMDA")</f>
        <v>0</v>
      </c>
      <c r="GE149" s="55">
        <f>SUMIFS('Disbursements Summary'!$E:$E,'Disbursements Summary'!$C:$C,$C149,'Disbursements Summary'!$A:$A,"SMDA")</f>
        <v>0</v>
      </c>
      <c r="GF149" s="55">
        <f>SUMIFS('Awards Summary'!$H:$H,'Awards Summary'!$B:$B,$C149,'Awards Summary'!$J:$J,"SCOC")</f>
        <v>0</v>
      </c>
      <c r="GG149" s="55">
        <f>SUMIFS('Disbursements Summary'!$E:$E,'Disbursements Summary'!$C:$C,$C149,'Disbursements Summary'!$A:$A,"SCOC")</f>
        <v>0</v>
      </c>
      <c r="GH149" s="55">
        <f>SUMIFS('Awards Summary'!$H:$H,'Awards Summary'!$B:$B,$C149,'Awards Summary'!$J:$J,"SUCF")</f>
        <v>0</v>
      </c>
      <c r="GI149" s="55">
        <f>SUMIFS('Disbursements Summary'!$E:$E,'Disbursements Summary'!$C:$C,$C149,'Disbursements Summary'!$A:$A,"SUCF")</f>
        <v>0</v>
      </c>
      <c r="GJ149" s="55">
        <f>SUMIFS('Awards Summary'!$H:$H,'Awards Summary'!$B:$B,$C149,'Awards Summary'!$J:$J,"SUNY")</f>
        <v>0</v>
      </c>
      <c r="GK149" s="55">
        <f>SUMIFS('Disbursements Summary'!$E:$E,'Disbursements Summary'!$C:$C,$C149,'Disbursements Summary'!$A:$A,"SUNY")</f>
        <v>0</v>
      </c>
      <c r="GL149" s="55">
        <f>SUMIFS('Awards Summary'!$H:$H,'Awards Summary'!$B:$B,$C149,'Awards Summary'!$J:$J,"SRAA")</f>
        <v>0</v>
      </c>
      <c r="GM149" s="55">
        <f>SUMIFS('Disbursements Summary'!$E:$E,'Disbursements Summary'!$C:$C,$C149,'Disbursements Summary'!$A:$A,"SRAA")</f>
        <v>0</v>
      </c>
      <c r="GN149" s="55">
        <f>SUMIFS('Awards Summary'!$H:$H,'Awards Summary'!$B:$B,$C149,'Awards Summary'!$J:$J,"UNDC")</f>
        <v>0</v>
      </c>
      <c r="GO149" s="55">
        <f>SUMIFS('Disbursements Summary'!$E:$E,'Disbursements Summary'!$C:$C,$C149,'Disbursements Summary'!$A:$A,"UNDC")</f>
        <v>0</v>
      </c>
      <c r="GP149" s="55">
        <f>SUMIFS('Awards Summary'!$H:$H,'Awards Summary'!$B:$B,$C149,'Awards Summary'!$J:$J,"MVWA")</f>
        <v>0</v>
      </c>
      <c r="GQ149" s="55">
        <f>SUMIFS('Disbursements Summary'!$E:$E,'Disbursements Summary'!$C:$C,$C149,'Disbursements Summary'!$A:$A,"MVWA")</f>
        <v>0</v>
      </c>
      <c r="GR149" s="55">
        <f>SUMIFS('Awards Summary'!$H:$H,'Awards Summary'!$B:$B,$C149,'Awards Summary'!$J:$J,"WMC")</f>
        <v>0</v>
      </c>
      <c r="GS149" s="55">
        <f>SUMIFS('Disbursements Summary'!$E:$E,'Disbursements Summary'!$C:$C,$C149,'Disbursements Summary'!$A:$A,"WMC")</f>
        <v>0</v>
      </c>
      <c r="GT149" s="55">
        <f>SUMIFS('Awards Summary'!$H:$H,'Awards Summary'!$B:$B,$C149,'Awards Summary'!$J:$J,"WCB")</f>
        <v>0</v>
      </c>
      <c r="GU149" s="55">
        <f>SUMIFS('Disbursements Summary'!$E:$E,'Disbursements Summary'!$C:$C,$C149,'Disbursements Summary'!$A:$A,"WCB")</f>
        <v>0</v>
      </c>
      <c r="GV149" s="32">
        <f t="shared" ref="GV149" si="15">(_GoBack+J149+L149+N149+P149+R149+T149+V149+X149+Z149+AB149+AD149+AF149+AH149+AJ149+AL149+AN149+AP149+AR149+AT149+AV149+AX149+AZ149+BB149+BD149+BF149+BH149+BJ149+BL149+BN149+BP149+BR149+BT149+BV149+BX149+BZ149+CB149+CD149+CF149+CH149+CJ149+CL149+CN149+CP149+CR149+CT149+CV149+CX149+CZ149+DB149+DD149+DF149+DH149+DJ149+DL149+DN149+DP149+DR149+DT149+DV149+DX149+DZ149+EB149+ED149+EF149+EH149+EJ149+EL149+EN149+EP149+ER149+ET149+EV149+EX149+EZ149+FB149+FD149+FF149+FH149+FJ149+FL149+FN149+FP149+FR149+FT149+FV149+FX149+FZ149+GB149+GD149+GF149+GH149+GJ149+GL149+GN149+GP149+GR149+GT149)</f>
        <v>0</v>
      </c>
      <c r="GW149" s="32">
        <f t="shared" ref="GW149" si="16">(_GoBack+K149+M149+O149+Q149+S149+U149+W149+Y149+AA149+AC149+AE149+AG149+AI149+AK149+AM149+AO149+AQ149+AS149+AU149+AW149+AY149+BA149+BC149+BE149+BG149+BI149+BK149+BM149+BO149+BQ149+BS149+BU149+BW149+BY149+CA149+CC149+CE149+CG149+CI149+CK149+CM149+CO149+CQ149+CS149+CU149+CW149+CY149+DA149+DC149+DE149+DG149+DI149+DK149+DM149+DO149+DQ149+DS149+DU149+DW149+DY149+EA149+EC149+EE149+EG149+EI149+EK149+EM149+EO149+EQ149+ES149+EU149+EW149+EY149+FA149+FC149+FE149+FG149+FI149+FK149+FM149+FO149+FQ149+FS149+FU149+FW149+FY149+GA149+GC149+GE149+GG149+GI149+GK149+GM149+GO149+GQ149+GS149+GU149)</f>
        <v>0</v>
      </c>
      <c r="GX149" s="30"/>
      <c r="GY149" s="30"/>
    </row>
    <row r="150" spans="1:207" s="61" customFormat="1">
      <c r="A150" s="22" t="str">
        <f t="shared" si="14"/>
        <v/>
      </c>
      <c r="B150" s="70" t="s">
        <v>478</v>
      </c>
      <c r="C150" s="71">
        <v>171449</v>
      </c>
      <c r="D150" s="66">
        <f>COUNTIF('Awards Summary'!B:B,"171449")</f>
        <v>0</v>
      </c>
      <c r="E150" s="67">
        <f>SUMIFS('Awards Summary'!H:H,'Awards Summary'!B:B,"171449")</f>
        <v>0</v>
      </c>
      <c r="F150" s="68">
        <f>SUMIFS('Disbursements Summary'!E:E,'Disbursements Summary'!C:C, "171449")</f>
        <v>0</v>
      </c>
      <c r="H150" s="55">
        <f>SUMIFS('Awards Summary'!$H:$H,'Awards Summary'!$B:$B,$C150,'Awards Summary'!$J:$J,"APA")</f>
        <v>0</v>
      </c>
      <c r="I150" s="55">
        <f>SUMIFS('Disbursements Summary'!$E:$E,'Disbursements Summary'!$C:$C,$C150,'Disbursements Summary'!$A:$A,"APA")</f>
        <v>0</v>
      </c>
      <c r="J150" s="55">
        <f>SUMIFS('Awards Summary'!$H:$H,'Awards Summary'!$B:$B,$C150,'Awards Summary'!$J:$J,"Ag&amp;Horse")</f>
        <v>0</v>
      </c>
      <c r="K150" s="55">
        <f>SUMIFS('Disbursements Summary'!$E:$E,'Disbursements Summary'!$C:$C,$C150,'Disbursements Summary'!$A:$A,"Ag&amp;Horse")</f>
        <v>0</v>
      </c>
      <c r="L150" s="55">
        <f>SUMIFS('Awards Summary'!$H:$H,'Awards Summary'!$B:$B,$C150,'Awards Summary'!$J:$J,"ACAA")</f>
        <v>0</v>
      </c>
      <c r="M150" s="55">
        <f>SUMIFS('Disbursements Summary'!$E:$E,'Disbursements Summary'!$C:$C,$C150,'Disbursements Summary'!$A:$A,"ACAA")</f>
        <v>0</v>
      </c>
      <c r="N150" s="55">
        <f>SUMIFS('Awards Summary'!$H:$H,'Awards Summary'!$B:$B,$C150,'Awards Summary'!$J:$J,"PortAlbany")</f>
        <v>0</v>
      </c>
      <c r="O150" s="55">
        <f>SUMIFS('Disbursements Summary'!$E:$E,'Disbursements Summary'!$C:$C,$C150,'Disbursements Summary'!$A:$A,"PortAlbany")</f>
        <v>0</v>
      </c>
      <c r="P150" s="55">
        <f>SUMIFS('Awards Summary'!$H:$H,'Awards Summary'!$B:$B,$C150,'Awards Summary'!$J:$J,"SLA")</f>
        <v>0</v>
      </c>
      <c r="Q150" s="55">
        <f>SUMIFS('Disbursements Summary'!$E:$E,'Disbursements Summary'!$C:$C,$C150,'Disbursements Summary'!$A:$A,"SLA")</f>
        <v>0</v>
      </c>
      <c r="R150" s="55">
        <f>SUMIFS('Awards Summary'!$H:$H,'Awards Summary'!$B:$B,$C150,'Awards Summary'!$J:$J,"BPCA")</f>
        <v>0</v>
      </c>
      <c r="S150" s="55">
        <f>SUMIFS('Disbursements Summary'!$E:$E,'Disbursements Summary'!$C:$C,$C150,'Disbursements Summary'!$A:$A,"BPCA")</f>
        <v>0</v>
      </c>
      <c r="T150" s="55">
        <f>SUMIFS('Awards Summary'!$H:$H,'Awards Summary'!$B:$B,$C150,'Awards Summary'!$J:$J,"ELECTIONS")</f>
        <v>0</v>
      </c>
      <c r="U150" s="55">
        <f>SUMIFS('Disbursements Summary'!$E:$E,'Disbursements Summary'!$C:$C,$C150,'Disbursements Summary'!$A:$A,"ELECTIONS")</f>
        <v>0</v>
      </c>
      <c r="V150" s="55">
        <f>SUMIFS('Awards Summary'!$H:$H,'Awards Summary'!$B:$B,$C150,'Awards Summary'!$J:$J,"BFSA")</f>
        <v>0</v>
      </c>
      <c r="W150" s="55">
        <f>SUMIFS('Disbursements Summary'!$E:$E,'Disbursements Summary'!$C:$C,$C150,'Disbursements Summary'!$A:$A,"BFSA")</f>
        <v>0</v>
      </c>
      <c r="X150" s="55">
        <f>SUMIFS('Awards Summary'!$H:$H,'Awards Summary'!$B:$B,$C150,'Awards Summary'!$J:$J,"CDTA")</f>
        <v>0</v>
      </c>
      <c r="Y150" s="55">
        <f>SUMIFS('Disbursements Summary'!$E:$E,'Disbursements Summary'!$C:$C,$C150,'Disbursements Summary'!$A:$A,"CDTA")</f>
        <v>0</v>
      </c>
      <c r="Z150" s="55">
        <f>SUMIFS('Awards Summary'!$H:$H,'Awards Summary'!$B:$B,$C150,'Awards Summary'!$J:$J,"CCWSA")</f>
        <v>0</v>
      </c>
      <c r="AA150" s="55">
        <f>SUMIFS('Disbursements Summary'!$E:$E,'Disbursements Summary'!$C:$C,$C150,'Disbursements Summary'!$A:$A,"CCWSA")</f>
        <v>0</v>
      </c>
      <c r="AB150" s="55">
        <f>SUMIFS('Awards Summary'!$H:$H,'Awards Summary'!$B:$B,$C150,'Awards Summary'!$J:$J,"CNYRTA")</f>
        <v>0</v>
      </c>
      <c r="AC150" s="55">
        <f>SUMIFS('Disbursements Summary'!$E:$E,'Disbursements Summary'!$C:$C,$C150,'Disbursements Summary'!$A:$A,"CNYRTA")</f>
        <v>0</v>
      </c>
      <c r="AD150" s="55">
        <f>SUMIFS('Awards Summary'!$H:$H,'Awards Summary'!$B:$B,$C150,'Awards Summary'!$J:$J,"CUCF")</f>
        <v>0</v>
      </c>
      <c r="AE150" s="55">
        <f>SUMIFS('Disbursements Summary'!$E:$E,'Disbursements Summary'!$C:$C,$C150,'Disbursements Summary'!$A:$A,"CUCF")</f>
        <v>0</v>
      </c>
      <c r="AF150" s="55">
        <f>SUMIFS('Awards Summary'!$H:$H,'Awards Summary'!$B:$B,$C150,'Awards Summary'!$J:$J,"CUNY")</f>
        <v>0</v>
      </c>
      <c r="AG150" s="55">
        <f>SUMIFS('Disbursements Summary'!$E:$E,'Disbursements Summary'!$C:$C,$C150,'Disbursements Summary'!$A:$A,"CUNY")</f>
        <v>0</v>
      </c>
      <c r="AH150" s="55">
        <f>SUMIFS('Awards Summary'!$H:$H,'Awards Summary'!$B:$B,$C150,'Awards Summary'!$J:$J,"ARTS")</f>
        <v>0</v>
      </c>
      <c r="AI150" s="55">
        <f>SUMIFS('Disbursements Summary'!$E:$E,'Disbursements Summary'!$C:$C,$C150,'Disbursements Summary'!$A:$A,"ARTS")</f>
        <v>0</v>
      </c>
      <c r="AJ150" s="55">
        <f>SUMIFS('Awards Summary'!$H:$H,'Awards Summary'!$B:$B,$C150,'Awards Summary'!$J:$J,"AG&amp;MKTS")</f>
        <v>0</v>
      </c>
      <c r="AK150" s="55">
        <f>SUMIFS('Disbursements Summary'!$E:$E,'Disbursements Summary'!$C:$C,$C150,'Disbursements Summary'!$A:$A,"AG&amp;MKTS")</f>
        <v>0</v>
      </c>
      <c r="AL150" s="55">
        <f>SUMIFS('Awards Summary'!$H:$H,'Awards Summary'!$B:$B,$C150,'Awards Summary'!$J:$J,"CS")</f>
        <v>0</v>
      </c>
      <c r="AM150" s="55">
        <f>SUMIFS('Disbursements Summary'!$E:$E,'Disbursements Summary'!$C:$C,$C150,'Disbursements Summary'!$A:$A,"CS")</f>
        <v>0</v>
      </c>
      <c r="AN150" s="55">
        <f>SUMIFS('Awards Summary'!$H:$H,'Awards Summary'!$B:$B,$C150,'Awards Summary'!$J:$J,"DOCCS")</f>
        <v>0</v>
      </c>
      <c r="AO150" s="55">
        <f>SUMIFS('Disbursements Summary'!$E:$E,'Disbursements Summary'!$C:$C,$C150,'Disbursements Summary'!$A:$A,"DOCCS")</f>
        <v>0</v>
      </c>
      <c r="AP150" s="55">
        <f>SUMIFS('Awards Summary'!$H:$H,'Awards Summary'!$B:$B,$C150,'Awards Summary'!$J:$J,"DED")</f>
        <v>0</v>
      </c>
      <c r="AQ150" s="55">
        <f>SUMIFS('Disbursements Summary'!$E:$E,'Disbursements Summary'!$C:$C,$C150,'Disbursements Summary'!$A:$A,"DED")</f>
        <v>0</v>
      </c>
      <c r="AR150" s="55">
        <f>SUMIFS('Awards Summary'!$H:$H,'Awards Summary'!$B:$B,$C150,'Awards Summary'!$J:$J,"DEC")</f>
        <v>0</v>
      </c>
      <c r="AS150" s="55">
        <f>SUMIFS('Disbursements Summary'!$E:$E,'Disbursements Summary'!$C:$C,$C150,'Disbursements Summary'!$A:$A,"DEC")</f>
        <v>0</v>
      </c>
      <c r="AT150" s="55">
        <f>SUMIFS('Awards Summary'!$H:$H,'Awards Summary'!$B:$B,$C150,'Awards Summary'!$J:$J,"DFS")</f>
        <v>0</v>
      </c>
      <c r="AU150" s="55">
        <f>SUMIFS('Disbursements Summary'!$E:$E,'Disbursements Summary'!$C:$C,$C150,'Disbursements Summary'!$A:$A,"DFS")</f>
        <v>0</v>
      </c>
      <c r="AV150" s="55">
        <f>SUMIFS('Awards Summary'!$H:$H,'Awards Summary'!$B:$B,$C150,'Awards Summary'!$J:$J,"DOH")</f>
        <v>0</v>
      </c>
      <c r="AW150" s="55">
        <f>SUMIFS('Disbursements Summary'!$E:$E,'Disbursements Summary'!$C:$C,$C150,'Disbursements Summary'!$A:$A,"DOH")</f>
        <v>0</v>
      </c>
      <c r="AX150" s="55">
        <f>SUMIFS('Awards Summary'!$H:$H,'Awards Summary'!$B:$B,$C150,'Awards Summary'!$J:$J,"DOL")</f>
        <v>0</v>
      </c>
      <c r="AY150" s="55">
        <f>SUMIFS('Disbursements Summary'!$E:$E,'Disbursements Summary'!$C:$C,$C150,'Disbursements Summary'!$A:$A,"DOL")</f>
        <v>0</v>
      </c>
      <c r="AZ150" s="55">
        <f>SUMIFS('Awards Summary'!$H:$H,'Awards Summary'!$B:$B,$C150,'Awards Summary'!$J:$J,"DMV")</f>
        <v>0</v>
      </c>
      <c r="BA150" s="55">
        <f>SUMIFS('Disbursements Summary'!$E:$E,'Disbursements Summary'!$C:$C,$C150,'Disbursements Summary'!$A:$A,"DMV")</f>
        <v>0</v>
      </c>
      <c r="BB150" s="55">
        <f>SUMIFS('Awards Summary'!$H:$H,'Awards Summary'!$B:$B,$C150,'Awards Summary'!$J:$J,"DPS")</f>
        <v>0</v>
      </c>
      <c r="BC150" s="55">
        <f>SUMIFS('Disbursements Summary'!$E:$E,'Disbursements Summary'!$C:$C,$C150,'Disbursements Summary'!$A:$A,"DPS")</f>
        <v>0</v>
      </c>
      <c r="BD150" s="55">
        <f>SUMIFS('Awards Summary'!$H:$H,'Awards Summary'!$B:$B,$C150,'Awards Summary'!$J:$J,"DOS")</f>
        <v>0</v>
      </c>
      <c r="BE150" s="55">
        <f>SUMIFS('Disbursements Summary'!$E:$E,'Disbursements Summary'!$C:$C,$C150,'Disbursements Summary'!$A:$A,"DOS")</f>
        <v>0</v>
      </c>
      <c r="BF150" s="55">
        <f>SUMIFS('Awards Summary'!$H:$H,'Awards Summary'!$B:$B,$C150,'Awards Summary'!$J:$J,"TAX")</f>
        <v>0</v>
      </c>
      <c r="BG150" s="55">
        <f>SUMIFS('Disbursements Summary'!$E:$E,'Disbursements Summary'!$C:$C,$C150,'Disbursements Summary'!$A:$A,"TAX")</f>
        <v>0</v>
      </c>
      <c r="BH150" s="55">
        <f>SUMIFS('Awards Summary'!$H:$H,'Awards Summary'!$B:$B,$C150,'Awards Summary'!$J:$J,"DOT")</f>
        <v>0</v>
      </c>
      <c r="BI150" s="55">
        <f>SUMIFS('Disbursements Summary'!$E:$E,'Disbursements Summary'!$C:$C,$C150,'Disbursements Summary'!$A:$A,"DOT")</f>
        <v>0</v>
      </c>
      <c r="BJ150" s="55">
        <f>SUMIFS('Awards Summary'!$H:$H,'Awards Summary'!$B:$B,$C150,'Awards Summary'!$J:$J,"DANC")</f>
        <v>0</v>
      </c>
      <c r="BK150" s="55">
        <f>SUMIFS('Disbursements Summary'!$E:$E,'Disbursements Summary'!$C:$C,$C150,'Disbursements Summary'!$A:$A,"DANC")</f>
        <v>0</v>
      </c>
      <c r="BL150" s="55">
        <f>SUMIFS('Awards Summary'!$H:$H,'Awards Summary'!$B:$B,$C150,'Awards Summary'!$J:$J,"DOB")</f>
        <v>0</v>
      </c>
      <c r="BM150" s="55">
        <f>SUMIFS('Disbursements Summary'!$E:$E,'Disbursements Summary'!$C:$C,$C150,'Disbursements Summary'!$A:$A,"DOB")</f>
        <v>0</v>
      </c>
      <c r="BN150" s="55">
        <f>SUMIFS('Awards Summary'!$H:$H,'Awards Summary'!$B:$B,$C150,'Awards Summary'!$J:$J,"DCJS")</f>
        <v>0</v>
      </c>
      <c r="BO150" s="55">
        <f>SUMIFS('Disbursements Summary'!$E:$E,'Disbursements Summary'!$C:$C,$C150,'Disbursements Summary'!$A:$A,"DCJS")</f>
        <v>0</v>
      </c>
      <c r="BP150" s="55">
        <f>SUMIFS('Awards Summary'!$H:$H,'Awards Summary'!$B:$B,$C150,'Awards Summary'!$J:$J,"DHSES")</f>
        <v>0</v>
      </c>
      <c r="BQ150" s="55">
        <f>SUMIFS('Disbursements Summary'!$E:$E,'Disbursements Summary'!$C:$C,$C150,'Disbursements Summary'!$A:$A,"DHSES")</f>
        <v>0</v>
      </c>
      <c r="BR150" s="55">
        <f>SUMIFS('Awards Summary'!$H:$H,'Awards Summary'!$B:$B,$C150,'Awards Summary'!$J:$J,"DHR")</f>
        <v>0</v>
      </c>
      <c r="BS150" s="55">
        <f>SUMIFS('Disbursements Summary'!$E:$E,'Disbursements Summary'!$C:$C,$C150,'Disbursements Summary'!$A:$A,"DHR")</f>
        <v>0</v>
      </c>
      <c r="BT150" s="55">
        <f>SUMIFS('Awards Summary'!$H:$H,'Awards Summary'!$B:$B,$C150,'Awards Summary'!$J:$J,"DMNA")</f>
        <v>0</v>
      </c>
      <c r="BU150" s="55">
        <f>SUMIFS('Disbursements Summary'!$E:$E,'Disbursements Summary'!$C:$C,$C150,'Disbursements Summary'!$A:$A,"DMNA")</f>
        <v>0</v>
      </c>
      <c r="BV150" s="55">
        <f>SUMIFS('Awards Summary'!$H:$H,'Awards Summary'!$B:$B,$C150,'Awards Summary'!$J:$J,"TROOPERS")</f>
        <v>0</v>
      </c>
      <c r="BW150" s="55">
        <f>SUMIFS('Disbursements Summary'!$E:$E,'Disbursements Summary'!$C:$C,$C150,'Disbursements Summary'!$A:$A,"TROOPERS")</f>
        <v>0</v>
      </c>
      <c r="BX150" s="55">
        <f>SUMIFS('Awards Summary'!$H:$H,'Awards Summary'!$B:$B,$C150,'Awards Summary'!$J:$J,"DVA")</f>
        <v>0</v>
      </c>
      <c r="BY150" s="55">
        <f>SUMIFS('Disbursements Summary'!$E:$E,'Disbursements Summary'!$C:$C,$C150,'Disbursements Summary'!$A:$A,"DVA")</f>
        <v>0</v>
      </c>
      <c r="BZ150" s="55">
        <f>SUMIFS('Awards Summary'!$H:$H,'Awards Summary'!$B:$B,$C150,'Awards Summary'!$J:$J,"DASNY")</f>
        <v>0</v>
      </c>
      <c r="CA150" s="55">
        <f>SUMIFS('Disbursements Summary'!$E:$E,'Disbursements Summary'!$C:$C,$C150,'Disbursements Summary'!$A:$A,"DASNY")</f>
        <v>0</v>
      </c>
      <c r="CB150" s="55">
        <f>SUMIFS('Awards Summary'!$H:$H,'Awards Summary'!$B:$B,$C150,'Awards Summary'!$J:$J,"EGG")</f>
        <v>0</v>
      </c>
      <c r="CC150" s="55">
        <f>SUMIFS('Disbursements Summary'!$E:$E,'Disbursements Summary'!$C:$C,$C150,'Disbursements Summary'!$A:$A,"EGG")</f>
        <v>0</v>
      </c>
      <c r="CD150" s="55">
        <f>SUMIFS('Awards Summary'!$H:$H,'Awards Summary'!$B:$B,$C150,'Awards Summary'!$J:$J,"ESD")</f>
        <v>0</v>
      </c>
      <c r="CE150" s="55">
        <f>SUMIFS('Disbursements Summary'!$E:$E,'Disbursements Summary'!$C:$C,$C150,'Disbursements Summary'!$A:$A,"ESD")</f>
        <v>0</v>
      </c>
      <c r="CF150" s="55">
        <f>SUMIFS('Awards Summary'!$H:$H,'Awards Summary'!$B:$B,$C150,'Awards Summary'!$J:$J,"EFC")</f>
        <v>0</v>
      </c>
      <c r="CG150" s="55">
        <f>SUMIFS('Disbursements Summary'!$E:$E,'Disbursements Summary'!$C:$C,$C150,'Disbursements Summary'!$A:$A,"EFC")</f>
        <v>0</v>
      </c>
      <c r="CH150" s="55">
        <f>SUMIFS('Awards Summary'!$H:$H,'Awards Summary'!$B:$B,$C150,'Awards Summary'!$J:$J,"ECFSA")</f>
        <v>0</v>
      </c>
      <c r="CI150" s="55">
        <f>SUMIFS('Disbursements Summary'!$E:$E,'Disbursements Summary'!$C:$C,$C150,'Disbursements Summary'!$A:$A,"ECFSA")</f>
        <v>0</v>
      </c>
      <c r="CJ150" s="55">
        <f>SUMIFS('Awards Summary'!$H:$H,'Awards Summary'!$B:$B,$C150,'Awards Summary'!$J:$J,"ECMC")</f>
        <v>0</v>
      </c>
      <c r="CK150" s="55">
        <f>SUMIFS('Disbursements Summary'!$E:$E,'Disbursements Summary'!$C:$C,$C150,'Disbursements Summary'!$A:$A,"ECMC")</f>
        <v>0</v>
      </c>
      <c r="CL150" s="55">
        <f>SUMIFS('Awards Summary'!$H:$H,'Awards Summary'!$B:$B,$C150,'Awards Summary'!$J:$J,"CHAMBER")</f>
        <v>0</v>
      </c>
      <c r="CM150" s="55">
        <f>SUMIFS('Disbursements Summary'!$E:$E,'Disbursements Summary'!$C:$C,$C150,'Disbursements Summary'!$A:$A,"CHAMBER")</f>
        <v>0</v>
      </c>
      <c r="CN150" s="55">
        <f>SUMIFS('Awards Summary'!$H:$H,'Awards Summary'!$B:$B,$C150,'Awards Summary'!$J:$J,"GAMING")</f>
        <v>0</v>
      </c>
      <c r="CO150" s="55">
        <f>SUMIFS('Disbursements Summary'!$E:$E,'Disbursements Summary'!$C:$C,$C150,'Disbursements Summary'!$A:$A,"GAMING")</f>
        <v>0</v>
      </c>
      <c r="CP150" s="55">
        <f>SUMIFS('Awards Summary'!$H:$H,'Awards Summary'!$B:$B,$C150,'Awards Summary'!$J:$J,"GOER")</f>
        <v>0</v>
      </c>
      <c r="CQ150" s="55">
        <f>SUMIFS('Disbursements Summary'!$E:$E,'Disbursements Summary'!$C:$C,$C150,'Disbursements Summary'!$A:$A,"GOER")</f>
        <v>0</v>
      </c>
      <c r="CR150" s="55">
        <f>SUMIFS('Awards Summary'!$H:$H,'Awards Summary'!$B:$B,$C150,'Awards Summary'!$J:$J,"HESC")</f>
        <v>0</v>
      </c>
      <c r="CS150" s="55">
        <f>SUMIFS('Disbursements Summary'!$E:$E,'Disbursements Summary'!$C:$C,$C150,'Disbursements Summary'!$A:$A,"HESC")</f>
        <v>0</v>
      </c>
      <c r="CT150" s="55">
        <f>SUMIFS('Awards Summary'!$H:$H,'Awards Summary'!$B:$B,$C150,'Awards Summary'!$J:$J,"GOSR")</f>
        <v>0</v>
      </c>
      <c r="CU150" s="55">
        <f>SUMIFS('Disbursements Summary'!$E:$E,'Disbursements Summary'!$C:$C,$C150,'Disbursements Summary'!$A:$A,"GOSR")</f>
        <v>0</v>
      </c>
      <c r="CV150" s="55">
        <f>SUMIFS('Awards Summary'!$H:$H,'Awards Summary'!$B:$B,$C150,'Awards Summary'!$J:$J,"HRPT")</f>
        <v>0</v>
      </c>
      <c r="CW150" s="55">
        <f>SUMIFS('Disbursements Summary'!$E:$E,'Disbursements Summary'!$C:$C,$C150,'Disbursements Summary'!$A:$A,"HRPT")</f>
        <v>0</v>
      </c>
      <c r="CX150" s="55">
        <f>SUMIFS('Awards Summary'!$H:$H,'Awards Summary'!$B:$B,$C150,'Awards Summary'!$J:$J,"HRBRRD")</f>
        <v>0</v>
      </c>
      <c r="CY150" s="55">
        <f>SUMIFS('Disbursements Summary'!$E:$E,'Disbursements Summary'!$C:$C,$C150,'Disbursements Summary'!$A:$A,"HRBRRD")</f>
        <v>0</v>
      </c>
      <c r="CZ150" s="55">
        <f>SUMIFS('Awards Summary'!$H:$H,'Awards Summary'!$B:$B,$C150,'Awards Summary'!$J:$J,"ITS")</f>
        <v>0</v>
      </c>
      <c r="DA150" s="55">
        <f>SUMIFS('Disbursements Summary'!$E:$E,'Disbursements Summary'!$C:$C,$C150,'Disbursements Summary'!$A:$A,"ITS")</f>
        <v>0</v>
      </c>
      <c r="DB150" s="55">
        <f>SUMIFS('Awards Summary'!$H:$H,'Awards Summary'!$B:$B,$C150,'Awards Summary'!$J:$J,"JAVITS")</f>
        <v>0</v>
      </c>
      <c r="DC150" s="55">
        <f>SUMIFS('Disbursements Summary'!$E:$E,'Disbursements Summary'!$C:$C,$C150,'Disbursements Summary'!$A:$A,"JAVITS")</f>
        <v>0</v>
      </c>
      <c r="DD150" s="55">
        <f>SUMIFS('Awards Summary'!$H:$H,'Awards Summary'!$B:$B,$C150,'Awards Summary'!$J:$J,"JCOPE")</f>
        <v>0</v>
      </c>
      <c r="DE150" s="55">
        <f>SUMIFS('Disbursements Summary'!$E:$E,'Disbursements Summary'!$C:$C,$C150,'Disbursements Summary'!$A:$A,"JCOPE")</f>
        <v>0</v>
      </c>
      <c r="DF150" s="55">
        <f>SUMIFS('Awards Summary'!$H:$H,'Awards Summary'!$B:$B,$C150,'Awards Summary'!$J:$J,"JUSTICE")</f>
        <v>0</v>
      </c>
      <c r="DG150" s="55">
        <f>SUMIFS('Disbursements Summary'!$E:$E,'Disbursements Summary'!$C:$C,$C150,'Disbursements Summary'!$A:$A,"JUSTICE")</f>
        <v>0</v>
      </c>
      <c r="DH150" s="55">
        <f>SUMIFS('Awards Summary'!$H:$H,'Awards Summary'!$B:$B,$C150,'Awards Summary'!$J:$J,"LCWSA")</f>
        <v>0</v>
      </c>
      <c r="DI150" s="55">
        <f>SUMIFS('Disbursements Summary'!$E:$E,'Disbursements Summary'!$C:$C,$C150,'Disbursements Summary'!$A:$A,"LCWSA")</f>
        <v>0</v>
      </c>
      <c r="DJ150" s="55">
        <f>SUMIFS('Awards Summary'!$H:$H,'Awards Summary'!$B:$B,$C150,'Awards Summary'!$J:$J,"LIPA")</f>
        <v>0</v>
      </c>
      <c r="DK150" s="55">
        <f>SUMIFS('Disbursements Summary'!$E:$E,'Disbursements Summary'!$C:$C,$C150,'Disbursements Summary'!$A:$A,"LIPA")</f>
        <v>0</v>
      </c>
      <c r="DL150" s="55">
        <f>SUMIFS('Awards Summary'!$H:$H,'Awards Summary'!$B:$B,$C150,'Awards Summary'!$J:$J,"MTA")</f>
        <v>0</v>
      </c>
      <c r="DM150" s="55">
        <f>SUMIFS('Disbursements Summary'!$E:$E,'Disbursements Summary'!$C:$C,$C150,'Disbursements Summary'!$A:$A,"MTA")</f>
        <v>0</v>
      </c>
      <c r="DN150" s="55">
        <f>SUMIFS('Awards Summary'!$H:$H,'Awards Summary'!$B:$B,$C150,'Awards Summary'!$J:$J,"NIFA")</f>
        <v>0</v>
      </c>
      <c r="DO150" s="55">
        <f>SUMIFS('Disbursements Summary'!$E:$E,'Disbursements Summary'!$C:$C,$C150,'Disbursements Summary'!$A:$A,"NIFA")</f>
        <v>0</v>
      </c>
      <c r="DP150" s="55">
        <f>SUMIFS('Awards Summary'!$H:$H,'Awards Summary'!$B:$B,$C150,'Awards Summary'!$J:$J,"NHCC")</f>
        <v>0</v>
      </c>
      <c r="DQ150" s="55">
        <f>SUMIFS('Disbursements Summary'!$E:$E,'Disbursements Summary'!$C:$C,$C150,'Disbursements Summary'!$A:$A,"NHCC")</f>
        <v>0</v>
      </c>
      <c r="DR150" s="55">
        <f>SUMIFS('Awards Summary'!$H:$H,'Awards Summary'!$B:$B,$C150,'Awards Summary'!$J:$J,"NHT")</f>
        <v>0</v>
      </c>
      <c r="DS150" s="55">
        <f>SUMIFS('Disbursements Summary'!$E:$E,'Disbursements Summary'!$C:$C,$C150,'Disbursements Summary'!$A:$A,"NHT")</f>
        <v>0</v>
      </c>
      <c r="DT150" s="55">
        <f>SUMIFS('Awards Summary'!$H:$H,'Awards Summary'!$B:$B,$C150,'Awards Summary'!$J:$J,"NYPA")</f>
        <v>0</v>
      </c>
      <c r="DU150" s="55">
        <f>SUMIFS('Disbursements Summary'!$E:$E,'Disbursements Summary'!$C:$C,$C150,'Disbursements Summary'!$A:$A,"NYPA")</f>
        <v>0</v>
      </c>
      <c r="DV150" s="55">
        <f>SUMIFS('Awards Summary'!$H:$H,'Awards Summary'!$B:$B,$C150,'Awards Summary'!$J:$J,"NYSBA")</f>
        <v>0</v>
      </c>
      <c r="DW150" s="55">
        <f>SUMIFS('Disbursements Summary'!$E:$E,'Disbursements Summary'!$C:$C,$C150,'Disbursements Summary'!$A:$A,"NYSBA")</f>
        <v>0</v>
      </c>
      <c r="DX150" s="55">
        <f>SUMIFS('Awards Summary'!$H:$H,'Awards Summary'!$B:$B,$C150,'Awards Summary'!$J:$J,"NYSERDA")</f>
        <v>0</v>
      </c>
      <c r="DY150" s="55">
        <f>SUMIFS('Disbursements Summary'!$E:$E,'Disbursements Summary'!$C:$C,$C150,'Disbursements Summary'!$A:$A,"NYSERDA")</f>
        <v>0</v>
      </c>
      <c r="DZ150" s="55">
        <f>SUMIFS('Awards Summary'!$H:$H,'Awards Summary'!$B:$B,$C150,'Awards Summary'!$J:$J,"DHCR")</f>
        <v>0</v>
      </c>
      <c r="EA150" s="55">
        <f>SUMIFS('Disbursements Summary'!$E:$E,'Disbursements Summary'!$C:$C,$C150,'Disbursements Summary'!$A:$A,"DHCR")</f>
        <v>0</v>
      </c>
      <c r="EB150" s="55">
        <f>SUMIFS('Awards Summary'!$H:$H,'Awards Summary'!$B:$B,$C150,'Awards Summary'!$J:$J,"HFA")</f>
        <v>0</v>
      </c>
      <c r="EC150" s="55">
        <f>SUMIFS('Disbursements Summary'!$E:$E,'Disbursements Summary'!$C:$C,$C150,'Disbursements Summary'!$A:$A,"HFA")</f>
        <v>0</v>
      </c>
      <c r="ED150" s="55">
        <f>SUMIFS('Awards Summary'!$H:$H,'Awards Summary'!$B:$B,$C150,'Awards Summary'!$J:$J,"NYSIF")</f>
        <v>0</v>
      </c>
      <c r="EE150" s="55">
        <f>SUMIFS('Disbursements Summary'!$E:$E,'Disbursements Summary'!$C:$C,$C150,'Disbursements Summary'!$A:$A,"NYSIF")</f>
        <v>0</v>
      </c>
      <c r="EF150" s="55">
        <f>SUMIFS('Awards Summary'!$H:$H,'Awards Summary'!$B:$B,$C150,'Awards Summary'!$J:$J,"NYBREDS")</f>
        <v>0</v>
      </c>
      <c r="EG150" s="55">
        <f>SUMIFS('Disbursements Summary'!$E:$E,'Disbursements Summary'!$C:$C,$C150,'Disbursements Summary'!$A:$A,"NYBREDS")</f>
        <v>0</v>
      </c>
      <c r="EH150" s="55">
        <f>SUMIFS('Awards Summary'!$H:$H,'Awards Summary'!$B:$B,$C150,'Awards Summary'!$J:$J,"NYSTA")</f>
        <v>0</v>
      </c>
      <c r="EI150" s="55">
        <f>SUMIFS('Disbursements Summary'!$E:$E,'Disbursements Summary'!$C:$C,$C150,'Disbursements Summary'!$A:$A,"NYSTA")</f>
        <v>0</v>
      </c>
      <c r="EJ150" s="55">
        <f>SUMIFS('Awards Summary'!$H:$H,'Awards Summary'!$B:$B,$C150,'Awards Summary'!$J:$J,"NFWB")</f>
        <v>0</v>
      </c>
      <c r="EK150" s="55">
        <f>SUMIFS('Disbursements Summary'!$E:$E,'Disbursements Summary'!$C:$C,$C150,'Disbursements Summary'!$A:$A,"NFWB")</f>
        <v>0</v>
      </c>
      <c r="EL150" s="55">
        <f>SUMIFS('Awards Summary'!$H:$H,'Awards Summary'!$B:$B,$C150,'Awards Summary'!$J:$J,"NFTA")</f>
        <v>0</v>
      </c>
      <c r="EM150" s="55">
        <f>SUMIFS('Disbursements Summary'!$E:$E,'Disbursements Summary'!$C:$C,$C150,'Disbursements Summary'!$A:$A,"NFTA")</f>
        <v>0</v>
      </c>
      <c r="EN150" s="55">
        <f>SUMIFS('Awards Summary'!$H:$H,'Awards Summary'!$B:$B,$C150,'Awards Summary'!$J:$J,"OPWDD")</f>
        <v>0</v>
      </c>
      <c r="EO150" s="55">
        <f>SUMIFS('Disbursements Summary'!$E:$E,'Disbursements Summary'!$C:$C,$C150,'Disbursements Summary'!$A:$A,"OPWDD")</f>
        <v>0</v>
      </c>
      <c r="EP150" s="55">
        <f>SUMIFS('Awards Summary'!$H:$H,'Awards Summary'!$B:$B,$C150,'Awards Summary'!$J:$J,"AGING")</f>
        <v>0</v>
      </c>
      <c r="EQ150" s="55">
        <f>SUMIFS('Disbursements Summary'!$E:$E,'Disbursements Summary'!$C:$C,$C150,'Disbursements Summary'!$A:$A,"AGING")</f>
        <v>0</v>
      </c>
      <c r="ER150" s="55">
        <f>SUMIFS('Awards Summary'!$H:$H,'Awards Summary'!$B:$B,$C150,'Awards Summary'!$J:$J,"OPDV")</f>
        <v>0</v>
      </c>
      <c r="ES150" s="55">
        <f>SUMIFS('Disbursements Summary'!$E:$E,'Disbursements Summary'!$C:$C,$C150,'Disbursements Summary'!$A:$A,"OPDV")</f>
        <v>0</v>
      </c>
      <c r="ET150" s="55">
        <f>SUMIFS('Awards Summary'!$H:$H,'Awards Summary'!$B:$B,$C150,'Awards Summary'!$J:$J,"OVS")</f>
        <v>0</v>
      </c>
      <c r="EU150" s="55">
        <f>SUMIFS('Disbursements Summary'!$E:$E,'Disbursements Summary'!$C:$C,$C150,'Disbursements Summary'!$A:$A,"OVS")</f>
        <v>0</v>
      </c>
      <c r="EV150" s="55">
        <f>SUMIFS('Awards Summary'!$H:$H,'Awards Summary'!$B:$B,$C150,'Awards Summary'!$J:$J,"OASAS")</f>
        <v>0</v>
      </c>
      <c r="EW150" s="55">
        <f>SUMIFS('Disbursements Summary'!$E:$E,'Disbursements Summary'!$C:$C,$C150,'Disbursements Summary'!$A:$A,"OASAS")</f>
        <v>0</v>
      </c>
      <c r="EX150" s="55">
        <f>SUMIFS('Awards Summary'!$H:$H,'Awards Summary'!$B:$B,$C150,'Awards Summary'!$J:$J,"OCFS")</f>
        <v>0</v>
      </c>
      <c r="EY150" s="55">
        <f>SUMIFS('Disbursements Summary'!$E:$E,'Disbursements Summary'!$C:$C,$C150,'Disbursements Summary'!$A:$A,"OCFS")</f>
        <v>0</v>
      </c>
      <c r="EZ150" s="55">
        <f>SUMIFS('Awards Summary'!$H:$H,'Awards Summary'!$B:$B,$C150,'Awards Summary'!$J:$J,"OGS")</f>
        <v>0</v>
      </c>
      <c r="FA150" s="55">
        <f>SUMIFS('Disbursements Summary'!$E:$E,'Disbursements Summary'!$C:$C,$C150,'Disbursements Summary'!$A:$A,"OGS")</f>
        <v>0</v>
      </c>
      <c r="FB150" s="55">
        <f>SUMIFS('Awards Summary'!$H:$H,'Awards Summary'!$B:$B,$C150,'Awards Summary'!$J:$J,"OMH")</f>
        <v>0</v>
      </c>
      <c r="FC150" s="55">
        <f>SUMIFS('Disbursements Summary'!$E:$E,'Disbursements Summary'!$C:$C,$C150,'Disbursements Summary'!$A:$A,"OMH")</f>
        <v>0</v>
      </c>
      <c r="FD150" s="55">
        <f>SUMIFS('Awards Summary'!$H:$H,'Awards Summary'!$B:$B,$C150,'Awards Summary'!$J:$J,"PARKS")</f>
        <v>0</v>
      </c>
      <c r="FE150" s="55">
        <f>SUMIFS('Disbursements Summary'!$E:$E,'Disbursements Summary'!$C:$C,$C150,'Disbursements Summary'!$A:$A,"PARKS")</f>
        <v>0</v>
      </c>
      <c r="FF150" s="55">
        <f>SUMIFS('Awards Summary'!$H:$H,'Awards Summary'!$B:$B,$C150,'Awards Summary'!$J:$J,"OTDA")</f>
        <v>0</v>
      </c>
      <c r="FG150" s="55">
        <f>SUMIFS('Disbursements Summary'!$E:$E,'Disbursements Summary'!$C:$C,$C150,'Disbursements Summary'!$A:$A,"OTDA")</f>
        <v>0</v>
      </c>
      <c r="FH150" s="55">
        <f>SUMIFS('Awards Summary'!$H:$H,'Awards Summary'!$B:$B,$C150,'Awards Summary'!$J:$J,"OIG")</f>
        <v>0</v>
      </c>
      <c r="FI150" s="55">
        <f>SUMIFS('Disbursements Summary'!$E:$E,'Disbursements Summary'!$C:$C,$C150,'Disbursements Summary'!$A:$A,"OIG")</f>
        <v>0</v>
      </c>
      <c r="FJ150" s="55">
        <f>SUMIFS('Awards Summary'!$H:$H,'Awards Summary'!$B:$B,$C150,'Awards Summary'!$J:$J,"OMIG")</f>
        <v>0</v>
      </c>
      <c r="FK150" s="55">
        <f>SUMIFS('Disbursements Summary'!$E:$E,'Disbursements Summary'!$C:$C,$C150,'Disbursements Summary'!$A:$A,"OMIG")</f>
        <v>0</v>
      </c>
      <c r="FL150" s="55">
        <f>SUMIFS('Awards Summary'!$H:$H,'Awards Summary'!$B:$B,$C150,'Awards Summary'!$J:$J,"OSC")</f>
        <v>0</v>
      </c>
      <c r="FM150" s="55">
        <f>SUMIFS('Disbursements Summary'!$E:$E,'Disbursements Summary'!$C:$C,$C150,'Disbursements Summary'!$A:$A,"OSC")</f>
        <v>0</v>
      </c>
      <c r="FN150" s="55">
        <f>SUMIFS('Awards Summary'!$H:$H,'Awards Summary'!$B:$B,$C150,'Awards Summary'!$J:$J,"OWIG")</f>
        <v>0</v>
      </c>
      <c r="FO150" s="55">
        <f>SUMIFS('Disbursements Summary'!$E:$E,'Disbursements Summary'!$C:$C,$C150,'Disbursements Summary'!$A:$A,"OWIG")</f>
        <v>0</v>
      </c>
      <c r="FP150" s="55">
        <f>SUMIFS('Awards Summary'!$H:$H,'Awards Summary'!$B:$B,$C150,'Awards Summary'!$J:$J,"OGDEN")</f>
        <v>0</v>
      </c>
      <c r="FQ150" s="55">
        <f>SUMIFS('Disbursements Summary'!$E:$E,'Disbursements Summary'!$C:$C,$C150,'Disbursements Summary'!$A:$A,"OGDEN")</f>
        <v>0</v>
      </c>
      <c r="FR150" s="55">
        <f>SUMIFS('Awards Summary'!$H:$H,'Awards Summary'!$B:$B,$C150,'Awards Summary'!$J:$J,"ORDA")</f>
        <v>0</v>
      </c>
      <c r="FS150" s="55">
        <f>SUMIFS('Disbursements Summary'!$E:$E,'Disbursements Summary'!$C:$C,$C150,'Disbursements Summary'!$A:$A,"ORDA")</f>
        <v>0</v>
      </c>
      <c r="FT150" s="55">
        <f>SUMIFS('Awards Summary'!$H:$H,'Awards Summary'!$B:$B,$C150,'Awards Summary'!$J:$J,"OSWEGO")</f>
        <v>0</v>
      </c>
      <c r="FU150" s="55">
        <f>SUMIFS('Disbursements Summary'!$E:$E,'Disbursements Summary'!$C:$C,$C150,'Disbursements Summary'!$A:$A,"OSWEGO")</f>
        <v>0</v>
      </c>
      <c r="FV150" s="55">
        <f>SUMIFS('Awards Summary'!$H:$H,'Awards Summary'!$B:$B,$C150,'Awards Summary'!$J:$J,"PERB")</f>
        <v>0</v>
      </c>
      <c r="FW150" s="55">
        <f>SUMIFS('Disbursements Summary'!$E:$E,'Disbursements Summary'!$C:$C,$C150,'Disbursements Summary'!$A:$A,"PERB")</f>
        <v>0</v>
      </c>
      <c r="FX150" s="55">
        <f>SUMIFS('Awards Summary'!$H:$H,'Awards Summary'!$B:$B,$C150,'Awards Summary'!$J:$J,"RGRTA")</f>
        <v>0</v>
      </c>
      <c r="FY150" s="55">
        <f>SUMIFS('Disbursements Summary'!$E:$E,'Disbursements Summary'!$C:$C,$C150,'Disbursements Summary'!$A:$A,"RGRTA")</f>
        <v>0</v>
      </c>
      <c r="FZ150" s="55">
        <f>SUMIFS('Awards Summary'!$H:$H,'Awards Summary'!$B:$B,$C150,'Awards Summary'!$J:$J,"RIOC")</f>
        <v>0</v>
      </c>
      <c r="GA150" s="55">
        <f>SUMIFS('Disbursements Summary'!$E:$E,'Disbursements Summary'!$C:$C,$C150,'Disbursements Summary'!$A:$A,"RIOC")</f>
        <v>0</v>
      </c>
      <c r="GB150" s="55">
        <f>SUMIFS('Awards Summary'!$H:$H,'Awards Summary'!$B:$B,$C150,'Awards Summary'!$J:$J,"RPCI")</f>
        <v>0</v>
      </c>
      <c r="GC150" s="55">
        <f>SUMIFS('Disbursements Summary'!$E:$E,'Disbursements Summary'!$C:$C,$C150,'Disbursements Summary'!$A:$A,"RPCI")</f>
        <v>0</v>
      </c>
      <c r="GD150" s="55">
        <f>SUMIFS('Awards Summary'!$H:$H,'Awards Summary'!$B:$B,$C150,'Awards Summary'!$J:$J,"SMDA")</f>
        <v>0</v>
      </c>
      <c r="GE150" s="55">
        <f>SUMIFS('Disbursements Summary'!$E:$E,'Disbursements Summary'!$C:$C,$C150,'Disbursements Summary'!$A:$A,"SMDA")</f>
        <v>0</v>
      </c>
      <c r="GF150" s="55">
        <f>SUMIFS('Awards Summary'!$H:$H,'Awards Summary'!$B:$B,$C150,'Awards Summary'!$J:$J,"SCOC")</f>
        <v>0</v>
      </c>
      <c r="GG150" s="55">
        <f>SUMIFS('Disbursements Summary'!$E:$E,'Disbursements Summary'!$C:$C,$C150,'Disbursements Summary'!$A:$A,"SCOC")</f>
        <v>0</v>
      </c>
      <c r="GH150" s="55">
        <f>SUMIFS('Awards Summary'!$H:$H,'Awards Summary'!$B:$B,$C150,'Awards Summary'!$J:$J,"SUCF")</f>
        <v>0</v>
      </c>
      <c r="GI150" s="55">
        <f>SUMIFS('Disbursements Summary'!$E:$E,'Disbursements Summary'!$C:$C,$C150,'Disbursements Summary'!$A:$A,"SUCF")</f>
        <v>0</v>
      </c>
      <c r="GJ150" s="55">
        <f>SUMIFS('Awards Summary'!$H:$H,'Awards Summary'!$B:$B,$C150,'Awards Summary'!$J:$J,"SUNY")</f>
        <v>0</v>
      </c>
      <c r="GK150" s="55">
        <f>SUMIFS('Disbursements Summary'!$E:$E,'Disbursements Summary'!$C:$C,$C150,'Disbursements Summary'!$A:$A,"SUNY")</f>
        <v>0</v>
      </c>
      <c r="GL150" s="55">
        <f>SUMIFS('Awards Summary'!$H:$H,'Awards Summary'!$B:$B,$C150,'Awards Summary'!$J:$J,"SRAA")</f>
        <v>0</v>
      </c>
      <c r="GM150" s="55">
        <f>SUMIFS('Disbursements Summary'!$E:$E,'Disbursements Summary'!$C:$C,$C150,'Disbursements Summary'!$A:$A,"SRAA")</f>
        <v>0</v>
      </c>
      <c r="GN150" s="55">
        <f>SUMIFS('Awards Summary'!$H:$H,'Awards Summary'!$B:$B,$C150,'Awards Summary'!$J:$J,"UNDC")</f>
        <v>0</v>
      </c>
      <c r="GO150" s="55">
        <f>SUMIFS('Disbursements Summary'!$E:$E,'Disbursements Summary'!$C:$C,$C150,'Disbursements Summary'!$A:$A,"UNDC")</f>
        <v>0</v>
      </c>
      <c r="GP150" s="55">
        <f>SUMIFS('Awards Summary'!$H:$H,'Awards Summary'!$B:$B,$C150,'Awards Summary'!$J:$J,"MVWA")</f>
        <v>0</v>
      </c>
      <c r="GQ150" s="55">
        <f>SUMIFS('Disbursements Summary'!$E:$E,'Disbursements Summary'!$C:$C,$C150,'Disbursements Summary'!$A:$A,"MVWA")</f>
        <v>0</v>
      </c>
      <c r="GR150" s="55">
        <f>SUMIFS('Awards Summary'!$H:$H,'Awards Summary'!$B:$B,$C150,'Awards Summary'!$J:$J,"WMC")</f>
        <v>0</v>
      </c>
      <c r="GS150" s="55">
        <f>SUMIFS('Disbursements Summary'!$E:$E,'Disbursements Summary'!$C:$C,$C150,'Disbursements Summary'!$A:$A,"WMC")</f>
        <v>0</v>
      </c>
      <c r="GT150" s="55">
        <f>SUMIFS('Awards Summary'!$H:$H,'Awards Summary'!$B:$B,$C150,'Awards Summary'!$J:$J,"WCB")</f>
        <v>0</v>
      </c>
      <c r="GU150" s="55">
        <f>SUMIFS('Disbursements Summary'!$E:$E,'Disbursements Summary'!$C:$C,$C150,'Disbursements Summary'!$A:$A,"WCB")</f>
        <v>0</v>
      </c>
      <c r="GV150" s="32">
        <f>(_GoBack+J150+L150+N150+P150+R150+T150+V150+X150+Z150+AB150+AD150+AF150+AH150+AJ150+AL150+AN150+AP150+AR150+AT150+AV150+AX150+AZ150+BB150+BD150+BF150+BH150+BJ150+BL150+BN150+BP150+BR150+BT150+BV150+BX150+BZ150+CB150+CD150+CF150+CH150+CJ150+CL150+CN150+CP150+CR150+CT150+CV150+CX150+CZ150+DB150+DD150+DF150+DH150+DJ150+DL150+DN150+DP150+DR150+DT150+DV150+DX150+DZ150+EB150+ED150+EF150+EH150+EJ150+EL150+EN150+EP150+ER150+ET150+EV150+EX150+EZ150+FB150+FD150+FF150+FH150+FJ150+FL150+FN150+FP150+FR150+FT150+FV150+FX150+FZ150+GB150+GD150+GF150+GH150+GJ150+GL150+GN150+GP150+GR150+GT150)</f>
        <v>0</v>
      </c>
      <c r="GW150" s="32">
        <f>(_GoBack+K150+M150+O150+Q150+S150+U150+W150+Y150+AA150+AC150+AE150+AG150+AI150+AK150+AM150+AO150+AQ150+AS150+AU150+AW150+AY150+BA150+BC150+BE150+BG150+BI150+BK150+BM150+BO150+BQ150+BS150+BU150+BW150+BY150+CA150+CC150+CE150+CG150+CI150+CK150+CM150+CO150+CQ150+CS150+CU150+CW150+CY150+DA150+DC150+DE150+DG150+DI150+DK150+DM150+DO150+DQ150+DS150+DU150+DW150+DY150+EA150+EC150+EE150+EG150+EI150+EK150+EM150+EO150+EQ150+ES150+EU150+EW150+EY150+FA150+FC150+FE150+FG150+FI150+FK150+FM150+FO150+FQ150+FS150+FU150+FW150+FY150+GA150+GC150+GE150+GG150+GI150+GK150+GM150+GO150+GQ150+GS150+GU150)</f>
        <v>0</v>
      </c>
      <c r="GX150" s="30" t="b">
        <f>(E150=GV150)</f>
        <v>1</v>
      </c>
      <c r="GY150" s="30" t="b">
        <f>(F150=GW150)</f>
        <v>1</v>
      </c>
    </row>
    <row r="151" spans="1:207">
      <c r="A151" s="23">
        <f>COUNTIF(A2:A140,"X")</f>
        <v>0</v>
      </c>
      <c r="B151" s="43" t="s">
        <v>52</v>
      </c>
      <c r="C151" s="19"/>
      <c r="D151" s="27">
        <f>SUM(D2:D150)</f>
        <v>0</v>
      </c>
      <c r="E151" s="47">
        <f>SUM(E2:E150)</f>
        <v>0</v>
      </c>
      <c r="F151" s="47">
        <f>SUM(F2:F150)</f>
        <v>0</v>
      </c>
      <c r="G151" s="61"/>
      <c r="H151" s="56">
        <f t="shared" ref="H151:AM151" si="17">SUM(H2:H148)</f>
        <v>0</v>
      </c>
      <c r="I151" s="56">
        <f t="shared" si="17"/>
        <v>0</v>
      </c>
      <c r="J151" s="56">
        <f t="shared" si="17"/>
        <v>0</v>
      </c>
      <c r="K151" s="56">
        <f t="shared" si="17"/>
        <v>0</v>
      </c>
      <c r="L151" s="56">
        <f t="shared" si="17"/>
        <v>0</v>
      </c>
      <c r="M151" s="56">
        <f t="shared" si="17"/>
        <v>0</v>
      </c>
      <c r="N151" s="56">
        <f t="shared" si="17"/>
        <v>0</v>
      </c>
      <c r="O151" s="56">
        <f t="shared" si="17"/>
        <v>0</v>
      </c>
      <c r="P151" s="56">
        <f t="shared" si="17"/>
        <v>0</v>
      </c>
      <c r="Q151" s="56">
        <f t="shared" si="17"/>
        <v>0</v>
      </c>
      <c r="R151" s="56">
        <f t="shared" si="17"/>
        <v>0</v>
      </c>
      <c r="S151" s="56">
        <f t="shared" si="17"/>
        <v>0</v>
      </c>
      <c r="T151" s="56">
        <f t="shared" si="17"/>
        <v>0</v>
      </c>
      <c r="U151" s="56">
        <f t="shared" si="17"/>
        <v>0</v>
      </c>
      <c r="V151" s="56">
        <f t="shared" si="17"/>
        <v>0</v>
      </c>
      <c r="W151" s="56">
        <f t="shared" si="17"/>
        <v>0</v>
      </c>
      <c r="X151" s="56">
        <f t="shared" si="17"/>
        <v>0</v>
      </c>
      <c r="Y151" s="56">
        <f t="shared" si="17"/>
        <v>0</v>
      </c>
      <c r="Z151" s="56">
        <f t="shared" si="17"/>
        <v>0</v>
      </c>
      <c r="AA151" s="56">
        <f t="shared" si="17"/>
        <v>0</v>
      </c>
      <c r="AB151" s="56">
        <f t="shared" si="17"/>
        <v>0</v>
      </c>
      <c r="AC151" s="56">
        <f t="shared" si="17"/>
        <v>0</v>
      </c>
      <c r="AD151" s="56">
        <f t="shared" si="17"/>
        <v>0</v>
      </c>
      <c r="AE151" s="56">
        <f t="shared" si="17"/>
        <v>0</v>
      </c>
      <c r="AF151" s="56">
        <f t="shared" si="17"/>
        <v>0</v>
      </c>
      <c r="AG151" s="56">
        <f t="shared" si="17"/>
        <v>0</v>
      </c>
      <c r="AH151" s="56">
        <f t="shared" si="17"/>
        <v>0</v>
      </c>
      <c r="AI151" s="56">
        <f t="shared" si="17"/>
        <v>0</v>
      </c>
      <c r="AJ151" s="56">
        <f t="shared" si="17"/>
        <v>0</v>
      </c>
      <c r="AK151" s="56">
        <f t="shared" si="17"/>
        <v>0</v>
      </c>
      <c r="AL151" s="56">
        <f t="shared" si="17"/>
        <v>0</v>
      </c>
      <c r="AM151" s="56">
        <f t="shared" si="17"/>
        <v>0</v>
      </c>
      <c r="AN151" s="56">
        <f t="shared" ref="AN151:BS151" si="18">SUM(AN2:AN148)</f>
        <v>0</v>
      </c>
      <c r="AO151" s="56">
        <f t="shared" si="18"/>
        <v>0</v>
      </c>
      <c r="AP151" s="56">
        <f t="shared" si="18"/>
        <v>0</v>
      </c>
      <c r="AQ151" s="56">
        <f t="shared" si="18"/>
        <v>0</v>
      </c>
      <c r="AR151" s="56">
        <f t="shared" si="18"/>
        <v>0</v>
      </c>
      <c r="AS151" s="56">
        <f t="shared" si="18"/>
        <v>0</v>
      </c>
      <c r="AT151" s="56">
        <f t="shared" si="18"/>
        <v>0</v>
      </c>
      <c r="AU151" s="56">
        <f t="shared" si="18"/>
        <v>0</v>
      </c>
      <c r="AV151" s="56">
        <f t="shared" si="18"/>
        <v>0</v>
      </c>
      <c r="AW151" s="56">
        <f t="shared" si="18"/>
        <v>0</v>
      </c>
      <c r="AX151" s="56">
        <f t="shared" si="18"/>
        <v>0</v>
      </c>
      <c r="AY151" s="56">
        <f t="shared" si="18"/>
        <v>0</v>
      </c>
      <c r="AZ151" s="56">
        <f t="shared" si="18"/>
        <v>0</v>
      </c>
      <c r="BA151" s="56">
        <f t="shared" si="18"/>
        <v>0</v>
      </c>
      <c r="BB151" s="56">
        <f t="shared" si="18"/>
        <v>0</v>
      </c>
      <c r="BC151" s="56">
        <f t="shared" si="18"/>
        <v>0</v>
      </c>
      <c r="BD151" s="56">
        <f t="shared" si="18"/>
        <v>0</v>
      </c>
      <c r="BE151" s="56">
        <f t="shared" si="18"/>
        <v>0</v>
      </c>
      <c r="BF151" s="56">
        <f t="shared" si="18"/>
        <v>0</v>
      </c>
      <c r="BG151" s="56">
        <f t="shared" si="18"/>
        <v>0</v>
      </c>
      <c r="BH151" s="56">
        <f t="shared" si="18"/>
        <v>0</v>
      </c>
      <c r="BI151" s="56">
        <f t="shared" si="18"/>
        <v>0</v>
      </c>
      <c r="BJ151" s="56">
        <f t="shared" si="18"/>
        <v>0</v>
      </c>
      <c r="BK151" s="56">
        <f t="shared" si="18"/>
        <v>0</v>
      </c>
      <c r="BL151" s="56">
        <f t="shared" si="18"/>
        <v>0</v>
      </c>
      <c r="BM151" s="56">
        <f t="shared" si="18"/>
        <v>0</v>
      </c>
      <c r="BN151" s="56">
        <f t="shared" si="18"/>
        <v>0</v>
      </c>
      <c r="BO151" s="56">
        <f t="shared" si="18"/>
        <v>0</v>
      </c>
      <c r="BP151" s="56">
        <f t="shared" si="18"/>
        <v>0</v>
      </c>
      <c r="BQ151" s="56">
        <f t="shared" si="18"/>
        <v>0</v>
      </c>
      <c r="BR151" s="56">
        <f t="shared" si="18"/>
        <v>0</v>
      </c>
      <c r="BS151" s="56">
        <f t="shared" si="18"/>
        <v>0</v>
      </c>
      <c r="BT151" s="56">
        <f t="shared" ref="BT151:CY151" si="19">SUM(BT2:BT148)</f>
        <v>0</v>
      </c>
      <c r="BU151" s="56">
        <f t="shared" si="19"/>
        <v>0</v>
      </c>
      <c r="BV151" s="56">
        <f t="shared" si="19"/>
        <v>0</v>
      </c>
      <c r="BW151" s="56">
        <f t="shared" si="19"/>
        <v>0</v>
      </c>
      <c r="BX151" s="56">
        <f t="shared" si="19"/>
        <v>0</v>
      </c>
      <c r="BY151" s="56">
        <f t="shared" si="19"/>
        <v>0</v>
      </c>
      <c r="BZ151" s="56">
        <f t="shared" si="19"/>
        <v>0</v>
      </c>
      <c r="CA151" s="56">
        <f t="shared" si="19"/>
        <v>0</v>
      </c>
      <c r="CB151" s="56">
        <f t="shared" si="19"/>
        <v>0</v>
      </c>
      <c r="CC151" s="56">
        <f t="shared" si="19"/>
        <v>0</v>
      </c>
      <c r="CD151" s="56">
        <f t="shared" si="19"/>
        <v>0</v>
      </c>
      <c r="CE151" s="56">
        <f t="shared" si="19"/>
        <v>0</v>
      </c>
      <c r="CF151" s="56">
        <f t="shared" si="19"/>
        <v>0</v>
      </c>
      <c r="CG151" s="56">
        <f t="shared" si="19"/>
        <v>0</v>
      </c>
      <c r="CH151" s="56">
        <f t="shared" si="19"/>
        <v>0</v>
      </c>
      <c r="CI151" s="56">
        <f t="shared" si="19"/>
        <v>0</v>
      </c>
      <c r="CJ151" s="56">
        <f t="shared" si="19"/>
        <v>0</v>
      </c>
      <c r="CK151" s="56">
        <f t="shared" si="19"/>
        <v>0</v>
      </c>
      <c r="CL151" s="56">
        <f t="shared" si="19"/>
        <v>0</v>
      </c>
      <c r="CM151" s="56">
        <f t="shared" si="19"/>
        <v>0</v>
      </c>
      <c r="CN151" s="56">
        <f t="shared" si="19"/>
        <v>0</v>
      </c>
      <c r="CO151" s="56">
        <f t="shared" si="19"/>
        <v>0</v>
      </c>
      <c r="CP151" s="56">
        <f t="shared" si="19"/>
        <v>0</v>
      </c>
      <c r="CQ151" s="56">
        <f t="shared" si="19"/>
        <v>0</v>
      </c>
      <c r="CR151" s="56">
        <f t="shared" si="19"/>
        <v>0</v>
      </c>
      <c r="CS151" s="56">
        <f t="shared" si="19"/>
        <v>0</v>
      </c>
      <c r="CT151" s="56">
        <f t="shared" si="19"/>
        <v>0</v>
      </c>
      <c r="CU151" s="56">
        <f t="shared" si="19"/>
        <v>0</v>
      </c>
      <c r="CV151" s="56">
        <f t="shared" si="19"/>
        <v>0</v>
      </c>
      <c r="CW151" s="56">
        <f t="shared" si="19"/>
        <v>0</v>
      </c>
      <c r="CX151" s="56">
        <f t="shared" si="19"/>
        <v>0</v>
      </c>
      <c r="CY151" s="56">
        <f t="shared" si="19"/>
        <v>0</v>
      </c>
      <c r="CZ151" s="56">
        <f t="shared" ref="CZ151:EE151" si="20">SUM(CZ2:CZ148)</f>
        <v>0</v>
      </c>
      <c r="DA151" s="56">
        <f t="shared" si="20"/>
        <v>0</v>
      </c>
      <c r="DB151" s="56">
        <f t="shared" si="20"/>
        <v>0</v>
      </c>
      <c r="DC151" s="56">
        <f t="shared" si="20"/>
        <v>0</v>
      </c>
      <c r="DD151" s="56">
        <f t="shared" si="20"/>
        <v>0</v>
      </c>
      <c r="DE151" s="56">
        <f t="shared" si="20"/>
        <v>0</v>
      </c>
      <c r="DF151" s="56">
        <f t="shared" si="20"/>
        <v>0</v>
      </c>
      <c r="DG151" s="56">
        <f t="shared" si="20"/>
        <v>0</v>
      </c>
      <c r="DH151" s="56">
        <f t="shared" si="20"/>
        <v>0</v>
      </c>
      <c r="DI151" s="56">
        <f t="shared" si="20"/>
        <v>0</v>
      </c>
      <c r="DJ151" s="56">
        <f t="shared" si="20"/>
        <v>0</v>
      </c>
      <c r="DK151" s="56">
        <f t="shared" si="20"/>
        <v>0</v>
      </c>
      <c r="DL151" s="56">
        <f t="shared" si="20"/>
        <v>0</v>
      </c>
      <c r="DM151" s="56">
        <f t="shared" si="20"/>
        <v>0</v>
      </c>
      <c r="DN151" s="56">
        <f t="shared" si="20"/>
        <v>0</v>
      </c>
      <c r="DO151" s="56">
        <f t="shared" si="20"/>
        <v>0</v>
      </c>
      <c r="DP151" s="56">
        <f t="shared" si="20"/>
        <v>0</v>
      </c>
      <c r="DQ151" s="56">
        <f t="shared" si="20"/>
        <v>0</v>
      </c>
      <c r="DR151" s="56">
        <f t="shared" si="20"/>
        <v>0</v>
      </c>
      <c r="DS151" s="56">
        <f t="shared" si="20"/>
        <v>0</v>
      </c>
      <c r="DT151" s="56">
        <f t="shared" si="20"/>
        <v>0</v>
      </c>
      <c r="DU151" s="56">
        <f t="shared" si="20"/>
        <v>0</v>
      </c>
      <c r="DV151" s="56">
        <f t="shared" si="20"/>
        <v>0</v>
      </c>
      <c r="DW151" s="56">
        <f t="shared" si="20"/>
        <v>0</v>
      </c>
      <c r="DX151" s="56">
        <f t="shared" si="20"/>
        <v>0</v>
      </c>
      <c r="DY151" s="56">
        <f t="shared" si="20"/>
        <v>0</v>
      </c>
      <c r="DZ151" s="56">
        <f t="shared" si="20"/>
        <v>0</v>
      </c>
      <c r="EA151" s="56">
        <f t="shared" si="20"/>
        <v>0</v>
      </c>
      <c r="EB151" s="56">
        <f t="shared" si="20"/>
        <v>0</v>
      </c>
      <c r="EC151" s="56">
        <f t="shared" si="20"/>
        <v>0</v>
      </c>
      <c r="ED151" s="56">
        <f t="shared" si="20"/>
        <v>0</v>
      </c>
      <c r="EE151" s="56">
        <f t="shared" si="20"/>
        <v>0</v>
      </c>
      <c r="EF151" s="56">
        <f t="shared" ref="EF151:FK151" si="21">SUM(EF2:EF148)</f>
        <v>0</v>
      </c>
      <c r="EG151" s="56">
        <f t="shared" si="21"/>
        <v>0</v>
      </c>
      <c r="EH151" s="56">
        <f t="shared" si="21"/>
        <v>0</v>
      </c>
      <c r="EI151" s="56">
        <f t="shared" si="21"/>
        <v>0</v>
      </c>
      <c r="EJ151" s="56">
        <f t="shared" si="21"/>
        <v>0</v>
      </c>
      <c r="EK151" s="56">
        <f t="shared" si="21"/>
        <v>0</v>
      </c>
      <c r="EL151" s="56">
        <f t="shared" si="21"/>
        <v>0</v>
      </c>
      <c r="EM151" s="56">
        <f t="shared" si="21"/>
        <v>0</v>
      </c>
      <c r="EN151" s="56">
        <f t="shared" si="21"/>
        <v>0</v>
      </c>
      <c r="EO151" s="56">
        <f t="shared" si="21"/>
        <v>0</v>
      </c>
      <c r="EP151" s="56">
        <f t="shared" si="21"/>
        <v>0</v>
      </c>
      <c r="EQ151" s="56">
        <f t="shared" si="21"/>
        <v>0</v>
      </c>
      <c r="ER151" s="56">
        <f t="shared" si="21"/>
        <v>0</v>
      </c>
      <c r="ES151" s="56">
        <f t="shared" si="21"/>
        <v>0</v>
      </c>
      <c r="ET151" s="56">
        <f t="shared" si="21"/>
        <v>0</v>
      </c>
      <c r="EU151" s="56">
        <f t="shared" si="21"/>
        <v>0</v>
      </c>
      <c r="EV151" s="56">
        <f t="shared" si="21"/>
        <v>0</v>
      </c>
      <c r="EW151" s="56">
        <f t="shared" si="21"/>
        <v>0</v>
      </c>
      <c r="EX151" s="56">
        <f t="shared" si="21"/>
        <v>0</v>
      </c>
      <c r="EY151" s="56">
        <f t="shared" si="21"/>
        <v>0</v>
      </c>
      <c r="EZ151" s="56">
        <f t="shared" si="21"/>
        <v>0</v>
      </c>
      <c r="FA151" s="56">
        <f t="shared" si="21"/>
        <v>0</v>
      </c>
      <c r="FB151" s="56">
        <f t="shared" si="21"/>
        <v>0</v>
      </c>
      <c r="FC151" s="56">
        <f t="shared" si="21"/>
        <v>0</v>
      </c>
      <c r="FD151" s="56">
        <f t="shared" si="21"/>
        <v>0</v>
      </c>
      <c r="FE151" s="56">
        <f t="shared" si="21"/>
        <v>0</v>
      </c>
      <c r="FF151" s="56">
        <f t="shared" si="21"/>
        <v>0</v>
      </c>
      <c r="FG151" s="56">
        <f t="shared" si="21"/>
        <v>0</v>
      </c>
      <c r="FH151" s="56">
        <f t="shared" si="21"/>
        <v>0</v>
      </c>
      <c r="FI151" s="56">
        <f t="shared" si="21"/>
        <v>0</v>
      </c>
      <c r="FJ151" s="56">
        <f t="shared" si="21"/>
        <v>0</v>
      </c>
      <c r="FK151" s="56">
        <f t="shared" si="21"/>
        <v>0</v>
      </c>
      <c r="FL151" s="56">
        <f t="shared" ref="FL151:GQ151" si="22">SUM(FL2:FL148)</f>
        <v>0</v>
      </c>
      <c r="FM151" s="56">
        <f t="shared" si="22"/>
        <v>0</v>
      </c>
      <c r="FN151" s="56">
        <f t="shared" si="22"/>
        <v>0</v>
      </c>
      <c r="FO151" s="56">
        <f t="shared" si="22"/>
        <v>0</v>
      </c>
      <c r="FP151" s="56">
        <f t="shared" si="22"/>
        <v>0</v>
      </c>
      <c r="FQ151" s="56">
        <f t="shared" si="22"/>
        <v>0</v>
      </c>
      <c r="FR151" s="56">
        <f t="shared" si="22"/>
        <v>0</v>
      </c>
      <c r="FS151" s="56">
        <f t="shared" si="22"/>
        <v>0</v>
      </c>
      <c r="FT151" s="56">
        <f t="shared" si="22"/>
        <v>0</v>
      </c>
      <c r="FU151" s="56">
        <f t="shared" si="22"/>
        <v>0</v>
      </c>
      <c r="FV151" s="56">
        <f t="shared" si="22"/>
        <v>0</v>
      </c>
      <c r="FW151" s="56">
        <f t="shared" si="22"/>
        <v>0</v>
      </c>
      <c r="FX151" s="56">
        <f t="shared" si="22"/>
        <v>0</v>
      </c>
      <c r="FY151" s="56">
        <f t="shared" si="22"/>
        <v>0</v>
      </c>
      <c r="FZ151" s="56">
        <f t="shared" si="22"/>
        <v>0</v>
      </c>
      <c r="GA151" s="56">
        <f t="shared" si="22"/>
        <v>0</v>
      </c>
      <c r="GB151" s="56">
        <f t="shared" si="22"/>
        <v>0</v>
      </c>
      <c r="GC151" s="56">
        <f t="shared" si="22"/>
        <v>0</v>
      </c>
      <c r="GD151" s="56">
        <f t="shared" si="22"/>
        <v>0</v>
      </c>
      <c r="GE151" s="56">
        <f t="shared" si="22"/>
        <v>0</v>
      </c>
      <c r="GF151" s="56">
        <f t="shared" si="22"/>
        <v>0</v>
      </c>
      <c r="GG151" s="56">
        <f t="shared" si="22"/>
        <v>0</v>
      </c>
      <c r="GH151" s="56">
        <f t="shared" si="22"/>
        <v>0</v>
      </c>
      <c r="GI151" s="56">
        <f t="shared" si="22"/>
        <v>0</v>
      </c>
      <c r="GJ151" s="56">
        <f t="shared" si="22"/>
        <v>0</v>
      </c>
      <c r="GK151" s="56">
        <f t="shared" si="22"/>
        <v>0</v>
      </c>
      <c r="GL151" s="56">
        <f t="shared" si="22"/>
        <v>0</v>
      </c>
      <c r="GM151" s="56">
        <f t="shared" si="22"/>
        <v>0</v>
      </c>
      <c r="GN151" s="56">
        <f t="shared" si="22"/>
        <v>0</v>
      </c>
      <c r="GO151" s="56">
        <f t="shared" si="22"/>
        <v>0</v>
      </c>
      <c r="GP151" s="56">
        <f t="shared" si="22"/>
        <v>0</v>
      </c>
      <c r="GQ151" s="56">
        <f t="shared" si="22"/>
        <v>0</v>
      </c>
      <c r="GR151" s="56">
        <f t="shared" ref="GR151:GW151" si="23">SUM(GR2:GR148)</f>
        <v>0</v>
      </c>
      <c r="GS151" s="56">
        <f t="shared" si="23"/>
        <v>0</v>
      </c>
      <c r="GT151" s="56">
        <f t="shared" si="23"/>
        <v>0</v>
      </c>
      <c r="GU151" s="56">
        <f t="shared" si="23"/>
        <v>0</v>
      </c>
      <c r="GV151" s="56">
        <f t="shared" si="23"/>
        <v>0</v>
      </c>
      <c r="GW151" s="56">
        <f t="shared" si="23"/>
        <v>0</v>
      </c>
      <c r="GX151" s="61"/>
      <c r="GY151" s="61"/>
    </row>
    <row r="152" spans="1:207">
      <c r="B152" s="37"/>
      <c r="C152" s="36"/>
      <c r="D152" s="38"/>
      <c r="E152" s="223" t="str">
        <f>IF(E151='Awards Summary'!K2,"CORRECT","INCORRECT")</f>
        <v>CORRECT</v>
      </c>
      <c r="F152" s="223" t="str">
        <f>IF(F151='Disbursements Summary'!G2, "CORRECT","INCORRECT")</f>
        <v>CORRECT</v>
      </c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  <c r="BK152" s="61"/>
      <c r="BL152" s="61"/>
      <c r="BM152" s="61"/>
      <c r="BN152" s="61"/>
      <c r="BO152" s="61"/>
      <c r="BP152" s="61"/>
      <c r="BQ152" s="61"/>
      <c r="BR152" s="61"/>
      <c r="BS152" s="61"/>
      <c r="BT152" s="61"/>
      <c r="BU152" s="61"/>
      <c r="BV152" s="61"/>
      <c r="BW152" s="61"/>
      <c r="BX152" s="61"/>
      <c r="BY152" s="61"/>
      <c r="BZ152" s="61"/>
      <c r="CA152" s="61"/>
      <c r="CB152" s="61"/>
      <c r="CC152" s="61"/>
      <c r="CD152" s="61"/>
      <c r="CE152" s="61"/>
      <c r="CF152" s="61"/>
      <c r="CG152" s="61"/>
      <c r="CH152" s="61"/>
      <c r="CI152" s="61"/>
      <c r="CJ152" s="61"/>
      <c r="CK152" s="61"/>
      <c r="CL152" s="61"/>
      <c r="CM152" s="61"/>
      <c r="CN152" s="61"/>
      <c r="CO152" s="61"/>
      <c r="CP152" s="61"/>
      <c r="CQ152" s="61"/>
      <c r="CR152" s="61"/>
      <c r="CS152" s="61"/>
      <c r="CT152" s="61"/>
      <c r="CU152" s="61"/>
      <c r="CV152" s="61"/>
      <c r="CW152" s="61"/>
      <c r="CX152" s="61"/>
      <c r="CY152" s="61"/>
      <c r="CZ152" s="61"/>
      <c r="DA152" s="61"/>
      <c r="DB152" s="61"/>
      <c r="DC152" s="61"/>
      <c r="DD152" s="61"/>
      <c r="DE152" s="61"/>
      <c r="DF152" s="61"/>
      <c r="DG152" s="61"/>
      <c r="DH152" s="61"/>
      <c r="DI152" s="61"/>
      <c r="DJ152" s="61"/>
      <c r="DK152" s="61"/>
      <c r="DL152" s="61"/>
      <c r="DM152" s="61"/>
      <c r="DN152" s="61"/>
      <c r="DO152" s="61"/>
      <c r="DP152" s="61"/>
      <c r="DQ152" s="61"/>
      <c r="DR152" s="61"/>
      <c r="DS152" s="61"/>
      <c r="DT152" s="61"/>
      <c r="DU152" s="61"/>
      <c r="DV152" s="61"/>
      <c r="DW152" s="61"/>
      <c r="DX152" s="61"/>
      <c r="DY152" s="61"/>
      <c r="DZ152" s="61"/>
      <c r="EA152" s="61"/>
      <c r="EB152" s="61"/>
      <c r="EC152" s="61"/>
      <c r="ED152" s="61"/>
      <c r="EE152" s="61"/>
      <c r="EF152" s="61"/>
      <c r="EG152" s="61"/>
      <c r="EH152" s="61"/>
      <c r="EI152" s="61"/>
      <c r="EJ152" s="61"/>
      <c r="EK152" s="61"/>
      <c r="EL152" s="61"/>
      <c r="EM152" s="61"/>
      <c r="EN152" s="61"/>
      <c r="EO152" s="61"/>
      <c r="EP152" s="61"/>
      <c r="EQ152" s="61"/>
      <c r="ER152" s="61"/>
      <c r="ES152" s="61"/>
      <c r="ET152" s="61"/>
      <c r="EU152" s="61"/>
      <c r="EV152" s="61"/>
      <c r="EW152" s="61"/>
      <c r="EX152" s="61"/>
      <c r="EY152" s="61"/>
      <c r="EZ152" s="61"/>
      <c r="FA152" s="61"/>
      <c r="FB152" s="61"/>
      <c r="FC152" s="61"/>
      <c r="FD152" s="61"/>
      <c r="FE152" s="61"/>
      <c r="FF152" s="61"/>
      <c r="FG152" s="61"/>
      <c r="FH152" s="61"/>
      <c r="FI152" s="61"/>
      <c r="FJ152" s="61"/>
      <c r="FK152" s="61"/>
      <c r="FL152" s="61"/>
      <c r="FM152" s="61"/>
      <c r="FN152" s="61"/>
      <c r="FO152" s="61"/>
      <c r="FP152" s="61"/>
      <c r="FQ152" s="61"/>
      <c r="FR152" s="61"/>
      <c r="FS152" s="61"/>
      <c r="FT152" s="61"/>
      <c r="FU152" s="61"/>
      <c r="FV152" s="61"/>
      <c r="FW152" s="61"/>
      <c r="FX152" s="61"/>
      <c r="FY152" s="61"/>
      <c r="FZ152" s="61"/>
      <c r="GA152" s="61"/>
      <c r="GB152" s="61"/>
      <c r="GC152" s="61"/>
      <c r="GD152" s="61"/>
      <c r="GE152" s="61"/>
      <c r="GF152" s="61"/>
      <c r="GG152" s="61"/>
      <c r="GH152" s="61"/>
      <c r="GI152" s="61"/>
      <c r="GJ152" s="61"/>
      <c r="GK152" s="61"/>
      <c r="GL152" s="61"/>
      <c r="GM152" s="61"/>
      <c r="GN152" s="61"/>
      <c r="GO152" s="61"/>
      <c r="GP152" s="61"/>
      <c r="GQ152" s="61"/>
      <c r="GR152" s="61"/>
      <c r="GS152" s="61"/>
      <c r="GT152" s="61"/>
      <c r="GU152" s="61"/>
      <c r="GV152" s="61"/>
      <c r="GW152" s="61"/>
      <c r="GX152" s="61"/>
      <c r="GY152" s="61"/>
    </row>
    <row r="153" spans="1:207">
      <c r="B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1"/>
      <c r="BP153" s="61"/>
      <c r="BQ153" s="61"/>
      <c r="BR153" s="61"/>
      <c r="BS153" s="61"/>
      <c r="BT153" s="61"/>
      <c r="BU153" s="61"/>
      <c r="BV153" s="61"/>
      <c r="BW153" s="61"/>
      <c r="BX153" s="61"/>
      <c r="BY153" s="61"/>
      <c r="BZ153" s="61"/>
      <c r="CA153" s="61"/>
      <c r="CB153" s="61"/>
      <c r="CC153" s="61"/>
      <c r="CD153" s="61"/>
      <c r="CE153" s="61"/>
      <c r="CF153" s="61"/>
      <c r="CG153" s="61"/>
      <c r="CH153" s="61"/>
      <c r="CI153" s="61"/>
      <c r="CJ153" s="61"/>
      <c r="CK153" s="61"/>
      <c r="CL153" s="61"/>
      <c r="CM153" s="61"/>
      <c r="CN153" s="61"/>
      <c r="CO153" s="61"/>
      <c r="CP153" s="61"/>
      <c r="CQ153" s="61"/>
      <c r="CR153" s="61"/>
      <c r="CS153" s="61"/>
      <c r="CT153" s="61"/>
      <c r="CU153" s="61"/>
      <c r="CV153" s="61"/>
      <c r="CW153" s="61"/>
      <c r="CX153" s="61"/>
      <c r="CY153" s="61"/>
      <c r="CZ153" s="61"/>
      <c r="DA153" s="61"/>
      <c r="DB153" s="61"/>
      <c r="DC153" s="61"/>
      <c r="DD153" s="61"/>
      <c r="DE153" s="61"/>
      <c r="DF153" s="61"/>
      <c r="DG153" s="61"/>
      <c r="DH153" s="61"/>
      <c r="DI153" s="61"/>
      <c r="DJ153" s="61"/>
      <c r="DK153" s="61"/>
      <c r="DL153" s="61"/>
      <c r="DM153" s="61"/>
      <c r="DN153" s="61"/>
      <c r="DO153" s="61"/>
      <c r="DP153" s="61"/>
      <c r="DQ153" s="61"/>
      <c r="DR153" s="61"/>
      <c r="DS153" s="61"/>
      <c r="DT153" s="61"/>
      <c r="DU153" s="61"/>
      <c r="DV153" s="61"/>
      <c r="DW153" s="61"/>
      <c r="DX153" s="61"/>
      <c r="DY153" s="61"/>
      <c r="DZ153" s="61"/>
      <c r="EA153" s="61"/>
      <c r="EB153" s="61"/>
      <c r="EC153" s="61"/>
      <c r="ED153" s="61"/>
      <c r="EE153" s="61"/>
      <c r="EF153" s="61"/>
      <c r="EG153" s="61"/>
      <c r="EH153" s="61"/>
      <c r="EI153" s="61"/>
      <c r="EJ153" s="61"/>
      <c r="EK153" s="61"/>
      <c r="EL153" s="61"/>
      <c r="EM153" s="61"/>
      <c r="EN153" s="61"/>
      <c r="EO153" s="61"/>
      <c r="EP153" s="61"/>
      <c r="EQ153" s="61"/>
      <c r="ER153" s="61"/>
      <c r="ES153" s="61"/>
      <c r="ET153" s="61"/>
      <c r="EU153" s="61"/>
      <c r="EV153" s="61"/>
      <c r="EW153" s="61"/>
      <c r="EX153" s="61"/>
      <c r="EY153" s="61"/>
      <c r="EZ153" s="61"/>
      <c r="FA153" s="61"/>
      <c r="FB153" s="61"/>
      <c r="FC153" s="61"/>
      <c r="FD153" s="61"/>
      <c r="FE153" s="61"/>
      <c r="FF153" s="61"/>
      <c r="FG153" s="61"/>
      <c r="FH153" s="61"/>
      <c r="FI153" s="61"/>
      <c r="FJ153" s="61"/>
      <c r="FK153" s="61"/>
      <c r="FL153" s="61"/>
      <c r="FM153" s="61"/>
      <c r="FN153" s="61"/>
      <c r="FO153" s="61"/>
      <c r="FP153" s="61"/>
      <c r="FQ153" s="61"/>
      <c r="FR153" s="61"/>
      <c r="FS153" s="61"/>
      <c r="FT153" s="61"/>
      <c r="FU153" s="61"/>
      <c r="FV153" s="61"/>
      <c r="FW153" s="61"/>
      <c r="FX153" s="61"/>
      <c r="FY153" s="61"/>
      <c r="FZ153" s="61"/>
      <c r="GA153" s="61"/>
      <c r="GB153" s="61"/>
      <c r="GC153" s="61"/>
      <c r="GD153" s="61"/>
      <c r="GE153" s="61"/>
      <c r="GF153" s="61"/>
      <c r="GG153" s="61"/>
      <c r="GH153" s="61"/>
      <c r="GI153" s="61"/>
      <c r="GJ153" s="61"/>
      <c r="GK153" s="61"/>
      <c r="GL153" s="61"/>
      <c r="GM153" s="61"/>
      <c r="GN153" s="61"/>
      <c r="GO153" s="61"/>
      <c r="GP153" s="61"/>
      <c r="GQ153" s="61"/>
      <c r="GR153" s="61"/>
      <c r="GS153" s="61"/>
      <c r="GT153" s="61"/>
      <c r="GU153" s="61"/>
      <c r="GV153" s="61"/>
      <c r="GW153" s="61"/>
      <c r="GX153" s="61"/>
      <c r="GY153" s="61"/>
    </row>
    <row r="154" spans="1:207">
      <c r="A154" s="399"/>
      <c r="B154" s="399"/>
      <c r="C154" s="399"/>
    </row>
    <row r="155" spans="1:207">
      <c r="A155" s="30"/>
      <c r="B155" s="30"/>
      <c r="C155" s="116"/>
    </row>
  </sheetData>
  <autoFilter ref="A1:XFD155"/>
  <sortState ref="B2:F98">
    <sortCondition ref="C43"/>
  </sortState>
  <pageMargins left="0.7" right="0.7" top="0.75" bottom="0.75" header="0.3" footer="0.3"/>
  <pageSetup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H3425"/>
  <sheetViews>
    <sheetView zoomScale="50" zoomScaleNormal="50" workbookViewId="0">
      <pane ySplit="1" topLeftCell="A2" activePane="bottomLeft" state="frozen"/>
      <selection pane="bottomLeft" activeCell="I18" sqref="I18"/>
    </sheetView>
  </sheetViews>
  <sheetFormatPr defaultRowHeight="15"/>
  <cols>
    <col min="1" max="1" width="45.5703125" style="104" bestFit="1" customWidth="1"/>
    <col min="2" max="2" width="14" style="80" customWidth="1"/>
    <col min="3" max="3" width="26" style="274" customWidth="1"/>
    <col min="4" max="4" width="38.28515625" style="104" bestFit="1" customWidth="1"/>
    <col min="5" max="5" width="31.42578125" style="104" customWidth="1"/>
    <col min="6" max="6" width="17.85546875" style="119" customWidth="1"/>
    <col min="7" max="7" width="16.28515625" style="108" customWidth="1"/>
    <col min="8" max="8" width="19.5703125" style="119" customWidth="1"/>
    <col min="9" max="9" width="33.28515625" style="104" customWidth="1"/>
    <col min="10" max="10" width="12.42578125" style="104" bestFit="1" customWidth="1"/>
    <col min="11" max="11" width="25.7109375" style="104" customWidth="1"/>
    <col min="12" max="13" width="25.7109375" style="198" customWidth="1"/>
    <col min="14" max="14" width="15" style="198" customWidth="1"/>
    <col min="15" max="60" width="9.140625" style="198"/>
    <col min="61" max="16384" width="9.140625" style="123"/>
  </cols>
  <sheetData>
    <row r="1" spans="1:60" s="78" customFormat="1" ht="77.25" customHeight="1">
      <c r="A1" s="75" t="s">
        <v>18</v>
      </c>
      <c r="B1" s="76" t="s">
        <v>19</v>
      </c>
      <c r="C1" s="233" t="s">
        <v>20</v>
      </c>
      <c r="D1" s="224" t="s">
        <v>21</v>
      </c>
      <c r="E1" s="75" t="s">
        <v>22</v>
      </c>
      <c r="F1" s="234" t="s">
        <v>23</v>
      </c>
      <c r="G1" s="77" t="s">
        <v>24</v>
      </c>
      <c r="H1" s="138" t="s">
        <v>25</v>
      </c>
      <c r="I1" s="75" t="s">
        <v>68</v>
      </c>
      <c r="J1" s="75" t="s">
        <v>94</v>
      </c>
      <c r="K1" s="75" t="s">
        <v>456</v>
      </c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</row>
    <row r="2" spans="1:60" s="121" customFormat="1" ht="16.5" customHeight="1">
      <c r="A2" s="93"/>
      <c r="B2" s="82"/>
      <c r="C2" s="105"/>
      <c r="D2" s="105"/>
      <c r="E2" s="105"/>
      <c r="F2" s="140"/>
      <c r="G2" s="109"/>
      <c r="H2" s="140"/>
      <c r="I2" s="94"/>
      <c r="J2" s="94"/>
      <c r="K2" s="129"/>
      <c r="L2" s="198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</row>
    <row r="3" spans="1:60" s="121" customFormat="1">
      <c r="A3" s="93"/>
      <c r="B3" s="82"/>
      <c r="C3" s="105"/>
      <c r="D3" s="265"/>
      <c r="E3" s="105"/>
      <c r="F3" s="140"/>
      <c r="G3" s="122"/>
      <c r="H3" s="141"/>
      <c r="I3" s="94"/>
      <c r="J3" s="94"/>
      <c r="K3" s="94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</row>
    <row r="4" spans="1:60">
      <c r="A4" s="59"/>
      <c r="B4" s="82"/>
      <c r="C4" s="105"/>
      <c r="D4" s="265"/>
      <c r="E4" s="105"/>
      <c r="F4" s="140"/>
      <c r="G4" s="153"/>
      <c r="H4" s="113"/>
      <c r="I4" s="94"/>
      <c r="J4" s="94"/>
      <c r="K4" s="94"/>
      <c r="L4" s="200"/>
    </row>
    <row r="5" spans="1:60">
      <c r="A5" s="59"/>
      <c r="B5" s="82"/>
      <c r="C5" s="105"/>
      <c r="D5" s="265"/>
      <c r="E5" s="105"/>
      <c r="F5" s="140"/>
      <c r="G5" s="153"/>
      <c r="H5" s="113"/>
      <c r="I5" s="94"/>
      <c r="J5" s="94"/>
      <c r="K5" s="94"/>
    </row>
    <row r="6" spans="1:60" s="121" customFormat="1">
      <c r="A6" s="59"/>
      <c r="B6" s="82"/>
      <c r="C6" s="105"/>
      <c r="D6" s="265"/>
      <c r="E6" s="105"/>
      <c r="F6" s="140"/>
      <c r="G6" s="153"/>
      <c r="H6" s="113"/>
      <c r="I6" s="94"/>
      <c r="J6" s="94"/>
      <c r="K6" s="94"/>
      <c r="L6" s="198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199"/>
      <c r="BB6" s="199"/>
      <c r="BC6" s="199"/>
      <c r="BD6" s="199"/>
      <c r="BE6" s="199"/>
      <c r="BF6" s="199"/>
      <c r="BG6" s="199"/>
      <c r="BH6" s="199"/>
    </row>
    <row r="7" spans="1:60" s="121" customFormat="1">
      <c r="A7" s="59"/>
      <c r="B7" s="82"/>
      <c r="C7" s="105"/>
      <c r="D7" s="265"/>
      <c r="E7" s="105"/>
      <c r="F7" s="140"/>
      <c r="G7" s="153"/>
      <c r="H7" s="113"/>
      <c r="I7" s="94"/>
      <c r="J7" s="94"/>
      <c r="K7" s="94"/>
      <c r="L7" s="198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199"/>
      <c r="BA7" s="199"/>
      <c r="BB7" s="199"/>
      <c r="BC7" s="199"/>
      <c r="BD7" s="199"/>
      <c r="BE7" s="199"/>
      <c r="BF7" s="199"/>
      <c r="BG7" s="199"/>
      <c r="BH7" s="199"/>
    </row>
    <row r="8" spans="1:60">
      <c r="A8" s="59"/>
      <c r="B8" s="82"/>
      <c r="C8" s="105"/>
      <c r="D8" s="265"/>
      <c r="E8" s="105"/>
      <c r="F8" s="140"/>
      <c r="G8" s="153"/>
      <c r="H8" s="113"/>
      <c r="I8" s="94"/>
      <c r="J8" s="94"/>
      <c r="K8" s="94"/>
    </row>
    <row r="9" spans="1:60">
      <c r="A9" s="59"/>
      <c r="B9" s="82"/>
      <c r="C9" s="105"/>
      <c r="D9" s="152"/>
      <c r="E9" s="105"/>
      <c r="F9" s="140"/>
      <c r="G9" s="153"/>
      <c r="H9" s="113"/>
      <c r="I9" s="94"/>
      <c r="J9" s="94"/>
      <c r="K9" s="94"/>
    </row>
    <row r="10" spans="1:60">
      <c r="A10" s="59"/>
      <c r="B10" s="82"/>
      <c r="C10" s="105"/>
      <c r="D10" s="154"/>
      <c r="E10" s="105"/>
      <c r="F10" s="140"/>
      <c r="G10" s="153"/>
      <c r="H10" s="113"/>
      <c r="I10" s="94"/>
      <c r="J10" s="94"/>
      <c r="K10" s="94"/>
    </row>
    <row r="11" spans="1:60" ht="14.25" customHeight="1">
      <c r="A11" s="59"/>
      <c r="B11" s="82"/>
      <c r="C11" s="105"/>
      <c r="D11" s="154"/>
      <c r="E11" s="105"/>
      <c r="F11" s="140"/>
      <c r="G11" s="153"/>
      <c r="H11" s="113"/>
      <c r="I11" s="94"/>
      <c r="J11" s="94"/>
      <c r="K11" s="94"/>
    </row>
    <row r="12" spans="1:60">
      <c r="A12" s="59"/>
      <c r="B12" s="82"/>
      <c r="C12" s="105"/>
      <c r="D12" s="154"/>
      <c r="E12" s="105"/>
      <c r="F12" s="140"/>
      <c r="G12" s="153"/>
      <c r="H12" s="113"/>
      <c r="I12" s="94"/>
      <c r="J12" s="94"/>
      <c r="K12" s="94"/>
    </row>
    <row r="13" spans="1:60" s="121" customFormat="1">
      <c r="A13" s="59"/>
      <c r="B13" s="82"/>
      <c r="C13" s="105"/>
      <c r="D13" s="105"/>
      <c r="E13" s="105"/>
      <c r="F13" s="140"/>
      <c r="G13" s="153"/>
      <c r="H13" s="113"/>
      <c r="I13" s="94"/>
      <c r="J13" s="94"/>
      <c r="K13" s="94"/>
      <c r="L13" s="198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</row>
    <row r="14" spans="1:60">
      <c r="A14" s="93"/>
      <c r="B14" s="82"/>
      <c r="C14" s="93"/>
      <c r="D14" s="265"/>
      <c r="E14" s="105"/>
      <c r="F14" s="140"/>
      <c r="G14" s="109"/>
      <c r="H14" s="140"/>
      <c r="I14" s="93"/>
      <c r="J14" s="93"/>
      <c r="K14" s="93"/>
    </row>
    <row r="15" spans="1:60">
      <c r="A15" s="93"/>
      <c r="B15" s="82"/>
      <c r="C15" s="105"/>
      <c r="D15" s="345"/>
      <c r="E15" s="105"/>
      <c r="F15" s="140"/>
      <c r="G15" s="122"/>
      <c r="H15" s="141"/>
      <c r="I15" s="93"/>
      <c r="J15" s="93"/>
      <c r="K15" s="93"/>
    </row>
    <row r="16" spans="1:60">
      <c r="A16" s="93"/>
      <c r="B16" s="82"/>
      <c r="C16" s="105"/>
      <c r="D16" s="105"/>
      <c r="E16" s="105"/>
      <c r="F16" s="140"/>
      <c r="G16" s="109"/>
      <c r="H16" s="140"/>
      <c r="I16" s="94"/>
      <c r="J16" s="94"/>
      <c r="K16" s="94"/>
    </row>
    <row r="17" spans="1:60">
      <c r="A17" s="93"/>
      <c r="B17" s="82"/>
      <c r="C17" s="105"/>
      <c r="D17" s="105"/>
      <c r="E17" s="105"/>
      <c r="F17" s="140"/>
      <c r="G17" s="122"/>
      <c r="H17" s="141"/>
      <c r="I17" s="94"/>
      <c r="J17" s="94"/>
      <c r="K17" s="94"/>
    </row>
    <row r="18" spans="1:60">
      <c r="A18" s="93"/>
      <c r="B18" s="82"/>
      <c r="C18" s="105"/>
      <c r="D18" s="105"/>
      <c r="E18" s="105"/>
      <c r="F18" s="140"/>
      <c r="G18" s="109"/>
      <c r="H18" s="140"/>
      <c r="I18" s="94"/>
      <c r="J18" s="94"/>
      <c r="K18" s="94"/>
    </row>
    <row r="19" spans="1:60" s="126" customFormat="1">
      <c r="A19" s="241"/>
      <c r="B19" s="236"/>
      <c r="C19" s="266"/>
      <c r="D19" s="266"/>
      <c r="E19" s="266"/>
      <c r="F19" s="279"/>
      <c r="G19" s="360"/>
      <c r="H19" s="279"/>
      <c r="I19" s="227"/>
      <c r="J19" s="227"/>
      <c r="K19" s="227"/>
      <c r="L19" s="198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</row>
    <row r="20" spans="1:60">
      <c r="A20" s="59"/>
      <c r="B20" s="73"/>
      <c r="C20" s="93"/>
      <c r="D20" s="265"/>
      <c r="E20" s="105"/>
      <c r="F20" s="140"/>
      <c r="G20" s="153"/>
      <c r="H20" s="113"/>
      <c r="I20" s="94"/>
      <c r="J20" s="94"/>
      <c r="K20" s="94"/>
    </row>
    <row r="21" spans="1:60">
      <c r="A21" s="59"/>
      <c r="B21" s="73"/>
      <c r="C21" s="93"/>
      <c r="D21" s="265"/>
      <c r="E21" s="105"/>
      <c r="F21" s="140"/>
      <c r="G21" s="153"/>
      <c r="H21" s="113"/>
      <c r="I21" s="94"/>
      <c r="J21" s="94"/>
      <c r="K21" s="94"/>
    </row>
    <row r="22" spans="1:60">
      <c r="A22" s="59"/>
      <c r="B22" s="73"/>
      <c r="C22" s="93"/>
      <c r="D22" s="265"/>
      <c r="E22" s="105"/>
      <c r="F22" s="140"/>
      <c r="G22" s="153"/>
      <c r="H22" s="113"/>
      <c r="I22" s="94"/>
      <c r="J22" s="94"/>
      <c r="K22" s="94"/>
    </row>
    <row r="23" spans="1:60">
      <c r="A23" s="59"/>
      <c r="B23" s="73"/>
      <c r="C23" s="93"/>
      <c r="D23" s="265"/>
      <c r="E23" s="105"/>
      <c r="F23" s="140"/>
      <c r="G23" s="153"/>
      <c r="H23" s="113"/>
      <c r="I23" s="94"/>
      <c r="J23" s="94"/>
      <c r="K23" s="94"/>
    </row>
    <row r="24" spans="1:60">
      <c r="A24" s="59"/>
      <c r="B24" s="73"/>
      <c r="C24" s="93"/>
      <c r="D24" s="265"/>
      <c r="E24" s="105"/>
      <c r="F24" s="140"/>
      <c r="G24" s="153"/>
      <c r="H24" s="113"/>
      <c r="I24" s="94"/>
      <c r="J24" s="94"/>
      <c r="K24" s="94"/>
    </row>
    <row r="25" spans="1:60" s="121" customFormat="1">
      <c r="A25" s="59"/>
      <c r="B25" s="73"/>
      <c r="C25" s="93"/>
      <c r="D25" s="265"/>
      <c r="E25" s="105"/>
      <c r="F25" s="140"/>
      <c r="G25" s="153"/>
      <c r="H25" s="113"/>
      <c r="I25" s="94"/>
      <c r="J25" s="94"/>
      <c r="K25" s="94"/>
      <c r="L25" s="198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199"/>
      <c r="BG25" s="199"/>
      <c r="BH25" s="199"/>
    </row>
    <row r="26" spans="1:60">
      <c r="A26" s="59"/>
      <c r="B26" s="73"/>
      <c r="C26" s="93"/>
      <c r="D26" s="265"/>
      <c r="E26" s="105"/>
      <c r="F26" s="140"/>
      <c r="G26" s="153"/>
      <c r="H26" s="113"/>
      <c r="I26" s="94"/>
      <c r="J26" s="94"/>
      <c r="K26" s="94"/>
    </row>
    <row r="27" spans="1:60">
      <c r="A27" s="59"/>
      <c r="B27" s="73"/>
      <c r="C27" s="93"/>
      <c r="D27" s="265"/>
      <c r="E27" s="105"/>
      <c r="F27" s="140"/>
      <c r="G27" s="153"/>
      <c r="H27" s="113"/>
      <c r="I27" s="94"/>
      <c r="J27" s="94"/>
      <c r="K27" s="94"/>
    </row>
    <row r="28" spans="1:60">
      <c r="A28" s="59"/>
      <c r="B28" s="73"/>
      <c r="C28" s="93"/>
      <c r="D28" s="265"/>
      <c r="E28" s="105"/>
      <c r="F28" s="140"/>
      <c r="G28" s="153"/>
      <c r="H28" s="113"/>
      <c r="I28" s="94"/>
      <c r="J28" s="94"/>
      <c r="K28" s="94"/>
    </row>
    <row r="29" spans="1:60">
      <c r="A29" s="59"/>
      <c r="B29" s="73"/>
      <c r="C29" s="93"/>
      <c r="D29" s="265"/>
      <c r="E29" s="105"/>
      <c r="F29" s="140"/>
      <c r="G29" s="153"/>
      <c r="H29" s="113"/>
      <c r="I29" s="94"/>
      <c r="J29" s="94"/>
      <c r="K29" s="94"/>
    </row>
    <row r="30" spans="1:60">
      <c r="A30" s="59"/>
      <c r="B30" s="73"/>
      <c r="C30" s="93"/>
      <c r="D30" s="265"/>
      <c r="E30" s="105"/>
      <c r="F30" s="140"/>
      <c r="G30" s="153"/>
      <c r="H30" s="113"/>
      <c r="I30" s="94"/>
      <c r="J30" s="94"/>
      <c r="K30" s="94"/>
    </row>
    <row r="31" spans="1:60">
      <c r="A31" s="59"/>
      <c r="B31" s="73"/>
      <c r="C31" s="93"/>
      <c r="D31" s="265"/>
      <c r="E31" s="105"/>
      <c r="F31" s="140"/>
      <c r="G31" s="153"/>
      <c r="H31" s="113"/>
      <c r="I31" s="94"/>
      <c r="J31" s="94"/>
      <c r="K31" s="94"/>
    </row>
    <row r="32" spans="1:60">
      <c r="A32" s="59"/>
      <c r="B32" s="73"/>
      <c r="C32" s="93"/>
      <c r="D32" s="265"/>
      <c r="E32" s="105"/>
      <c r="F32" s="140"/>
      <c r="G32" s="153"/>
      <c r="H32" s="113"/>
      <c r="I32" s="94"/>
      <c r="J32" s="94"/>
      <c r="K32" s="94"/>
    </row>
    <row r="33" spans="1:60">
      <c r="A33" s="59"/>
      <c r="B33" s="73"/>
      <c r="C33" s="93"/>
      <c r="D33" s="265"/>
      <c r="E33" s="105"/>
      <c r="F33" s="140"/>
      <c r="G33" s="153"/>
      <c r="H33" s="113"/>
      <c r="I33" s="94"/>
      <c r="J33" s="94"/>
      <c r="K33" s="94"/>
    </row>
    <row r="34" spans="1:60">
      <c r="A34" s="59"/>
      <c r="B34" s="73"/>
      <c r="C34" s="93"/>
      <c r="D34" s="265"/>
      <c r="E34" s="105"/>
      <c r="F34" s="140"/>
      <c r="G34" s="153"/>
      <c r="H34" s="113"/>
      <c r="I34" s="94"/>
      <c r="J34" s="94"/>
      <c r="K34" s="94"/>
    </row>
    <row r="35" spans="1:60">
      <c r="A35" s="59"/>
      <c r="B35" s="73"/>
      <c r="C35" s="93"/>
      <c r="D35" s="265"/>
      <c r="E35" s="105"/>
      <c r="F35" s="140"/>
      <c r="G35" s="153"/>
      <c r="H35" s="113"/>
      <c r="I35" s="94"/>
      <c r="J35" s="94"/>
      <c r="K35" s="94"/>
    </row>
    <row r="36" spans="1:60">
      <c r="A36" s="59"/>
      <c r="B36" s="73"/>
      <c r="C36" s="93"/>
      <c r="D36" s="265"/>
      <c r="E36" s="105"/>
      <c r="F36" s="140"/>
      <c r="G36" s="153"/>
      <c r="H36" s="113"/>
      <c r="I36" s="94"/>
      <c r="J36" s="94"/>
      <c r="K36" s="94"/>
    </row>
    <row r="37" spans="1:60">
      <c r="A37" s="59"/>
      <c r="B37" s="73"/>
      <c r="C37" s="93"/>
      <c r="D37" s="265"/>
      <c r="E37" s="105"/>
      <c r="F37" s="140"/>
      <c r="G37" s="153"/>
      <c r="H37" s="113"/>
      <c r="I37" s="94"/>
      <c r="J37" s="94"/>
      <c r="K37" s="94"/>
      <c r="L37" s="199"/>
    </row>
    <row r="38" spans="1:60" s="121" customFormat="1">
      <c r="A38" s="59"/>
      <c r="B38" s="73"/>
      <c r="C38" s="93"/>
      <c r="D38" s="265"/>
      <c r="E38" s="105"/>
      <c r="F38" s="140"/>
      <c r="G38" s="153"/>
      <c r="H38" s="113"/>
      <c r="I38" s="94"/>
      <c r="J38" s="94"/>
      <c r="K38" s="94"/>
      <c r="L38" s="198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</row>
    <row r="39" spans="1:60">
      <c r="A39" s="59"/>
      <c r="B39" s="73"/>
      <c r="C39" s="93"/>
      <c r="D39" s="265"/>
      <c r="E39" s="105"/>
      <c r="F39" s="140"/>
      <c r="G39" s="153"/>
      <c r="H39" s="113"/>
      <c r="I39" s="94"/>
      <c r="J39" s="94"/>
      <c r="K39" s="94"/>
      <c r="L39" s="199"/>
    </row>
    <row r="40" spans="1:60" s="121" customFormat="1">
      <c r="A40" s="59"/>
      <c r="B40" s="73"/>
      <c r="C40" s="93"/>
      <c r="D40" s="265"/>
      <c r="E40" s="105"/>
      <c r="F40" s="140"/>
      <c r="G40" s="153"/>
      <c r="H40" s="113"/>
      <c r="I40" s="94"/>
      <c r="J40" s="94"/>
      <c r="K40" s="94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</row>
    <row r="41" spans="1:60" s="121" customFormat="1">
      <c r="A41" s="59"/>
      <c r="B41" s="73"/>
      <c r="C41" s="93"/>
      <c r="D41" s="265"/>
      <c r="E41" s="105"/>
      <c r="F41" s="140"/>
      <c r="G41" s="153"/>
      <c r="H41" s="113"/>
      <c r="I41" s="94"/>
      <c r="J41" s="94"/>
      <c r="K41" s="94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</row>
    <row r="42" spans="1:60" s="121" customFormat="1">
      <c r="A42" s="59"/>
      <c r="B42" s="73"/>
      <c r="C42" s="93"/>
      <c r="D42" s="265"/>
      <c r="E42" s="105"/>
      <c r="F42" s="140"/>
      <c r="G42" s="153"/>
      <c r="H42" s="113"/>
      <c r="I42" s="94"/>
      <c r="J42" s="94"/>
      <c r="K42" s="94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</row>
    <row r="43" spans="1:60" s="121" customFormat="1">
      <c r="A43" s="59"/>
      <c r="B43" s="57"/>
      <c r="C43" s="93"/>
      <c r="D43" s="152"/>
      <c r="E43" s="105"/>
      <c r="F43" s="140"/>
      <c r="G43" s="153"/>
      <c r="H43" s="113"/>
      <c r="I43" s="94"/>
      <c r="J43" s="94"/>
      <c r="K43" s="94"/>
      <c r="L43" s="198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199"/>
      <c r="BC43" s="199"/>
      <c r="BD43" s="199"/>
      <c r="BE43" s="199"/>
      <c r="BF43" s="199"/>
      <c r="BG43" s="199"/>
      <c r="BH43" s="199"/>
    </row>
    <row r="44" spans="1:60" s="121" customFormat="1">
      <c r="A44" s="59"/>
      <c r="B44" s="57"/>
      <c r="C44" s="93"/>
      <c r="D44" s="152"/>
      <c r="E44" s="105"/>
      <c r="F44" s="140"/>
      <c r="G44" s="153"/>
      <c r="H44" s="113"/>
      <c r="I44" s="94"/>
      <c r="J44" s="94"/>
      <c r="K44" s="94"/>
      <c r="L44" s="198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199"/>
      <c r="BC44" s="199"/>
      <c r="BD44" s="199"/>
      <c r="BE44" s="199"/>
      <c r="BF44" s="199"/>
      <c r="BG44" s="199"/>
      <c r="BH44" s="199"/>
    </row>
    <row r="45" spans="1:60" s="121" customFormat="1">
      <c r="A45" s="59"/>
      <c r="B45" s="57"/>
      <c r="C45" s="93"/>
      <c r="D45" s="152"/>
      <c r="E45" s="105"/>
      <c r="F45" s="140"/>
      <c r="G45" s="153"/>
      <c r="H45" s="113"/>
      <c r="I45" s="94"/>
      <c r="J45" s="94"/>
      <c r="K45" s="94"/>
      <c r="L45" s="198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199"/>
      <c r="BD45" s="199"/>
      <c r="BE45" s="199"/>
      <c r="BF45" s="199"/>
      <c r="BG45" s="199"/>
      <c r="BH45" s="199"/>
    </row>
    <row r="46" spans="1:60" s="121" customFormat="1">
      <c r="A46" s="59"/>
      <c r="B46" s="156"/>
      <c r="C46" s="93"/>
      <c r="D46" s="265"/>
      <c r="E46" s="105"/>
      <c r="F46" s="140"/>
      <c r="G46" s="153"/>
      <c r="H46" s="113"/>
      <c r="I46" s="94"/>
      <c r="J46" s="94"/>
      <c r="K46" s="94"/>
      <c r="L46" s="198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199"/>
      <c r="BC46" s="199"/>
      <c r="BD46" s="199"/>
      <c r="BE46" s="199"/>
      <c r="BF46" s="199"/>
      <c r="BG46" s="199"/>
      <c r="BH46" s="199"/>
    </row>
    <row r="47" spans="1:60" s="121" customFormat="1" ht="15" customHeight="1">
      <c r="A47" s="59"/>
      <c r="B47" s="156"/>
      <c r="C47" s="93"/>
      <c r="D47" s="265"/>
      <c r="E47" s="105"/>
      <c r="F47" s="140"/>
      <c r="G47" s="153"/>
      <c r="H47" s="113"/>
      <c r="I47" s="94"/>
      <c r="J47" s="94"/>
      <c r="K47" s="94"/>
      <c r="L47" s="198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99"/>
      <c r="BE47" s="199"/>
      <c r="BF47" s="199"/>
      <c r="BG47" s="199"/>
      <c r="BH47" s="199"/>
    </row>
    <row r="48" spans="1:60" s="121" customFormat="1">
      <c r="A48" s="59"/>
      <c r="B48" s="156"/>
      <c r="C48" s="93"/>
      <c r="D48" s="265"/>
      <c r="E48" s="105"/>
      <c r="F48" s="140"/>
      <c r="G48" s="153"/>
      <c r="H48" s="113"/>
      <c r="I48" s="94"/>
      <c r="J48" s="94"/>
      <c r="K48" s="94"/>
      <c r="L48" s="198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</row>
    <row r="49" spans="1:12">
      <c r="A49" s="59"/>
      <c r="B49" s="156"/>
      <c r="C49" s="93"/>
      <c r="D49" s="152"/>
      <c r="E49" s="105"/>
      <c r="F49" s="140"/>
      <c r="G49" s="153"/>
      <c r="H49" s="113"/>
      <c r="I49" s="94"/>
      <c r="J49" s="94"/>
      <c r="K49" s="94"/>
    </row>
    <row r="50" spans="1:12">
      <c r="A50" s="93"/>
      <c r="B50" s="82"/>
      <c r="C50" s="105"/>
      <c r="D50" s="105"/>
      <c r="E50" s="105"/>
      <c r="F50" s="140"/>
      <c r="G50" s="109"/>
      <c r="H50" s="140"/>
      <c r="I50" s="93"/>
      <c r="J50" s="93"/>
      <c r="K50" s="93"/>
    </row>
    <row r="51" spans="1:12">
      <c r="A51" s="93"/>
      <c r="B51" s="82"/>
      <c r="C51" s="105"/>
      <c r="D51" s="105"/>
      <c r="E51" s="105"/>
      <c r="F51" s="140"/>
      <c r="G51" s="122"/>
      <c r="H51" s="140"/>
      <c r="I51" s="93"/>
      <c r="J51" s="93"/>
      <c r="K51" s="93"/>
    </row>
    <row r="52" spans="1:12">
      <c r="A52" s="93"/>
      <c r="B52" s="82"/>
      <c r="C52" s="105"/>
      <c r="D52" s="105"/>
      <c r="E52" s="105"/>
      <c r="F52" s="140"/>
      <c r="G52" s="109"/>
      <c r="H52" s="140"/>
      <c r="I52" s="93"/>
      <c r="J52" s="93"/>
      <c r="K52" s="93"/>
    </row>
    <row r="53" spans="1:12">
      <c r="A53" s="93"/>
      <c r="B53" s="82"/>
      <c r="C53" s="105"/>
      <c r="D53" s="105"/>
      <c r="E53" s="105"/>
      <c r="F53" s="140"/>
      <c r="G53" s="109"/>
      <c r="H53" s="140"/>
      <c r="I53" s="93"/>
      <c r="J53" s="93"/>
      <c r="K53" s="93"/>
      <c r="L53" s="199"/>
    </row>
    <row r="54" spans="1:12">
      <c r="A54" s="93"/>
      <c r="B54" s="82"/>
      <c r="C54" s="105"/>
      <c r="D54" s="105"/>
      <c r="E54" s="105"/>
      <c r="F54" s="140"/>
      <c r="G54" s="109"/>
      <c r="H54" s="140"/>
      <c r="I54" s="93"/>
      <c r="J54" s="93"/>
      <c r="K54" s="93"/>
    </row>
    <row r="55" spans="1:12">
      <c r="A55" s="93"/>
      <c r="B55" s="82"/>
      <c r="C55" s="105"/>
      <c r="D55" s="105"/>
      <c r="E55" s="105"/>
      <c r="F55" s="140"/>
      <c r="G55" s="109"/>
      <c r="H55" s="140"/>
      <c r="I55" s="93"/>
      <c r="J55" s="93"/>
      <c r="K55" s="93"/>
    </row>
    <row r="56" spans="1:12">
      <c r="A56" s="93"/>
      <c r="B56" s="82"/>
      <c r="C56" s="105"/>
      <c r="D56" s="105"/>
      <c r="E56" s="105"/>
      <c r="F56" s="140"/>
      <c r="G56" s="109"/>
      <c r="H56" s="140"/>
      <c r="I56" s="93"/>
      <c r="J56" s="93"/>
      <c r="K56" s="93"/>
    </row>
    <row r="57" spans="1:12">
      <c r="A57" s="241"/>
      <c r="B57" s="236"/>
      <c r="C57" s="266"/>
      <c r="D57" s="265"/>
      <c r="E57" s="266"/>
      <c r="F57" s="279"/>
      <c r="G57" s="280"/>
      <c r="H57" s="232"/>
      <c r="I57" s="227"/>
      <c r="J57" s="227"/>
      <c r="K57" s="227"/>
    </row>
    <row r="58" spans="1:12">
      <c r="A58" s="241"/>
      <c r="B58" s="236"/>
      <c r="C58" s="266"/>
      <c r="D58" s="265"/>
      <c r="E58" s="266"/>
      <c r="F58" s="279"/>
      <c r="G58" s="280"/>
      <c r="H58" s="232"/>
      <c r="I58" s="227"/>
      <c r="J58" s="227"/>
      <c r="K58" s="227"/>
    </row>
    <row r="59" spans="1:12">
      <c r="A59" s="241"/>
      <c r="B59" s="236"/>
      <c r="C59" s="266"/>
      <c r="D59" s="361"/>
      <c r="E59" s="266"/>
      <c r="F59" s="279"/>
      <c r="G59" s="280"/>
      <c r="H59" s="232"/>
      <c r="I59" s="227"/>
      <c r="J59" s="227"/>
      <c r="K59" s="227"/>
    </row>
    <row r="60" spans="1:12">
      <c r="A60" s="241"/>
      <c r="B60" s="236"/>
      <c r="C60" s="266"/>
      <c r="D60" s="152"/>
      <c r="E60" s="266"/>
      <c r="F60" s="279"/>
      <c r="G60" s="280"/>
      <c r="H60" s="232"/>
      <c r="I60" s="227"/>
      <c r="J60" s="227"/>
      <c r="K60" s="227"/>
    </row>
    <row r="61" spans="1:12">
      <c r="A61" s="241"/>
      <c r="B61" s="236"/>
      <c r="C61" s="266"/>
      <c r="D61" s="152"/>
      <c r="E61" s="266"/>
      <c r="F61" s="279"/>
      <c r="G61" s="280"/>
      <c r="H61" s="232"/>
      <c r="I61" s="227"/>
      <c r="J61" s="227"/>
      <c r="K61" s="227"/>
    </row>
    <row r="62" spans="1:12">
      <c r="A62" s="241"/>
      <c r="B62" s="236"/>
      <c r="C62" s="266"/>
      <c r="D62" s="265"/>
      <c r="E62" s="266"/>
      <c r="F62" s="279"/>
      <c r="G62" s="280"/>
      <c r="H62" s="232"/>
      <c r="I62" s="227"/>
      <c r="J62" s="227"/>
      <c r="K62" s="227"/>
    </row>
    <row r="63" spans="1:12">
      <c r="A63" s="241"/>
      <c r="B63" s="236"/>
      <c r="C63" s="266"/>
      <c r="D63" s="265"/>
      <c r="E63" s="266"/>
      <c r="F63" s="279"/>
      <c r="G63" s="280"/>
      <c r="H63" s="147"/>
      <c r="I63" s="227"/>
      <c r="J63" s="227"/>
      <c r="K63" s="227"/>
    </row>
    <row r="64" spans="1:12">
      <c r="A64" s="241"/>
      <c r="B64" s="236"/>
      <c r="C64" s="266"/>
      <c r="D64" s="265"/>
      <c r="E64" s="266"/>
      <c r="F64" s="279"/>
      <c r="G64" s="280"/>
      <c r="H64" s="232"/>
      <c r="I64" s="227"/>
      <c r="J64" s="227"/>
      <c r="K64" s="227"/>
    </row>
    <row r="65" spans="1:60">
      <c r="A65" s="241"/>
      <c r="B65" s="236"/>
      <c r="C65" s="266"/>
      <c r="D65" s="265"/>
      <c r="E65" s="266"/>
      <c r="F65" s="279"/>
      <c r="G65" s="280"/>
      <c r="H65" s="232"/>
      <c r="I65" s="227"/>
      <c r="J65" s="227"/>
      <c r="K65" s="227"/>
    </row>
    <row r="66" spans="1:60">
      <c r="A66" s="241"/>
      <c r="B66" s="236"/>
      <c r="C66" s="266"/>
      <c r="D66" s="265"/>
      <c r="E66" s="266"/>
      <c r="F66" s="279"/>
      <c r="G66" s="280"/>
      <c r="H66" s="232"/>
      <c r="I66" s="227"/>
      <c r="J66" s="227"/>
      <c r="K66" s="227"/>
    </row>
    <row r="67" spans="1:60">
      <c r="A67" s="241"/>
      <c r="B67" s="236"/>
      <c r="C67" s="266"/>
      <c r="D67" s="265"/>
      <c r="E67" s="266"/>
      <c r="F67" s="279"/>
      <c r="G67" s="280"/>
      <c r="H67" s="232"/>
      <c r="I67" s="227"/>
      <c r="J67" s="227"/>
      <c r="K67" s="227"/>
    </row>
    <row r="68" spans="1:60">
      <c r="A68" s="241"/>
      <c r="B68" s="236"/>
      <c r="C68" s="266"/>
      <c r="D68" s="265"/>
      <c r="E68" s="266"/>
      <c r="F68" s="279"/>
      <c r="G68" s="280"/>
      <c r="H68" s="232"/>
      <c r="I68" s="227"/>
      <c r="J68" s="227"/>
      <c r="K68" s="227"/>
    </row>
    <row r="69" spans="1:60">
      <c r="A69" s="241"/>
      <c r="B69" s="236"/>
      <c r="C69" s="266"/>
      <c r="D69" s="265"/>
      <c r="E69" s="266"/>
      <c r="F69" s="279"/>
      <c r="G69" s="280"/>
      <c r="H69" s="232"/>
      <c r="I69" s="227"/>
      <c r="J69" s="227"/>
      <c r="K69" s="227"/>
    </row>
    <row r="70" spans="1:60">
      <c r="A70" s="241"/>
      <c r="B70" s="236"/>
      <c r="C70" s="266"/>
      <c r="D70" s="265"/>
      <c r="E70" s="266"/>
      <c r="F70" s="279"/>
      <c r="G70" s="280"/>
      <c r="H70" s="232"/>
      <c r="I70" s="227"/>
      <c r="J70" s="227"/>
      <c r="K70" s="227"/>
    </row>
    <row r="71" spans="1:60">
      <c r="A71" s="241"/>
      <c r="B71" s="236"/>
      <c r="C71" s="266"/>
      <c r="D71" s="265"/>
      <c r="E71" s="266"/>
      <c r="F71" s="279"/>
      <c r="G71" s="280"/>
      <c r="H71" s="232"/>
      <c r="I71" s="227"/>
      <c r="J71" s="227"/>
      <c r="K71" s="227"/>
    </row>
    <row r="72" spans="1:60">
      <c r="A72" s="241"/>
      <c r="B72" s="236"/>
      <c r="C72" s="266"/>
      <c r="D72" s="265"/>
      <c r="E72" s="266"/>
      <c r="F72" s="279"/>
      <c r="G72" s="280"/>
      <c r="H72" s="232"/>
      <c r="I72" s="227"/>
      <c r="J72" s="227"/>
      <c r="K72" s="227"/>
    </row>
    <row r="73" spans="1:60">
      <c r="A73" s="241"/>
      <c r="B73" s="236"/>
      <c r="C73" s="266"/>
      <c r="D73" s="265"/>
      <c r="E73" s="266"/>
      <c r="F73" s="279"/>
      <c r="G73" s="280"/>
      <c r="H73" s="232"/>
      <c r="I73" s="227"/>
      <c r="J73" s="227"/>
      <c r="K73" s="227"/>
    </row>
    <row r="74" spans="1:60">
      <c r="A74" s="241"/>
      <c r="B74" s="236"/>
      <c r="C74" s="266"/>
      <c r="D74" s="265"/>
      <c r="E74" s="266"/>
      <c r="F74" s="279"/>
      <c r="G74" s="280"/>
      <c r="H74" s="232"/>
      <c r="I74" s="227"/>
      <c r="J74" s="227"/>
      <c r="K74" s="227"/>
    </row>
    <row r="75" spans="1:60" s="121" customFormat="1">
      <c r="A75" s="241"/>
      <c r="B75" s="236"/>
      <c r="C75" s="266"/>
      <c r="D75" s="265"/>
      <c r="E75" s="266"/>
      <c r="F75" s="279"/>
      <c r="G75" s="280"/>
      <c r="H75" s="232"/>
      <c r="I75" s="227"/>
      <c r="J75" s="227"/>
      <c r="K75" s="227"/>
      <c r="L75" s="198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  <c r="X75" s="199"/>
      <c r="Y75" s="199"/>
      <c r="Z75" s="199"/>
      <c r="AA75" s="199"/>
      <c r="AB75" s="199"/>
      <c r="AC75" s="199"/>
      <c r="AD75" s="199"/>
      <c r="AE75" s="199"/>
      <c r="AF75" s="199"/>
      <c r="AG75" s="199"/>
      <c r="AH75" s="199"/>
      <c r="AI75" s="199"/>
      <c r="AJ75" s="199"/>
      <c r="AK75" s="199"/>
      <c r="AL75" s="199"/>
      <c r="AM75" s="199"/>
      <c r="AN75" s="199"/>
      <c r="AO75" s="199"/>
      <c r="AP75" s="199"/>
      <c r="AQ75" s="199"/>
      <c r="AR75" s="199"/>
      <c r="AS75" s="199"/>
      <c r="AT75" s="199"/>
      <c r="AU75" s="199"/>
      <c r="AV75" s="199"/>
      <c r="AW75" s="199"/>
      <c r="AX75" s="199"/>
      <c r="AY75" s="199"/>
      <c r="AZ75" s="199"/>
      <c r="BA75" s="199"/>
      <c r="BB75" s="199"/>
      <c r="BC75" s="199"/>
      <c r="BD75" s="199"/>
      <c r="BE75" s="199"/>
      <c r="BF75" s="199"/>
      <c r="BG75" s="199"/>
      <c r="BH75" s="199"/>
    </row>
    <row r="76" spans="1:60">
      <c r="A76" s="241"/>
      <c r="B76" s="236"/>
      <c r="C76" s="266"/>
      <c r="D76" s="265"/>
      <c r="E76" s="266"/>
      <c r="F76" s="279"/>
      <c r="G76" s="280"/>
      <c r="H76" s="232"/>
      <c r="I76" s="227"/>
      <c r="J76" s="227"/>
      <c r="K76" s="227"/>
    </row>
    <row r="77" spans="1:60">
      <c r="A77" s="241"/>
      <c r="B77" s="236"/>
      <c r="C77" s="266"/>
      <c r="D77" s="265"/>
      <c r="E77" s="266"/>
      <c r="F77" s="279"/>
      <c r="G77" s="280"/>
      <c r="H77" s="232"/>
      <c r="I77" s="227"/>
      <c r="J77" s="227"/>
      <c r="K77" s="227"/>
    </row>
    <row r="78" spans="1:60" s="121" customFormat="1">
      <c r="A78" s="241"/>
      <c r="B78" s="236"/>
      <c r="C78" s="266"/>
      <c r="D78" s="265"/>
      <c r="E78" s="266"/>
      <c r="F78" s="279"/>
      <c r="G78" s="280"/>
      <c r="H78" s="232"/>
      <c r="I78" s="227"/>
      <c r="J78" s="227"/>
      <c r="K78" s="227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  <c r="AM78" s="199"/>
      <c r="AN78" s="199"/>
      <c r="AO78" s="199"/>
      <c r="AP78" s="199"/>
      <c r="AQ78" s="199"/>
      <c r="AR78" s="199"/>
      <c r="AS78" s="199"/>
      <c r="AT78" s="199"/>
      <c r="AU78" s="199"/>
      <c r="AV78" s="199"/>
      <c r="AW78" s="199"/>
      <c r="AX78" s="199"/>
      <c r="AY78" s="199"/>
      <c r="AZ78" s="199"/>
      <c r="BA78" s="199"/>
      <c r="BB78" s="199"/>
      <c r="BC78" s="199"/>
      <c r="BD78" s="199"/>
      <c r="BE78" s="199"/>
      <c r="BF78" s="199"/>
      <c r="BG78" s="199"/>
      <c r="BH78" s="199"/>
    </row>
    <row r="79" spans="1:60">
      <c r="A79" s="241"/>
      <c r="B79" s="236"/>
      <c r="C79" s="266"/>
      <c r="D79" s="265"/>
      <c r="E79" s="266"/>
      <c r="F79" s="279"/>
      <c r="G79" s="280"/>
      <c r="H79" s="232"/>
      <c r="I79" s="227"/>
      <c r="J79" s="227"/>
      <c r="K79" s="227"/>
    </row>
    <row r="80" spans="1:60">
      <c r="A80" s="241"/>
      <c r="B80" s="236"/>
      <c r="C80" s="266"/>
      <c r="D80" s="265"/>
      <c r="E80" s="266"/>
      <c r="F80" s="279"/>
      <c r="G80" s="280"/>
      <c r="H80" s="232"/>
      <c r="I80" s="227"/>
      <c r="J80" s="227"/>
      <c r="K80" s="227"/>
    </row>
    <row r="81" spans="1:60" ht="15" customHeight="1">
      <c r="A81" s="241"/>
      <c r="B81" s="236"/>
      <c r="C81" s="266"/>
      <c r="D81" s="265"/>
      <c r="E81" s="266"/>
      <c r="F81" s="279"/>
      <c r="G81" s="280"/>
      <c r="H81" s="232"/>
      <c r="I81" s="227"/>
      <c r="J81" s="227"/>
      <c r="K81" s="227"/>
    </row>
    <row r="82" spans="1:60" ht="15" customHeight="1">
      <c r="A82" s="241"/>
      <c r="B82" s="236"/>
      <c r="C82" s="266"/>
      <c r="D82" s="265"/>
      <c r="E82" s="266"/>
      <c r="F82" s="279"/>
      <c r="G82" s="280"/>
      <c r="H82" s="232"/>
      <c r="I82" s="227"/>
      <c r="J82" s="227"/>
      <c r="K82" s="227"/>
    </row>
    <row r="83" spans="1:60" ht="15" customHeight="1">
      <c r="A83" s="241"/>
      <c r="B83" s="236"/>
      <c r="C83" s="266"/>
      <c r="D83" s="265"/>
      <c r="E83" s="266"/>
      <c r="F83" s="279"/>
      <c r="G83" s="280"/>
      <c r="H83" s="232"/>
      <c r="I83" s="227"/>
      <c r="J83" s="227"/>
      <c r="K83" s="227"/>
    </row>
    <row r="84" spans="1:60" s="124" customFormat="1" ht="15" customHeight="1">
      <c r="A84" s="241"/>
      <c r="B84" s="236"/>
      <c r="C84" s="266"/>
      <c r="D84" s="265"/>
      <c r="E84" s="266"/>
      <c r="F84" s="279"/>
      <c r="G84" s="280"/>
      <c r="H84" s="232"/>
      <c r="I84" s="227"/>
      <c r="J84" s="227"/>
      <c r="K84" s="227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98"/>
      <c r="Z84" s="198"/>
      <c r="AA84" s="198"/>
      <c r="AB84" s="198"/>
      <c r="AC84" s="198"/>
      <c r="AD84" s="198"/>
      <c r="AE84" s="198"/>
      <c r="AF84" s="198"/>
      <c r="AG84" s="198"/>
      <c r="AH84" s="198"/>
      <c r="AI84" s="198"/>
      <c r="AJ84" s="198"/>
      <c r="AK84" s="198"/>
      <c r="AL84" s="198"/>
      <c r="AM84" s="198"/>
      <c r="AN84" s="198"/>
      <c r="AO84" s="198"/>
      <c r="AP84" s="198"/>
      <c r="AQ84" s="198"/>
      <c r="AR84" s="198"/>
      <c r="AS84" s="198"/>
      <c r="AT84" s="198"/>
      <c r="AU84" s="198"/>
      <c r="AV84" s="198"/>
      <c r="AW84" s="198"/>
      <c r="AX84" s="198"/>
      <c r="AY84" s="198"/>
      <c r="AZ84" s="198"/>
      <c r="BA84" s="198"/>
      <c r="BB84" s="198"/>
      <c r="BC84" s="198"/>
      <c r="BD84" s="198"/>
      <c r="BE84" s="198"/>
      <c r="BF84" s="198"/>
      <c r="BG84" s="198"/>
      <c r="BH84" s="198"/>
    </row>
    <row r="85" spans="1:60" ht="15" customHeight="1">
      <c r="A85" s="241"/>
      <c r="B85" s="236"/>
      <c r="C85" s="266"/>
      <c r="D85" s="265"/>
      <c r="E85" s="266"/>
      <c r="F85" s="279"/>
      <c r="G85" s="280"/>
      <c r="H85" s="232"/>
      <c r="I85" s="94"/>
      <c r="J85" s="94"/>
      <c r="K85" s="94"/>
      <c r="L85" s="199"/>
    </row>
    <row r="86" spans="1:60" ht="15" customHeight="1">
      <c r="A86" s="241"/>
      <c r="B86" s="182"/>
      <c r="C86" s="266"/>
      <c r="D86" s="265"/>
      <c r="E86" s="266"/>
      <c r="F86" s="279"/>
      <c r="G86" s="280"/>
      <c r="H86" s="232"/>
      <c r="I86" s="267"/>
      <c r="J86" s="267"/>
      <c r="K86" s="267"/>
      <c r="L86" s="200"/>
    </row>
    <row r="87" spans="1:60" ht="15" customHeight="1">
      <c r="A87" s="241"/>
      <c r="B87" s="236"/>
      <c r="C87" s="266"/>
      <c r="D87" s="265"/>
      <c r="E87" s="266"/>
      <c r="F87" s="279"/>
      <c r="G87" s="362"/>
      <c r="H87" s="237"/>
      <c r="I87" s="94"/>
      <c r="J87" s="94"/>
      <c r="K87" s="94"/>
      <c r="L87" s="199"/>
    </row>
    <row r="88" spans="1:60" ht="15" customHeight="1">
      <c r="A88" s="151"/>
      <c r="B88" s="82"/>
      <c r="C88" s="105"/>
      <c r="D88" s="265"/>
      <c r="E88" s="105"/>
      <c r="F88" s="140"/>
      <c r="G88" s="122"/>
      <c r="H88" s="141"/>
      <c r="I88" s="94"/>
      <c r="J88" s="94"/>
      <c r="K88" s="94"/>
      <c r="L88" s="199"/>
    </row>
    <row r="89" spans="1:60" ht="15" customHeight="1">
      <c r="A89" s="151"/>
      <c r="B89" s="82"/>
      <c r="C89" s="105"/>
      <c r="D89" s="154"/>
      <c r="E89" s="105"/>
      <c r="F89" s="140"/>
      <c r="G89" s="109"/>
      <c r="H89" s="120"/>
      <c r="I89" s="94"/>
      <c r="J89" s="94"/>
      <c r="K89" s="94"/>
    </row>
    <row r="90" spans="1:60" ht="15" customHeight="1">
      <c r="A90" s="363"/>
      <c r="B90" s="240"/>
      <c r="C90" s="345"/>
      <c r="D90" s="345"/>
      <c r="E90" s="345"/>
      <c r="F90" s="243"/>
      <c r="G90" s="364"/>
      <c r="H90" s="245"/>
      <c r="I90" s="94"/>
      <c r="J90" s="94"/>
      <c r="K90" s="94"/>
      <c r="L90" s="199"/>
    </row>
    <row r="91" spans="1:60" ht="15" customHeight="1">
      <c r="A91" s="151"/>
      <c r="B91" s="365"/>
      <c r="C91" s="361"/>
      <c r="D91" s="361"/>
      <c r="E91" s="105"/>
      <c r="F91" s="243"/>
      <c r="G91" s="194"/>
      <c r="H91" s="120"/>
      <c r="I91" s="94"/>
      <c r="J91" s="94"/>
      <c r="K91" s="94"/>
      <c r="L91" s="220"/>
    </row>
    <row r="92" spans="1:60" ht="15" customHeight="1">
      <c r="A92" s="366"/>
      <c r="B92" s="367"/>
      <c r="C92" s="368"/>
      <c r="D92" s="265"/>
      <c r="E92" s="105"/>
      <c r="F92" s="346"/>
      <c r="G92" s="153"/>
      <c r="H92" s="113"/>
      <c r="I92" s="94"/>
      <c r="J92" s="94"/>
      <c r="K92" s="94"/>
      <c r="L92" s="199"/>
    </row>
    <row r="93" spans="1:60" ht="15" customHeight="1">
      <c r="A93" s="125"/>
      <c r="B93" s="365"/>
      <c r="C93" s="361"/>
      <c r="D93" s="105"/>
      <c r="E93" s="105"/>
      <c r="F93" s="243"/>
      <c r="G93" s="194"/>
      <c r="H93" s="120"/>
      <c r="I93" s="94"/>
      <c r="J93" s="94"/>
      <c r="K93" s="94"/>
    </row>
    <row r="94" spans="1:60" ht="15" customHeight="1">
      <c r="A94" s="125"/>
      <c r="B94" s="365"/>
      <c r="C94" s="361"/>
      <c r="D94" s="154"/>
      <c r="E94" s="105"/>
      <c r="F94" s="243"/>
      <c r="G94" s="194"/>
      <c r="H94" s="120"/>
      <c r="I94" s="94"/>
      <c r="J94" s="94"/>
      <c r="K94" s="94"/>
    </row>
    <row r="95" spans="1:60" ht="15" customHeight="1">
      <c r="A95" s="366"/>
      <c r="B95" s="367"/>
      <c r="C95" s="368"/>
      <c r="D95" s="368"/>
      <c r="E95" s="105"/>
      <c r="F95" s="346"/>
      <c r="G95" s="153"/>
      <c r="H95" s="113"/>
      <c r="I95" s="94"/>
      <c r="J95" s="94"/>
      <c r="K95" s="94"/>
    </row>
    <row r="96" spans="1:60" ht="15" customHeight="1">
      <c r="A96" s="366"/>
      <c r="B96" s="82"/>
      <c r="C96" s="366"/>
      <c r="D96" s="266"/>
      <c r="E96" s="105"/>
      <c r="F96" s="140"/>
      <c r="G96" s="153"/>
      <c r="H96" s="113"/>
      <c r="I96" s="94"/>
      <c r="J96" s="94"/>
      <c r="K96" s="94"/>
    </row>
    <row r="97" spans="1:12" ht="15" customHeight="1">
      <c r="A97" s="366"/>
      <c r="B97" s="367"/>
      <c r="C97" s="368"/>
      <c r="D97" s="266"/>
      <c r="E97" s="105"/>
      <c r="F97" s="346"/>
      <c r="G97" s="153"/>
      <c r="H97" s="113"/>
      <c r="I97" s="94"/>
      <c r="J97" s="94"/>
      <c r="K97" s="94"/>
    </row>
    <row r="98" spans="1:12" ht="15" customHeight="1">
      <c r="A98" s="59"/>
      <c r="B98" s="367"/>
      <c r="C98" s="368"/>
      <c r="D98" s="368"/>
      <c r="E98" s="105"/>
      <c r="F98" s="346"/>
      <c r="G98" s="153"/>
      <c r="H98" s="113"/>
      <c r="I98" s="94"/>
      <c r="J98" s="94"/>
      <c r="K98" s="94"/>
    </row>
    <row r="99" spans="1:12" ht="15" customHeight="1">
      <c r="A99" s="59"/>
      <c r="B99" s="367"/>
      <c r="C99" s="368"/>
      <c r="D99" s="368"/>
      <c r="E99" s="105"/>
      <c r="F99" s="346"/>
      <c r="G99" s="153"/>
      <c r="H99" s="113"/>
      <c r="I99" s="94"/>
      <c r="J99" s="94"/>
      <c r="K99" s="94"/>
    </row>
    <row r="100" spans="1:12" ht="15" customHeight="1">
      <c r="A100" s="366"/>
      <c r="B100" s="82"/>
      <c r="C100" s="366"/>
      <c r="D100" s="152"/>
      <c r="E100" s="105"/>
      <c r="F100" s="140"/>
      <c r="G100" s="153"/>
      <c r="H100" s="113"/>
      <c r="I100" s="94"/>
      <c r="J100" s="94"/>
      <c r="K100" s="94"/>
    </row>
    <row r="101" spans="1:12" ht="15" customHeight="1">
      <c r="A101" s="366"/>
      <c r="B101" s="82"/>
      <c r="C101" s="366"/>
      <c r="D101" s="105"/>
      <c r="E101" s="105"/>
      <c r="F101" s="140"/>
      <c r="G101" s="153"/>
      <c r="H101" s="113"/>
      <c r="I101" s="94"/>
      <c r="J101" s="94"/>
      <c r="K101" s="94"/>
    </row>
    <row r="102" spans="1:12" ht="15" customHeight="1">
      <c r="A102" s="366"/>
      <c r="B102" s="82"/>
      <c r="C102" s="366"/>
      <c r="D102" s="105"/>
      <c r="E102" s="105"/>
      <c r="F102" s="140"/>
      <c r="G102" s="153"/>
      <c r="H102" s="113"/>
      <c r="I102" s="94"/>
      <c r="J102" s="94"/>
      <c r="K102" s="94"/>
    </row>
    <row r="103" spans="1:12" ht="15" customHeight="1">
      <c r="A103" s="366"/>
      <c r="B103" s="367"/>
      <c r="C103" s="368"/>
      <c r="D103" s="368"/>
      <c r="E103" s="105"/>
      <c r="F103" s="346"/>
      <c r="G103" s="153"/>
      <c r="H103" s="113"/>
      <c r="I103" s="94"/>
      <c r="J103" s="94"/>
      <c r="K103" s="94"/>
    </row>
    <row r="104" spans="1:12" ht="14.25" customHeight="1">
      <c r="A104" s="59"/>
      <c r="B104" s="367"/>
      <c r="C104" s="368"/>
      <c r="D104" s="154"/>
      <c r="E104" s="105"/>
      <c r="F104" s="346"/>
      <c r="G104" s="153"/>
      <c r="H104" s="113"/>
      <c r="I104" s="94"/>
      <c r="J104" s="94"/>
      <c r="K104" s="94"/>
    </row>
    <row r="105" spans="1:12" ht="15" customHeight="1">
      <c r="A105" s="59"/>
      <c r="B105" s="367"/>
      <c r="C105" s="368"/>
      <c r="D105" s="368"/>
      <c r="E105" s="105"/>
      <c r="F105" s="346"/>
      <c r="G105" s="153"/>
      <c r="H105" s="113"/>
      <c r="I105" s="94"/>
      <c r="J105" s="94"/>
      <c r="K105" s="94"/>
    </row>
    <row r="106" spans="1:12" ht="15" customHeight="1">
      <c r="A106" s="366"/>
      <c r="B106" s="367"/>
      <c r="C106" s="368"/>
      <c r="D106" s="154"/>
      <c r="E106" s="105"/>
      <c r="F106" s="346"/>
      <c r="G106" s="153"/>
      <c r="H106" s="113"/>
      <c r="I106" s="94"/>
      <c r="J106" s="94"/>
      <c r="K106" s="94"/>
      <c r="L106" s="199"/>
    </row>
    <row r="107" spans="1:12" ht="15" customHeight="1">
      <c r="A107" s="366"/>
      <c r="B107" s="82"/>
      <c r="C107" s="366"/>
      <c r="D107" s="105"/>
      <c r="E107" s="105"/>
      <c r="F107" s="140"/>
      <c r="G107" s="153"/>
      <c r="H107" s="113"/>
      <c r="I107" s="94"/>
      <c r="J107" s="94"/>
      <c r="K107" s="94"/>
    </row>
    <row r="108" spans="1:12" ht="15" customHeight="1">
      <c r="A108" s="366"/>
      <c r="B108" s="82"/>
      <c r="C108" s="366"/>
      <c r="D108" s="105"/>
      <c r="E108" s="105"/>
      <c r="F108" s="140"/>
      <c r="G108" s="153"/>
      <c r="H108" s="113"/>
      <c r="I108" s="94"/>
      <c r="J108" s="94"/>
      <c r="K108" s="94"/>
    </row>
    <row r="109" spans="1:12" ht="15" customHeight="1">
      <c r="A109" s="366"/>
      <c r="B109" s="82"/>
      <c r="C109" s="366"/>
      <c r="D109" s="105"/>
      <c r="E109" s="105"/>
      <c r="F109" s="140"/>
      <c r="G109" s="153"/>
      <c r="H109" s="113"/>
      <c r="I109" s="94"/>
      <c r="J109" s="94"/>
      <c r="K109" s="94"/>
    </row>
    <row r="110" spans="1:12" ht="15" customHeight="1">
      <c r="A110" s="366"/>
      <c r="B110" s="82"/>
      <c r="C110" s="366"/>
      <c r="D110" s="105"/>
      <c r="E110" s="105"/>
      <c r="F110" s="140"/>
      <c r="G110" s="153"/>
      <c r="H110" s="113"/>
      <c r="I110" s="94"/>
      <c r="J110" s="94"/>
      <c r="K110" s="94"/>
    </row>
    <row r="111" spans="1:12" ht="15" customHeight="1">
      <c r="A111" s="366"/>
      <c r="B111" s="82"/>
      <c r="C111" s="366"/>
      <c r="D111" s="105"/>
      <c r="E111" s="105"/>
      <c r="F111" s="140"/>
      <c r="G111" s="153"/>
      <c r="H111" s="113"/>
      <c r="I111" s="94"/>
      <c r="J111" s="94"/>
      <c r="K111" s="94"/>
    </row>
    <row r="112" spans="1:12" ht="15" customHeight="1">
      <c r="A112" s="366"/>
      <c r="B112" s="82"/>
      <c r="C112" s="366"/>
      <c r="D112" s="105"/>
      <c r="E112" s="105"/>
      <c r="F112" s="140"/>
      <c r="G112" s="153"/>
      <c r="H112" s="113"/>
      <c r="I112" s="94"/>
      <c r="J112" s="94"/>
      <c r="K112" s="94"/>
    </row>
    <row r="113" spans="1:12" ht="15" customHeight="1">
      <c r="A113" s="366"/>
      <c r="B113" s="82"/>
      <c r="C113" s="366"/>
      <c r="D113" s="105"/>
      <c r="E113" s="105"/>
      <c r="F113" s="140"/>
      <c r="G113" s="153"/>
      <c r="H113" s="113"/>
      <c r="I113" s="94"/>
      <c r="J113" s="94"/>
      <c r="K113" s="94"/>
    </row>
    <row r="114" spans="1:12" ht="15" customHeight="1">
      <c r="A114" s="366"/>
      <c r="B114" s="82"/>
      <c r="C114" s="366"/>
      <c r="D114" s="105"/>
      <c r="E114" s="105"/>
      <c r="F114" s="140"/>
      <c r="G114" s="153"/>
      <c r="H114" s="113"/>
      <c r="I114" s="94"/>
      <c r="J114" s="94"/>
      <c r="K114" s="94"/>
      <c r="L114" s="199"/>
    </row>
    <row r="115" spans="1:12" ht="16.5" customHeight="1">
      <c r="A115" s="59"/>
      <c r="B115" s="367"/>
      <c r="C115" s="368"/>
      <c r="D115" s="368"/>
      <c r="E115" s="105"/>
      <c r="F115" s="346"/>
      <c r="G115" s="153"/>
      <c r="H115" s="113"/>
      <c r="I115" s="94"/>
      <c r="J115" s="94"/>
      <c r="K115" s="94"/>
    </row>
    <row r="116" spans="1:12" ht="16.5" customHeight="1">
      <c r="A116" s="59"/>
      <c r="B116" s="367"/>
      <c r="C116" s="368"/>
      <c r="D116" s="368"/>
      <c r="E116" s="105"/>
      <c r="F116" s="346"/>
      <c r="G116" s="153"/>
      <c r="H116" s="113"/>
      <c r="I116" s="94"/>
      <c r="J116" s="94"/>
      <c r="K116" s="94"/>
    </row>
    <row r="117" spans="1:12" ht="16.5" customHeight="1">
      <c r="A117" s="267"/>
      <c r="B117" s="236"/>
      <c r="C117" s="369"/>
      <c r="D117" s="266"/>
      <c r="E117" s="266"/>
      <c r="F117" s="279"/>
      <c r="G117" s="360"/>
      <c r="H117" s="279"/>
      <c r="I117" s="94"/>
      <c r="J117" s="94"/>
      <c r="K117" s="94"/>
    </row>
    <row r="118" spans="1:12" ht="16.5" customHeight="1">
      <c r="A118" s="267"/>
      <c r="B118" s="236"/>
      <c r="C118" s="370"/>
      <c r="D118" s="265"/>
      <c r="E118" s="266"/>
      <c r="F118" s="279"/>
      <c r="G118" s="360"/>
      <c r="H118" s="279"/>
      <c r="I118" s="94"/>
      <c r="J118" s="94"/>
      <c r="K118" s="94"/>
      <c r="L118" s="199"/>
    </row>
    <row r="119" spans="1:12" ht="16.5" customHeight="1">
      <c r="A119" s="267"/>
      <c r="B119" s="236"/>
      <c r="C119" s="370"/>
      <c r="D119" s="265"/>
      <c r="E119" s="266"/>
      <c r="F119" s="147"/>
      <c r="G119" s="360"/>
      <c r="H119" s="147"/>
      <c r="I119" s="94"/>
      <c r="J119" s="94"/>
      <c r="K119" s="94"/>
      <c r="L119" s="199"/>
    </row>
    <row r="120" spans="1:12" ht="16.5" customHeight="1">
      <c r="A120" s="267"/>
      <c r="B120" s="236"/>
      <c r="C120" s="369"/>
      <c r="D120" s="265"/>
      <c r="E120" s="266"/>
      <c r="F120" s="279"/>
      <c r="G120" s="360"/>
      <c r="H120" s="279"/>
      <c r="I120" s="94"/>
      <c r="J120" s="94"/>
      <c r="K120" s="94"/>
    </row>
    <row r="121" spans="1:12" ht="15" customHeight="1">
      <c r="A121" s="267"/>
      <c r="B121" s="236"/>
      <c r="C121" s="369"/>
      <c r="D121" s="265"/>
      <c r="E121" s="266"/>
      <c r="F121" s="279"/>
      <c r="G121" s="360"/>
      <c r="H121" s="279"/>
      <c r="I121" s="94"/>
      <c r="J121" s="94"/>
      <c r="K121" s="94"/>
      <c r="L121" s="199"/>
    </row>
    <row r="122" spans="1:12" ht="15" customHeight="1">
      <c r="A122" s="267"/>
      <c r="B122" s="236"/>
      <c r="C122" s="369"/>
      <c r="D122" s="265"/>
      <c r="E122" s="266"/>
      <c r="F122" s="279"/>
      <c r="G122" s="360"/>
      <c r="H122" s="279"/>
      <c r="I122" s="94"/>
      <c r="J122" s="94"/>
      <c r="K122" s="94"/>
    </row>
    <row r="123" spans="1:12" ht="15" customHeight="1">
      <c r="A123" s="267"/>
      <c r="B123" s="236"/>
      <c r="C123" s="369"/>
      <c r="D123" s="265"/>
      <c r="E123" s="266"/>
      <c r="F123" s="279"/>
      <c r="G123" s="360"/>
      <c r="H123" s="279"/>
      <c r="I123" s="94"/>
      <c r="J123" s="94"/>
      <c r="K123" s="94"/>
    </row>
    <row r="124" spans="1:12" ht="15" customHeight="1">
      <c r="A124" s="267"/>
      <c r="B124" s="236"/>
      <c r="C124" s="369"/>
      <c r="D124" s="265"/>
      <c r="E124" s="266"/>
      <c r="F124" s="279"/>
      <c r="G124" s="360"/>
      <c r="H124" s="279"/>
      <c r="I124" s="94"/>
      <c r="J124" s="94"/>
      <c r="K124" s="94"/>
    </row>
    <row r="125" spans="1:12" ht="15" customHeight="1">
      <c r="A125" s="267"/>
      <c r="B125" s="236"/>
      <c r="C125" s="369"/>
      <c r="D125" s="266"/>
      <c r="E125" s="266"/>
      <c r="F125" s="279"/>
      <c r="G125" s="360"/>
      <c r="H125" s="279"/>
      <c r="I125" s="94"/>
      <c r="J125" s="94"/>
      <c r="K125" s="94"/>
    </row>
    <row r="126" spans="1:12" ht="15" customHeight="1">
      <c r="A126" s="59"/>
      <c r="B126" s="82"/>
      <c r="C126" s="105"/>
      <c r="D126" s="152"/>
      <c r="E126" s="105"/>
      <c r="F126" s="140"/>
      <c r="G126" s="153"/>
      <c r="H126" s="113"/>
      <c r="I126" s="151"/>
      <c r="J126" s="151"/>
      <c r="K126" s="151"/>
    </row>
    <row r="127" spans="1:12" ht="15" customHeight="1">
      <c r="A127" s="59"/>
      <c r="B127" s="82"/>
      <c r="C127" s="105"/>
      <c r="D127" s="152"/>
      <c r="E127" s="105"/>
      <c r="F127" s="140"/>
      <c r="G127" s="153"/>
      <c r="H127" s="113"/>
      <c r="I127" s="151"/>
      <c r="J127" s="151"/>
      <c r="K127" s="151"/>
    </row>
    <row r="128" spans="1:12" ht="15" customHeight="1">
      <c r="A128" s="59"/>
      <c r="B128" s="82"/>
      <c r="C128" s="105"/>
      <c r="D128" s="152"/>
      <c r="E128" s="105"/>
      <c r="F128" s="140"/>
      <c r="G128" s="153"/>
      <c r="H128" s="113"/>
      <c r="I128" s="151"/>
      <c r="J128" s="151"/>
      <c r="K128" s="151"/>
    </row>
    <row r="129" spans="1:12" ht="15" customHeight="1">
      <c r="A129" s="59"/>
      <c r="B129" s="82"/>
      <c r="C129" s="105"/>
      <c r="D129" s="152"/>
      <c r="E129" s="105"/>
      <c r="F129" s="140"/>
      <c r="G129" s="153"/>
      <c r="H129" s="113"/>
      <c r="I129" s="151"/>
      <c r="J129" s="151"/>
      <c r="K129" s="151"/>
    </row>
    <row r="130" spans="1:12" ht="15" customHeight="1">
      <c r="A130" s="371"/>
      <c r="B130" s="236"/>
      <c r="C130" s="371"/>
      <c r="D130" s="152"/>
      <c r="E130" s="266"/>
      <c r="F130" s="279"/>
      <c r="G130" s="362"/>
      <c r="H130" s="372"/>
      <c r="I130" s="94"/>
      <c r="J130" s="94"/>
      <c r="K130" s="94"/>
    </row>
    <row r="131" spans="1:12" ht="15" customHeight="1">
      <c r="A131" s="241"/>
      <c r="B131" s="236"/>
      <c r="C131" s="266"/>
      <c r="D131" s="265"/>
      <c r="E131" s="266"/>
      <c r="F131" s="279"/>
      <c r="G131" s="280"/>
      <c r="H131" s="232"/>
      <c r="I131" s="94"/>
      <c r="J131" s="227"/>
      <c r="K131" s="94"/>
      <c r="L131" s="199"/>
    </row>
    <row r="132" spans="1:12" ht="15" customHeight="1">
      <c r="A132" s="241"/>
      <c r="B132" s="236"/>
      <c r="C132" s="266"/>
      <c r="D132" s="265"/>
      <c r="E132" s="266"/>
      <c r="F132" s="279"/>
      <c r="G132" s="280"/>
      <c r="H132" s="232"/>
      <c r="I132" s="94"/>
      <c r="J132" s="227"/>
      <c r="K132" s="94"/>
    </row>
    <row r="133" spans="1:12" ht="15" customHeight="1">
      <c r="A133" s="241"/>
      <c r="B133" s="236"/>
      <c r="C133" s="266"/>
      <c r="D133" s="265"/>
      <c r="E133" s="266"/>
      <c r="F133" s="279"/>
      <c r="G133" s="280"/>
      <c r="H133" s="232"/>
      <c r="I133" s="94"/>
      <c r="J133" s="227"/>
      <c r="K133" s="94"/>
      <c r="L133" s="199"/>
    </row>
    <row r="134" spans="1:12" ht="15" customHeight="1">
      <c r="A134" s="241"/>
      <c r="B134" s="236"/>
      <c r="C134" s="266"/>
      <c r="D134" s="265"/>
      <c r="E134" s="266"/>
      <c r="F134" s="279"/>
      <c r="G134" s="280"/>
      <c r="H134" s="232"/>
      <c r="I134" s="94"/>
      <c r="J134" s="227"/>
      <c r="K134" s="94"/>
    </row>
    <row r="135" spans="1:12" ht="15" customHeight="1">
      <c r="A135" s="241"/>
      <c r="B135" s="236"/>
      <c r="C135" s="266"/>
      <c r="D135" s="265"/>
      <c r="E135" s="266"/>
      <c r="F135" s="279"/>
      <c r="G135" s="280"/>
      <c r="H135" s="232"/>
      <c r="I135" s="94"/>
      <c r="J135" s="227"/>
      <c r="K135" s="94"/>
      <c r="L135" s="199"/>
    </row>
    <row r="136" spans="1:12" ht="15" customHeight="1">
      <c r="A136" s="241"/>
      <c r="B136" s="236"/>
      <c r="C136" s="266"/>
      <c r="D136" s="265"/>
      <c r="E136" s="266"/>
      <c r="F136" s="279"/>
      <c r="G136" s="280"/>
      <c r="H136" s="232"/>
      <c r="I136" s="94"/>
      <c r="J136" s="227"/>
      <c r="K136" s="94"/>
    </row>
    <row r="137" spans="1:12" ht="15" customHeight="1">
      <c r="A137" s="241"/>
      <c r="B137" s="236"/>
      <c r="C137" s="266"/>
      <c r="D137" s="265"/>
      <c r="E137" s="266"/>
      <c r="F137" s="279"/>
      <c r="G137" s="280"/>
      <c r="H137" s="232"/>
      <c r="I137" s="94"/>
      <c r="J137" s="227"/>
      <c r="K137" s="94"/>
    </row>
    <row r="138" spans="1:12" ht="15" customHeight="1">
      <c r="A138" s="241"/>
      <c r="B138" s="236"/>
      <c r="C138" s="266"/>
      <c r="D138" s="265"/>
      <c r="E138" s="266"/>
      <c r="F138" s="279"/>
      <c r="G138" s="280"/>
      <c r="H138" s="232"/>
      <c r="I138" s="94"/>
      <c r="J138" s="227"/>
      <c r="K138" s="94"/>
    </row>
    <row r="139" spans="1:12" ht="15" customHeight="1">
      <c r="A139" s="241"/>
      <c r="B139" s="236"/>
      <c r="C139" s="266"/>
      <c r="D139" s="265"/>
      <c r="E139" s="266"/>
      <c r="F139" s="279"/>
      <c r="G139" s="280"/>
      <c r="H139" s="232"/>
      <c r="I139" s="94"/>
      <c r="J139" s="227"/>
      <c r="K139" s="94"/>
    </row>
    <row r="140" spans="1:12" ht="15" customHeight="1">
      <c r="A140" s="241"/>
      <c r="B140" s="236"/>
      <c r="C140" s="266"/>
      <c r="D140" s="265"/>
      <c r="E140" s="266"/>
      <c r="F140" s="279"/>
      <c r="G140" s="280"/>
      <c r="H140" s="232"/>
      <c r="I140" s="94"/>
      <c r="J140" s="227"/>
      <c r="K140" s="94"/>
    </row>
    <row r="141" spans="1:12" ht="15" customHeight="1">
      <c r="A141" s="241"/>
      <c r="B141" s="236"/>
      <c r="C141" s="266"/>
      <c r="D141" s="265"/>
      <c r="E141" s="266"/>
      <c r="F141" s="279"/>
      <c r="G141" s="280"/>
      <c r="H141" s="232"/>
      <c r="I141" s="94"/>
      <c r="J141" s="227"/>
      <c r="K141" s="94"/>
    </row>
    <row r="142" spans="1:12" ht="15" customHeight="1">
      <c r="A142" s="241"/>
      <c r="B142" s="236"/>
      <c r="C142" s="266"/>
      <c r="D142" s="265"/>
      <c r="E142" s="266"/>
      <c r="F142" s="279"/>
      <c r="G142" s="280"/>
      <c r="H142" s="232"/>
      <c r="I142" s="94"/>
      <c r="J142" s="227"/>
      <c r="K142" s="94"/>
    </row>
    <row r="143" spans="1:12" ht="15" customHeight="1">
      <c r="A143" s="241"/>
      <c r="B143" s="236"/>
      <c r="C143" s="266"/>
      <c r="D143" s="265"/>
      <c r="E143" s="266"/>
      <c r="F143" s="279"/>
      <c r="G143" s="280"/>
      <c r="H143" s="232"/>
      <c r="I143" s="94"/>
      <c r="J143" s="227"/>
      <c r="K143" s="94"/>
    </row>
    <row r="144" spans="1:12" ht="15" customHeight="1">
      <c r="A144" s="241"/>
      <c r="B144" s="236"/>
      <c r="C144" s="266"/>
      <c r="D144" s="265"/>
      <c r="E144" s="266"/>
      <c r="F144" s="279"/>
      <c r="G144" s="280"/>
      <c r="H144" s="232"/>
      <c r="I144" s="94"/>
      <c r="J144" s="227"/>
      <c r="K144" s="94"/>
    </row>
    <row r="145" spans="1:12" ht="15" customHeight="1">
      <c r="A145" s="241"/>
      <c r="B145" s="236"/>
      <c r="C145" s="266"/>
      <c r="D145" s="265"/>
      <c r="E145" s="266"/>
      <c r="F145" s="279"/>
      <c r="G145" s="280"/>
      <c r="H145" s="232"/>
      <c r="I145" s="94"/>
      <c r="J145" s="227"/>
      <c r="K145" s="94"/>
      <c r="L145" s="199"/>
    </row>
    <row r="146" spans="1:12" ht="15" customHeight="1">
      <c r="A146" s="241"/>
      <c r="B146" s="236"/>
      <c r="C146" s="266"/>
      <c r="D146" s="265"/>
      <c r="E146" s="266"/>
      <c r="F146" s="279"/>
      <c r="G146" s="280"/>
      <c r="H146" s="232"/>
      <c r="I146" s="94"/>
      <c r="J146" s="227"/>
      <c r="K146" s="94"/>
      <c r="L146" s="199"/>
    </row>
    <row r="147" spans="1:12" ht="15" customHeight="1">
      <c r="A147" s="241"/>
      <c r="B147" s="236"/>
      <c r="C147" s="266"/>
      <c r="D147" s="265"/>
      <c r="E147" s="266"/>
      <c r="F147" s="279"/>
      <c r="G147" s="280"/>
      <c r="H147" s="232"/>
      <c r="I147" s="94"/>
      <c r="J147" s="227"/>
      <c r="K147" s="94"/>
      <c r="L147" s="199"/>
    </row>
    <row r="148" spans="1:12" ht="15" customHeight="1">
      <c r="A148" s="241"/>
      <c r="B148" s="236"/>
      <c r="C148" s="266"/>
      <c r="D148" s="265"/>
      <c r="E148" s="266"/>
      <c r="F148" s="279"/>
      <c r="G148" s="280"/>
      <c r="H148" s="232"/>
      <c r="I148" s="94"/>
      <c r="J148" s="227"/>
      <c r="K148" s="94"/>
      <c r="L148" s="199"/>
    </row>
    <row r="149" spans="1:12" ht="15" customHeight="1">
      <c r="A149" s="241"/>
      <c r="B149" s="236"/>
      <c r="C149" s="266"/>
      <c r="D149" s="265"/>
      <c r="E149" s="266"/>
      <c r="F149" s="279"/>
      <c r="G149" s="280"/>
      <c r="H149" s="232"/>
      <c r="I149" s="94"/>
      <c r="J149" s="227"/>
      <c r="K149" s="94"/>
      <c r="L149" s="199"/>
    </row>
    <row r="150" spans="1:12" ht="15" customHeight="1">
      <c r="A150" s="241"/>
      <c r="B150" s="236"/>
      <c r="C150" s="266"/>
      <c r="D150" s="265"/>
      <c r="E150" s="266"/>
      <c r="F150" s="279"/>
      <c r="G150" s="280"/>
      <c r="H150" s="232"/>
      <c r="I150" s="94"/>
      <c r="J150" s="227"/>
      <c r="K150" s="94"/>
      <c r="L150" s="199"/>
    </row>
    <row r="151" spans="1:12" ht="15" customHeight="1">
      <c r="A151" s="241"/>
      <c r="B151" s="236"/>
      <c r="C151" s="266"/>
      <c r="D151" s="265"/>
      <c r="E151" s="266"/>
      <c r="F151" s="279"/>
      <c r="G151" s="280"/>
      <c r="H151" s="232"/>
      <c r="I151" s="94"/>
      <c r="J151" s="227"/>
      <c r="K151" s="94"/>
      <c r="L151" s="199"/>
    </row>
    <row r="152" spans="1:12" ht="15" customHeight="1">
      <c r="A152" s="241"/>
      <c r="B152" s="236"/>
      <c r="C152" s="266"/>
      <c r="D152" s="265"/>
      <c r="E152" s="266"/>
      <c r="F152" s="279"/>
      <c r="G152" s="280"/>
      <c r="H152" s="232"/>
      <c r="I152" s="94"/>
      <c r="J152" s="227"/>
      <c r="K152" s="94"/>
      <c r="L152" s="199"/>
    </row>
    <row r="153" spans="1:12" ht="15" customHeight="1">
      <c r="A153" s="241"/>
      <c r="B153" s="236"/>
      <c r="C153" s="266"/>
      <c r="D153" s="265"/>
      <c r="E153" s="266"/>
      <c r="F153" s="279"/>
      <c r="G153" s="280"/>
      <c r="H153" s="232"/>
      <c r="I153" s="94"/>
      <c r="J153" s="227"/>
      <c r="K153" s="94"/>
      <c r="L153" s="199"/>
    </row>
    <row r="154" spans="1:12" ht="15" customHeight="1">
      <c r="A154" s="241"/>
      <c r="B154" s="236"/>
      <c r="C154" s="266"/>
      <c r="D154" s="265"/>
      <c r="E154" s="266"/>
      <c r="F154" s="279"/>
      <c r="G154" s="280"/>
      <c r="H154" s="232"/>
      <c r="I154" s="94"/>
      <c r="J154" s="227"/>
      <c r="K154" s="94"/>
      <c r="L154" s="199"/>
    </row>
    <row r="155" spans="1:12" ht="15" customHeight="1">
      <c r="A155" s="241"/>
      <c r="B155" s="236"/>
      <c r="C155" s="266"/>
      <c r="D155" s="265"/>
      <c r="E155" s="266"/>
      <c r="F155" s="279"/>
      <c r="G155" s="280"/>
      <c r="H155" s="232"/>
      <c r="I155" s="94"/>
      <c r="J155" s="227"/>
      <c r="K155" s="94"/>
      <c r="L155" s="199"/>
    </row>
    <row r="156" spans="1:12" ht="15" customHeight="1">
      <c r="A156" s="241"/>
      <c r="B156" s="236"/>
      <c r="C156" s="266"/>
      <c r="D156" s="265"/>
      <c r="E156" s="266"/>
      <c r="F156" s="279"/>
      <c r="G156" s="280"/>
      <c r="H156" s="232"/>
      <c r="I156" s="94"/>
      <c r="J156" s="227"/>
      <c r="K156" s="94"/>
      <c r="L156" s="199"/>
    </row>
    <row r="157" spans="1:12" ht="15" customHeight="1">
      <c r="A157" s="241"/>
      <c r="B157" s="236"/>
      <c r="C157" s="266"/>
      <c r="D157" s="265"/>
      <c r="E157" s="266"/>
      <c r="F157" s="279"/>
      <c r="G157" s="280"/>
      <c r="H157" s="232"/>
      <c r="I157" s="94"/>
      <c r="J157" s="227"/>
      <c r="K157" s="94"/>
      <c r="L157" s="199"/>
    </row>
    <row r="158" spans="1:12" ht="15" customHeight="1">
      <c r="A158" s="241"/>
      <c r="B158" s="236"/>
      <c r="C158" s="266"/>
      <c r="D158" s="265"/>
      <c r="E158" s="266"/>
      <c r="F158" s="279"/>
      <c r="G158" s="280"/>
      <c r="H158" s="232"/>
      <c r="I158" s="94"/>
      <c r="J158" s="227"/>
      <c r="K158" s="94"/>
      <c r="L158" s="199"/>
    </row>
    <row r="159" spans="1:12" ht="15" customHeight="1">
      <c r="A159" s="241"/>
      <c r="B159" s="236"/>
      <c r="C159" s="266"/>
      <c r="D159" s="265"/>
      <c r="E159" s="266"/>
      <c r="F159" s="279"/>
      <c r="G159" s="280"/>
      <c r="H159" s="232"/>
      <c r="I159" s="94"/>
      <c r="J159" s="227"/>
      <c r="K159" s="94"/>
    </row>
    <row r="160" spans="1:12">
      <c r="A160" s="241"/>
      <c r="B160" s="236"/>
      <c r="C160" s="266"/>
      <c r="D160" s="265"/>
      <c r="E160" s="266"/>
      <c r="F160" s="279"/>
      <c r="G160" s="280"/>
      <c r="H160" s="232"/>
      <c r="I160" s="94"/>
      <c r="J160" s="227"/>
      <c r="K160" s="94"/>
    </row>
    <row r="161" spans="1:60">
      <c r="A161" s="241"/>
      <c r="B161" s="236"/>
      <c r="C161" s="266"/>
      <c r="D161" s="265"/>
      <c r="E161" s="266"/>
      <c r="F161" s="279"/>
      <c r="G161" s="280"/>
      <c r="H161" s="232"/>
      <c r="I161" s="94"/>
      <c r="J161" s="227"/>
      <c r="K161" s="94"/>
    </row>
    <row r="162" spans="1:60" s="121" customFormat="1">
      <c r="A162" s="241"/>
      <c r="B162" s="236"/>
      <c r="C162" s="266"/>
      <c r="D162" s="265"/>
      <c r="E162" s="266"/>
      <c r="F162" s="279"/>
      <c r="G162" s="280"/>
      <c r="H162" s="232"/>
      <c r="I162" s="94"/>
      <c r="J162" s="227"/>
      <c r="K162" s="94"/>
      <c r="L162" s="198"/>
      <c r="M162" s="199"/>
      <c r="N162" s="199"/>
      <c r="O162" s="199"/>
      <c r="P162" s="199"/>
      <c r="Q162" s="199"/>
      <c r="R162" s="199"/>
      <c r="S162" s="199"/>
      <c r="T162" s="199"/>
      <c r="U162" s="199"/>
      <c r="V162" s="199"/>
      <c r="W162" s="199"/>
      <c r="X162" s="199"/>
      <c r="Y162" s="199"/>
      <c r="Z162" s="199"/>
      <c r="AA162" s="199"/>
      <c r="AB162" s="199"/>
      <c r="AC162" s="199"/>
      <c r="AD162" s="199"/>
      <c r="AE162" s="199"/>
      <c r="AF162" s="199"/>
      <c r="AG162" s="199"/>
      <c r="AH162" s="199"/>
      <c r="AI162" s="199"/>
      <c r="AJ162" s="199"/>
      <c r="AK162" s="199"/>
      <c r="AL162" s="199"/>
      <c r="AM162" s="199"/>
      <c r="AN162" s="199"/>
      <c r="AO162" s="199"/>
      <c r="AP162" s="199"/>
      <c r="AQ162" s="199"/>
      <c r="AR162" s="199"/>
      <c r="AS162" s="199"/>
      <c r="AT162" s="199"/>
      <c r="AU162" s="199"/>
      <c r="AV162" s="199"/>
      <c r="AW162" s="199"/>
      <c r="AX162" s="199"/>
      <c r="AY162" s="199"/>
      <c r="AZ162" s="199"/>
      <c r="BA162" s="199"/>
      <c r="BB162" s="199"/>
      <c r="BC162" s="199"/>
      <c r="BD162" s="199"/>
      <c r="BE162" s="199"/>
      <c r="BF162" s="199"/>
      <c r="BG162" s="199"/>
      <c r="BH162" s="199"/>
    </row>
    <row r="163" spans="1:60" s="121" customFormat="1">
      <c r="A163" s="241"/>
      <c r="B163" s="236"/>
      <c r="C163" s="266"/>
      <c r="D163" s="265"/>
      <c r="E163" s="266"/>
      <c r="F163" s="279"/>
      <c r="G163" s="280"/>
      <c r="H163" s="232"/>
      <c r="I163" s="94"/>
      <c r="J163" s="227"/>
      <c r="K163" s="94"/>
      <c r="L163" s="198"/>
      <c r="M163" s="199"/>
      <c r="N163" s="199"/>
      <c r="O163" s="199"/>
      <c r="P163" s="199"/>
      <c r="Q163" s="199"/>
      <c r="R163" s="199"/>
      <c r="S163" s="199"/>
      <c r="T163" s="199"/>
      <c r="U163" s="199"/>
      <c r="V163" s="199"/>
      <c r="W163" s="199"/>
      <c r="X163" s="199"/>
      <c r="Y163" s="199"/>
      <c r="Z163" s="199"/>
      <c r="AA163" s="199"/>
      <c r="AB163" s="199"/>
      <c r="AC163" s="199"/>
      <c r="AD163" s="199"/>
      <c r="AE163" s="199"/>
      <c r="AF163" s="199"/>
      <c r="AG163" s="199"/>
      <c r="AH163" s="199"/>
      <c r="AI163" s="199"/>
      <c r="AJ163" s="199"/>
      <c r="AK163" s="199"/>
      <c r="AL163" s="199"/>
      <c r="AM163" s="199"/>
      <c r="AN163" s="199"/>
      <c r="AO163" s="199"/>
      <c r="AP163" s="199"/>
      <c r="AQ163" s="199"/>
      <c r="AR163" s="199"/>
      <c r="AS163" s="199"/>
      <c r="AT163" s="199"/>
      <c r="AU163" s="199"/>
      <c r="AV163" s="199"/>
      <c r="AW163" s="199"/>
      <c r="AX163" s="199"/>
      <c r="AY163" s="199"/>
      <c r="AZ163" s="199"/>
      <c r="BA163" s="199"/>
      <c r="BB163" s="199"/>
      <c r="BC163" s="199"/>
      <c r="BD163" s="199"/>
      <c r="BE163" s="199"/>
      <c r="BF163" s="199"/>
      <c r="BG163" s="199"/>
      <c r="BH163" s="199"/>
    </row>
    <row r="164" spans="1:60">
      <c r="A164" s="241"/>
      <c r="B164" s="236"/>
      <c r="C164" s="266"/>
      <c r="D164" s="265"/>
      <c r="E164" s="266"/>
      <c r="F164" s="279"/>
      <c r="G164" s="280"/>
      <c r="H164" s="232"/>
      <c r="I164" s="94"/>
      <c r="J164" s="227"/>
      <c r="K164" s="94"/>
    </row>
    <row r="165" spans="1:60">
      <c r="A165" s="241"/>
      <c r="B165" s="236"/>
      <c r="C165" s="266"/>
      <c r="D165" s="265"/>
      <c r="E165" s="266"/>
      <c r="F165" s="279"/>
      <c r="G165" s="280"/>
      <c r="H165" s="232"/>
      <c r="I165" s="94"/>
      <c r="J165" s="227"/>
      <c r="K165" s="94"/>
    </row>
    <row r="166" spans="1:60">
      <c r="A166" s="241"/>
      <c r="B166" s="236"/>
      <c r="C166" s="266"/>
      <c r="D166" s="265"/>
      <c r="E166" s="266"/>
      <c r="F166" s="279"/>
      <c r="G166" s="280"/>
      <c r="H166" s="232"/>
      <c r="I166" s="94"/>
      <c r="J166" s="227"/>
      <c r="K166" s="94"/>
    </row>
    <row r="167" spans="1:60">
      <c r="A167" s="241"/>
      <c r="B167" s="236"/>
      <c r="C167" s="266"/>
      <c r="D167" s="265"/>
      <c r="E167" s="266"/>
      <c r="F167" s="279"/>
      <c r="G167" s="280"/>
      <c r="H167" s="232"/>
      <c r="I167" s="94"/>
      <c r="J167" s="227"/>
      <c r="K167" s="94"/>
    </row>
    <row r="168" spans="1:60">
      <c r="A168" s="241"/>
      <c r="B168" s="236"/>
      <c r="C168" s="266"/>
      <c r="D168" s="265"/>
      <c r="E168" s="266"/>
      <c r="F168" s="279"/>
      <c r="G168" s="280"/>
      <c r="H168" s="232"/>
      <c r="I168" s="94"/>
      <c r="J168" s="227"/>
      <c r="K168" s="94"/>
    </row>
    <row r="169" spans="1:60">
      <c r="A169" s="241"/>
      <c r="B169" s="236"/>
      <c r="C169" s="266"/>
      <c r="D169" s="265"/>
      <c r="E169" s="266"/>
      <c r="F169" s="279"/>
      <c r="G169" s="280"/>
      <c r="H169" s="232"/>
      <c r="I169" s="94"/>
      <c r="J169" s="227"/>
      <c r="K169" s="94"/>
    </row>
    <row r="170" spans="1:60">
      <c r="A170" s="241"/>
      <c r="B170" s="236"/>
      <c r="C170" s="266"/>
      <c r="D170" s="265"/>
      <c r="E170" s="266"/>
      <c r="F170" s="279"/>
      <c r="G170" s="280"/>
      <c r="H170" s="232"/>
      <c r="I170" s="94"/>
      <c r="J170" s="227"/>
      <c r="K170" s="94"/>
    </row>
    <row r="171" spans="1:60">
      <c r="A171" s="241"/>
      <c r="B171" s="236"/>
      <c r="C171" s="266"/>
      <c r="D171" s="265"/>
      <c r="E171" s="266"/>
      <c r="F171" s="279"/>
      <c r="G171" s="280"/>
      <c r="H171" s="232"/>
      <c r="I171" s="94"/>
      <c r="J171" s="227"/>
      <c r="K171" s="94"/>
    </row>
    <row r="172" spans="1:60">
      <c r="A172" s="241"/>
      <c r="B172" s="236"/>
      <c r="C172" s="266"/>
      <c r="D172" s="265"/>
      <c r="E172" s="266"/>
      <c r="F172" s="279"/>
      <c r="G172" s="280"/>
      <c r="H172" s="232"/>
      <c r="I172" s="94"/>
      <c r="J172" s="227"/>
      <c r="K172" s="94"/>
    </row>
    <row r="173" spans="1:60">
      <c r="A173" s="241"/>
      <c r="B173" s="236"/>
      <c r="C173" s="266"/>
      <c r="D173" s="265"/>
      <c r="E173" s="266"/>
      <c r="F173" s="279"/>
      <c r="G173" s="280"/>
      <c r="H173" s="232"/>
      <c r="I173" s="94"/>
      <c r="J173" s="227"/>
      <c r="K173" s="94"/>
    </row>
    <row r="174" spans="1:60" s="121" customFormat="1">
      <c r="A174" s="241"/>
      <c r="B174" s="236"/>
      <c r="C174" s="266"/>
      <c r="D174" s="154"/>
      <c r="E174" s="266"/>
      <c r="F174" s="279"/>
      <c r="G174" s="280"/>
      <c r="H174" s="232"/>
      <c r="I174" s="94"/>
      <c r="J174" s="227"/>
      <c r="K174" s="94"/>
      <c r="L174" s="198"/>
      <c r="M174" s="199"/>
      <c r="N174" s="199"/>
      <c r="O174" s="199"/>
      <c r="P174" s="199"/>
      <c r="Q174" s="199"/>
      <c r="R174" s="199"/>
      <c r="S174" s="199"/>
      <c r="T174" s="199"/>
      <c r="U174" s="199"/>
      <c r="V174" s="199"/>
      <c r="W174" s="199"/>
      <c r="X174" s="199"/>
      <c r="Y174" s="199"/>
      <c r="Z174" s="199"/>
      <c r="AA174" s="199"/>
      <c r="AB174" s="199"/>
      <c r="AC174" s="199"/>
      <c r="AD174" s="199"/>
      <c r="AE174" s="199"/>
      <c r="AF174" s="199"/>
      <c r="AG174" s="199"/>
      <c r="AH174" s="199"/>
      <c r="AI174" s="199"/>
      <c r="AJ174" s="199"/>
      <c r="AK174" s="199"/>
      <c r="AL174" s="199"/>
      <c r="AM174" s="199"/>
      <c r="AN174" s="199"/>
      <c r="AO174" s="199"/>
      <c r="AP174" s="199"/>
      <c r="AQ174" s="199"/>
      <c r="AR174" s="199"/>
      <c r="AS174" s="199"/>
      <c r="AT174" s="199"/>
      <c r="AU174" s="199"/>
      <c r="AV174" s="199"/>
      <c r="AW174" s="199"/>
      <c r="AX174" s="199"/>
      <c r="AY174" s="199"/>
      <c r="AZ174" s="199"/>
      <c r="BA174" s="199"/>
      <c r="BB174" s="199"/>
      <c r="BC174" s="199"/>
      <c r="BD174" s="199"/>
      <c r="BE174" s="199"/>
      <c r="BF174" s="199"/>
      <c r="BG174" s="199"/>
      <c r="BH174" s="199"/>
    </row>
    <row r="175" spans="1:60">
      <c r="A175" s="241"/>
      <c r="B175" s="236"/>
      <c r="C175" s="266"/>
      <c r="D175" s="154"/>
      <c r="E175" s="266"/>
      <c r="F175" s="279"/>
      <c r="G175" s="280"/>
      <c r="H175" s="232"/>
      <c r="I175" s="94"/>
      <c r="J175" s="227"/>
      <c r="K175" s="94"/>
    </row>
    <row r="176" spans="1:60">
      <c r="A176" s="241"/>
      <c r="B176" s="236"/>
      <c r="C176" s="266"/>
      <c r="D176" s="154"/>
      <c r="E176" s="266"/>
      <c r="F176" s="279"/>
      <c r="G176" s="280"/>
      <c r="H176" s="232"/>
      <c r="I176" s="94"/>
      <c r="J176" s="227"/>
      <c r="K176" s="94"/>
      <c r="L176" s="199"/>
    </row>
    <row r="177" spans="1:60">
      <c r="A177" s="241"/>
      <c r="B177" s="236"/>
      <c r="C177" s="266"/>
      <c r="D177" s="154"/>
      <c r="E177" s="266"/>
      <c r="F177" s="279"/>
      <c r="G177" s="280"/>
      <c r="H177" s="232"/>
      <c r="I177" s="94"/>
      <c r="J177" s="227"/>
      <c r="K177" s="94"/>
      <c r="L177" s="199"/>
    </row>
    <row r="178" spans="1:60">
      <c r="A178" s="241"/>
      <c r="B178" s="236"/>
      <c r="C178" s="266"/>
      <c r="D178" s="154"/>
      <c r="E178" s="266"/>
      <c r="F178" s="279"/>
      <c r="G178" s="280"/>
      <c r="H178" s="232"/>
      <c r="I178" s="94"/>
      <c r="J178" s="227"/>
      <c r="K178" s="94"/>
    </row>
    <row r="179" spans="1:60">
      <c r="A179" s="241"/>
      <c r="B179" s="236"/>
      <c r="C179" s="266"/>
      <c r="D179" s="154"/>
      <c r="E179" s="266"/>
      <c r="F179" s="279"/>
      <c r="G179" s="280"/>
      <c r="H179" s="232"/>
      <c r="I179" s="94"/>
      <c r="J179" s="227"/>
      <c r="K179" s="94"/>
    </row>
    <row r="180" spans="1:60">
      <c r="A180" s="241"/>
      <c r="B180" s="236"/>
      <c r="C180" s="266"/>
      <c r="D180" s="154"/>
      <c r="E180" s="266"/>
      <c r="F180" s="279"/>
      <c r="G180" s="280"/>
      <c r="H180" s="232"/>
      <c r="I180" s="94"/>
      <c r="J180" s="227"/>
      <c r="K180" s="94"/>
    </row>
    <row r="181" spans="1:60">
      <c r="A181" s="241"/>
      <c r="B181" s="236"/>
      <c r="C181" s="266"/>
      <c r="D181" s="154"/>
      <c r="E181" s="266"/>
      <c r="F181" s="279"/>
      <c r="G181" s="280"/>
      <c r="H181" s="232"/>
      <c r="I181" s="94"/>
      <c r="J181" s="227"/>
      <c r="K181" s="94"/>
    </row>
    <row r="182" spans="1:60">
      <c r="A182" s="241"/>
      <c r="B182" s="236"/>
      <c r="C182" s="266"/>
      <c r="D182" s="154"/>
      <c r="E182" s="266"/>
      <c r="F182" s="279"/>
      <c r="G182" s="280"/>
      <c r="H182" s="232"/>
      <c r="I182" s="94"/>
      <c r="J182" s="227"/>
      <c r="K182" s="94"/>
    </row>
    <row r="183" spans="1:60">
      <c r="A183" s="241"/>
      <c r="B183" s="236"/>
      <c r="C183" s="266"/>
      <c r="D183" s="154"/>
      <c r="E183" s="266"/>
      <c r="F183" s="279"/>
      <c r="G183" s="280"/>
      <c r="H183" s="232"/>
      <c r="I183" s="94"/>
      <c r="J183" s="227"/>
      <c r="K183" s="94"/>
    </row>
    <row r="184" spans="1:60">
      <c r="A184" s="241"/>
      <c r="B184" s="236"/>
      <c r="C184" s="266"/>
      <c r="D184" s="154"/>
      <c r="E184" s="266"/>
      <c r="F184" s="279"/>
      <c r="G184" s="280"/>
      <c r="H184" s="232"/>
      <c r="I184" s="94"/>
      <c r="J184" s="227"/>
      <c r="K184" s="94"/>
    </row>
    <row r="185" spans="1:60" s="121" customFormat="1">
      <c r="A185" s="267"/>
      <c r="B185" s="236"/>
      <c r="C185" s="266"/>
      <c r="D185" s="154"/>
      <c r="E185" s="266"/>
      <c r="F185" s="279"/>
      <c r="G185" s="280"/>
      <c r="H185" s="232"/>
      <c r="I185" s="94"/>
      <c r="J185" s="227"/>
      <c r="K185" s="94"/>
      <c r="L185" s="198"/>
      <c r="M185" s="199"/>
      <c r="N185" s="199"/>
      <c r="O185" s="199"/>
      <c r="P185" s="199"/>
      <c r="Q185" s="199"/>
      <c r="R185" s="199"/>
      <c r="S185" s="199"/>
      <c r="T185" s="199"/>
      <c r="U185" s="199"/>
      <c r="V185" s="199"/>
      <c r="W185" s="199"/>
      <c r="X185" s="199"/>
      <c r="Y185" s="199"/>
      <c r="Z185" s="199"/>
      <c r="AA185" s="199"/>
      <c r="AB185" s="199"/>
      <c r="AC185" s="199"/>
      <c r="AD185" s="199"/>
      <c r="AE185" s="199"/>
      <c r="AF185" s="199"/>
      <c r="AG185" s="199"/>
      <c r="AH185" s="199"/>
      <c r="AI185" s="199"/>
      <c r="AJ185" s="199"/>
      <c r="AK185" s="199"/>
      <c r="AL185" s="199"/>
      <c r="AM185" s="199"/>
      <c r="AN185" s="199"/>
      <c r="AO185" s="199"/>
      <c r="AP185" s="199"/>
      <c r="AQ185" s="199"/>
      <c r="AR185" s="199"/>
      <c r="AS185" s="199"/>
      <c r="AT185" s="199"/>
      <c r="AU185" s="199"/>
      <c r="AV185" s="199"/>
      <c r="AW185" s="199"/>
      <c r="AX185" s="199"/>
      <c r="AY185" s="199"/>
      <c r="AZ185" s="199"/>
      <c r="BA185" s="199"/>
      <c r="BB185" s="199"/>
      <c r="BC185" s="199"/>
      <c r="BD185" s="199"/>
      <c r="BE185" s="199"/>
      <c r="BF185" s="199"/>
      <c r="BG185" s="199"/>
      <c r="BH185" s="199"/>
    </row>
    <row r="186" spans="1:60">
      <c r="A186" s="241"/>
      <c r="B186" s="236"/>
      <c r="C186" s="266"/>
      <c r="D186" s="266"/>
      <c r="E186" s="105"/>
      <c r="F186" s="279"/>
      <c r="G186" s="280"/>
      <c r="H186" s="232"/>
      <c r="I186" s="227"/>
      <c r="J186" s="227"/>
      <c r="K186" s="227"/>
    </row>
    <row r="187" spans="1:60">
      <c r="A187" s="241"/>
      <c r="B187" s="236"/>
      <c r="C187" s="266"/>
      <c r="D187" s="266"/>
      <c r="E187" s="105"/>
      <c r="F187" s="279"/>
      <c r="G187" s="158"/>
      <c r="H187" s="357"/>
      <c r="I187" s="227"/>
      <c r="J187" s="227"/>
      <c r="K187" s="227"/>
    </row>
    <row r="188" spans="1:60">
      <c r="A188" s="241"/>
      <c r="B188" s="236"/>
      <c r="C188" s="266"/>
      <c r="D188" s="266"/>
      <c r="E188" s="105"/>
      <c r="F188" s="279"/>
      <c r="G188" s="280"/>
      <c r="H188" s="232"/>
      <c r="I188" s="227"/>
      <c r="J188" s="227"/>
      <c r="K188" s="227"/>
    </row>
    <row r="189" spans="1:60" ht="15" customHeight="1">
      <c r="A189" s="241"/>
      <c r="B189" s="236"/>
      <c r="C189" s="266"/>
      <c r="D189" s="266"/>
      <c r="E189" s="105"/>
      <c r="F189" s="279"/>
      <c r="G189" s="280"/>
      <c r="H189" s="232"/>
      <c r="I189" s="227"/>
      <c r="J189" s="227"/>
      <c r="K189" s="227"/>
    </row>
    <row r="190" spans="1:60">
      <c r="A190" s="93"/>
      <c r="B190" s="82"/>
      <c r="C190" s="105"/>
      <c r="D190" s="105"/>
      <c r="E190" s="105"/>
      <c r="F190" s="140"/>
      <c r="G190" s="109"/>
      <c r="H190" s="140"/>
      <c r="I190" s="94"/>
      <c r="J190" s="94"/>
      <c r="K190" s="94"/>
      <c r="L190" s="199"/>
    </row>
    <row r="191" spans="1:60">
      <c r="A191" s="93"/>
      <c r="B191" s="359"/>
      <c r="C191" s="93"/>
      <c r="D191" s="368"/>
      <c r="E191" s="105"/>
      <c r="F191" s="140"/>
      <c r="G191" s="109"/>
      <c r="H191" s="140"/>
      <c r="I191" s="94"/>
      <c r="J191" s="94"/>
      <c r="K191" s="94"/>
    </row>
    <row r="192" spans="1:60" ht="14.25" customHeight="1">
      <c r="A192" s="93"/>
      <c r="B192" s="359"/>
      <c r="C192" s="93"/>
      <c r="D192" s="266"/>
      <c r="E192" s="105"/>
      <c r="F192" s="140"/>
      <c r="G192" s="109"/>
      <c r="H192" s="140"/>
      <c r="I192" s="94"/>
      <c r="J192" s="94"/>
      <c r="K192" s="94"/>
    </row>
    <row r="193" spans="1:60">
      <c r="A193" s="93"/>
      <c r="B193" s="182"/>
      <c r="C193" s="93"/>
      <c r="D193" s="105"/>
      <c r="E193" s="105"/>
      <c r="F193" s="140"/>
      <c r="G193" s="109"/>
      <c r="H193" s="140"/>
      <c r="I193" s="94"/>
      <c r="J193" s="94"/>
      <c r="K193" s="94"/>
    </row>
    <row r="194" spans="1:60">
      <c r="A194" s="93"/>
      <c r="B194" s="359"/>
      <c r="C194" s="93"/>
      <c r="D194" s="105"/>
      <c r="E194" s="105"/>
      <c r="F194" s="140"/>
      <c r="G194" s="109"/>
      <c r="H194" s="140"/>
      <c r="I194" s="94"/>
      <c r="J194" s="94"/>
      <c r="K194" s="94"/>
    </row>
    <row r="195" spans="1:60">
      <c r="A195" s="93"/>
      <c r="B195" s="359"/>
      <c r="C195" s="93"/>
      <c r="D195" s="105"/>
      <c r="E195" s="105"/>
      <c r="F195" s="140"/>
      <c r="G195" s="109"/>
      <c r="H195" s="140"/>
      <c r="I195" s="94"/>
      <c r="J195" s="94"/>
      <c r="K195" s="94"/>
    </row>
    <row r="196" spans="1:60" s="126" customFormat="1">
      <c r="A196" s="93"/>
      <c r="B196" s="82"/>
      <c r="C196" s="105"/>
      <c r="D196" s="93"/>
      <c r="E196" s="105"/>
      <c r="F196" s="140"/>
      <c r="G196" s="109"/>
      <c r="H196" s="140"/>
      <c r="I196" s="94"/>
      <c r="J196" s="94"/>
      <c r="K196" s="94"/>
      <c r="L196" s="199"/>
      <c r="M196" s="200"/>
      <c r="N196" s="200"/>
      <c r="O196" s="200"/>
      <c r="P196" s="200"/>
      <c r="Q196" s="200"/>
      <c r="R196" s="200"/>
      <c r="S196" s="200"/>
      <c r="T196" s="200"/>
      <c r="U196" s="200"/>
      <c r="V196" s="200"/>
      <c r="W196" s="200"/>
      <c r="X196" s="200"/>
      <c r="Y196" s="200"/>
      <c r="Z196" s="200"/>
      <c r="AA196" s="200"/>
      <c r="AB196" s="200"/>
      <c r="AC196" s="200"/>
      <c r="AD196" s="200"/>
      <c r="AE196" s="200"/>
      <c r="AF196" s="200"/>
      <c r="AG196" s="200"/>
      <c r="AH196" s="200"/>
      <c r="AI196" s="200"/>
      <c r="AJ196" s="200"/>
      <c r="AK196" s="200"/>
      <c r="AL196" s="200"/>
      <c r="AM196" s="200"/>
      <c r="AN196" s="200"/>
      <c r="AO196" s="200"/>
      <c r="AP196" s="200"/>
      <c r="AQ196" s="200"/>
      <c r="AR196" s="200"/>
      <c r="AS196" s="200"/>
      <c r="AT196" s="200"/>
      <c r="AU196" s="200"/>
      <c r="AV196" s="200"/>
      <c r="AW196" s="200"/>
      <c r="AX196" s="200"/>
      <c r="AY196" s="200"/>
      <c r="AZ196" s="200"/>
      <c r="BA196" s="200"/>
      <c r="BB196" s="200"/>
      <c r="BC196" s="200"/>
      <c r="BD196" s="200"/>
      <c r="BE196" s="200"/>
      <c r="BF196" s="200"/>
      <c r="BG196" s="200"/>
      <c r="BH196" s="200"/>
    </row>
    <row r="197" spans="1:60">
      <c r="A197" s="93"/>
      <c r="B197" s="82"/>
      <c r="C197" s="105"/>
      <c r="D197" s="154"/>
      <c r="E197" s="105"/>
      <c r="F197" s="140"/>
      <c r="G197" s="194"/>
      <c r="H197" s="120"/>
      <c r="I197" s="151"/>
      <c r="J197" s="151"/>
      <c r="K197" s="151"/>
    </row>
    <row r="198" spans="1:60">
      <c r="A198" s="59"/>
      <c r="B198" s="82"/>
      <c r="C198" s="105"/>
      <c r="D198" s="152"/>
      <c r="E198" s="105"/>
      <c r="F198" s="140"/>
      <c r="G198" s="153"/>
      <c r="H198" s="113"/>
      <c r="I198" s="94"/>
      <c r="J198" s="94"/>
      <c r="K198" s="94"/>
    </row>
    <row r="199" spans="1:60">
      <c r="A199" s="59"/>
      <c r="B199" s="82"/>
      <c r="C199" s="105"/>
      <c r="D199" s="152"/>
      <c r="E199" s="105"/>
      <c r="F199" s="140"/>
      <c r="G199" s="153"/>
      <c r="H199" s="113"/>
      <c r="I199" s="94"/>
      <c r="J199" s="94"/>
      <c r="K199" s="94"/>
    </row>
    <row r="200" spans="1:60">
      <c r="A200" s="59"/>
      <c r="B200" s="82"/>
      <c r="C200" s="105"/>
      <c r="D200" s="265"/>
      <c r="E200" s="105"/>
      <c r="F200" s="140"/>
      <c r="G200" s="153"/>
      <c r="H200" s="113"/>
      <c r="I200" s="94"/>
      <c r="J200" s="94"/>
      <c r="K200" s="94"/>
    </row>
    <row r="201" spans="1:60">
      <c r="A201" s="59"/>
      <c r="B201" s="82"/>
      <c r="C201" s="105"/>
      <c r="D201" s="265"/>
      <c r="E201" s="105"/>
      <c r="F201" s="140"/>
      <c r="G201" s="153"/>
      <c r="H201" s="113"/>
      <c r="I201" s="94"/>
      <c r="J201" s="94"/>
      <c r="K201" s="94"/>
    </row>
    <row r="202" spans="1:60" s="121" customFormat="1">
      <c r="A202" s="151"/>
      <c r="B202" s="82"/>
      <c r="C202" s="93"/>
      <c r="D202" s="265"/>
      <c r="E202" s="105"/>
      <c r="F202" s="140"/>
      <c r="G202" s="122"/>
      <c r="H202" s="319"/>
      <c r="I202" s="94"/>
      <c r="J202" s="94"/>
      <c r="K202" s="94"/>
      <c r="L202" s="198"/>
      <c r="M202" s="199"/>
      <c r="N202" s="199"/>
      <c r="O202" s="199"/>
      <c r="P202" s="199"/>
      <c r="Q202" s="199"/>
      <c r="R202" s="199"/>
      <c r="S202" s="199"/>
      <c r="T202" s="199"/>
      <c r="U202" s="199"/>
      <c r="V202" s="199"/>
      <c r="W202" s="199"/>
      <c r="X202" s="199"/>
      <c r="Y202" s="199"/>
      <c r="Z202" s="199"/>
      <c r="AA202" s="199"/>
      <c r="AB202" s="199"/>
      <c r="AC202" s="199"/>
      <c r="AD202" s="199"/>
      <c r="AE202" s="199"/>
      <c r="AF202" s="199"/>
      <c r="AG202" s="199"/>
      <c r="AH202" s="199"/>
      <c r="AI202" s="199"/>
      <c r="AJ202" s="199"/>
      <c r="AK202" s="199"/>
      <c r="AL202" s="199"/>
      <c r="AM202" s="199"/>
      <c r="AN202" s="199"/>
      <c r="AO202" s="199"/>
      <c r="AP202" s="199"/>
      <c r="AQ202" s="199"/>
      <c r="AR202" s="199"/>
      <c r="AS202" s="199"/>
      <c r="AT202" s="199"/>
      <c r="AU202" s="199"/>
      <c r="AV202" s="199"/>
      <c r="AW202" s="199"/>
      <c r="AX202" s="199"/>
      <c r="AY202" s="199"/>
      <c r="AZ202" s="199"/>
      <c r="BA202" s="199"/>
      <c r="BB202" s="199"/>
      <c r="BC202" s="199"/>
      <c r="BD202" s="199"/>
      <c r="BE202" s="199"/>
      <c r="BF202" s="199"/>
      <c r="BG202" s="199"/>
      <c r="BH202" s="199"/>
    </row>
    <row r="203" spans="1:60" s="121" customFormat="1">
      <c r="A203" s="151"/>
      <c r="B203" s="82"/>
      <c r="C203" s="93"/>
      <c r="D203" s="265"/>
      <c r="E203" s="105"/>
      <c r="F203" s="140"/>
      <c r="G203" s="109"/>
      <c r="H203" s="373"/>
      <c r="I203" s="94"/>
      <c r="J203" s="94"/>
      <c r="K203" s="94"/>
      <c r="L203" s="198"/>
      <c r="M203" s="199"/>
      <c r="N203" s="199"/>
      <c r="O203" s="199"/>
      <c r="P203" s="199"/>
      <c r="Q203" s="199"/>
      <c r="R203" s="199"/>
      <c r="S203" s="199"/>
      <c r="T203" s="199"/>
      <c r="U203" s="199"/>
      <c r="V203" s="199"/>
      <c r="W203" s="199"/>
      <c r="X203" s="199"/>
      <c r="Y203" s="199"/>
      <c r="Z203" s="199"/>
      <c r="AA203" s="199"/>
      <c r="AB203" s="199"/>
      <c r="AC203" s="199"/>
      <c r="AD203" s="199"/>
      <c r="AE203" s="199"/>
      <c r="AF203" s="199"/>
      <c r="AG203" s="199"/>
      <c r="AH203" s="199"/>
      <c r="AI203" s="199"/>
      <c r="AJ203" s="199"/>
      <c r="AK203" s="199"/>
      <c r="AL203" s="199"/>
      <c r="AM203" s="199"/>
      <c r="AN203" s="199"/>
      <c r="AO203" s="199"/>
      <c r="AP203" s="199"/>
      <c r="AQ203" s="199"/>
      <c r="AR203" s="199"/>
      <c r="AS203" s="199"/>
      <c r="AT203" s="199"/>
      <c r="AU203" s="199"/>
      <c r="AV203" s="199"/>
      <c r="AW203" s="199"/>
      <c r="AX203" s="199"/>
      <c r="AY203" s="199"/>
      <c r="AZ203" s="199"/>
      <c r="BA203" s="199"/>
      <c r="BB203" s="199"/>
      <c r="BC203" s="199"/>
      <c r="BD203" s="199"/>
      <c r="BE203" s="199"/>
      <c r="BF203" s="199"/>
      <c r="BG203" s="199"/>
      <c r="BH203" s="199"/>
    </row>
    <row r="204" spans="1:60">
      <c r="A204" s="151"/>
      <c r="B204" s="82"/>
      <c r="C204" s="93"/>
      <c r="D204" s="265"/>
      <c r="E204" s="105"/>
      <c r="F204" s="140"/>
      <c r="G204" s="109"/>
      <c r="H204" s="373"/>
      <c r="I204" s="94"/>
      <c r="J204" s="94"/>
      <c r="K204" s="94"/>
    </row>
    <row r="205" spans="1:60">
      <c r="A205" s="151"/>
      <c r="B205" s="82"/>
      <c r="C205" s="93"/>
      <c r="D205" s="265"/>
      <c r="E205" s="105"/>
      <c r="F205" s="140"/>
      <c r="G205" s="109"/>
      <c r="H205" s="373"/>
      <c r="I205" s="94"/>
      <c r="J205" s="94"/>
      <c r="K205" s="94"/>
    </row>
    <row r="206" spans="1:60">
      <c r="A206" s="151"/>
      <c r="B206" s="82"/>
      <c r="C206" s="93"/>
      <c r="D206" s="265"/>
      <c r="E206" s="105"/>
      <c r="F206" s="140"/>
      <c r="G206" s="109"/>
      <c r="H206" s="373"/>
      <c r="I206" s="94"/>
      <c r="J206" s="94"/>
      <c r="K206" s="94"/>
    </row>
    <row r="207" spans="1:60">
      <c r="A207" s="151"/>
      <c r="B207" s="82"/>
      <c r="C207" s="93"/>
      <c r="D207" s="265"/>
      <c r="E207" s="105"/>
      <c r="F207" s="140"/>
      <c r="G207" s="109"/>
      <c r="H207" s="373"/>
      <c r="I207" s="94"/>
      <c r="J207" s="94"/>
      <c r="K207" s="94"/>
    </row>
    <row r="208" spans="1:60">
      <c r="A208" s="151"/>
      <c r="B208" s="82"/>
      <c r="C208" s="93"/>
      <c r="D208" s="265"/>
      <c r="E208" s="105"/>
      <c r="F208" s="140"/>
      <c r="G208" s="109"/>
      <c r="H208" s="373"/>
      <c r="I208" s="94"/>
      <c r="J208" s="94"/>
      <c r="K208" s="94"/>
    </row>
    <row r="209" spans="1:60">
      <c r="A209" s="151"/>
      <c r="B209" s="82"/>
      <c r="C209" s="93"/>
      <c r="D209" s="265"/>
      <c r="E209" s="105"/>
      <c r="F209" s="140"/>
      <c r="G209" s="109"/>
      <c r="H209" s="373"/>
      <c r="I209" s="94"/>
      <c r="J209" s="94"/>
      <c r="K209" s="94"/>
    </row>
    <row r="210" spans="1:60">
      <c r="A210" s="151"/>
      <c r="B210" s="82"/>
      <c r="C210" s="93"/>
      <c r="D210" s="265"/>
      <c r="E210" s="105"/>
      <c r="F210" s="140"/>
      <c r="G210" s="275"/>
      <c r="H210" s="373"/>
      <c r="I210" s="94"/>
      <c r="J210" s="94"/>
      <c r="K210" s="94"/>
    </row>
    <row r="211" spans="1:60">
      <c r="A211" s="151"/>
      <c r="B211" s="82"/>
      <c r="C211" s="93"/>
      <c r="D211" s="265"/>
      <c r="E211" s="105"/>
      <c r="F211" s="140"/>
      <c r="G211" s="109"/>
      <c r="H211" s="373"/>
      <c r="I211" s="94"/>
      <c r="J211" s="94"/>
      <c r="K211" s="94"/>
    </row>
    <row r="212" spans="1:60">
      <c r="A212" s="151"/>
      <c r="B212" s="82"/>
      <c r="C212" s="93"/>
      <c r="D212" s="265"/>
      <c r="E212" s="105"/>
      <c r="F212" s="140"/>
      <c r="G212" s="109"/>
      <c r="H212" s="373"/>
      <c r="I212" s="94"/>
      <c r="J212" s="94"/>
      <c r="K212" s="94"/>
    </row>
    <row r="213" spans="1:60" s="121" customFormat="1">
      <c r="A213" s="151"/>
      <c r="B213" s="82"/>
      <c r="C213" s="93"/>
      <c r="D213" s="265"/>
      <c r="E213" s="105"/>
      <c r="F213" s="140"/>
      <c r="G213" s="109"/>
      <c r="H213" s="373"/>
      <c r="I213" s="94"/>
      <c r="J213" s="94"/>
      <c r="K213" s="94"/>
      <c r="L213" s="198"/>
      <c r="M213" s="199"/>
      <c r="N213" s="199"/>
      <c r="O213" s="199"/>
      <c r="P213" s="199"/>
      <c r="Q213" s="199"/>
      <c r="R213" s="199"/>
      <c r="S213" s="199"/>
      <c r="T213" s="199"/>
      <c r="U213" s="199"/>
      <c r="V213" s="199"/>
      <c r="W213" s="199"/>
      <c r="X213" s="199"/>
      <c r="Y213" s="199"/>
      <c r="Z213" s="199"/>
      <c r="AA213" s="199"/>
      <c r="AB213" s="199"/>
      <c r="AC213" s="199"/>
      <c r="AD213" s="199"/>
      <c r="AE213" s="199"/>
      <c r="AF213" s="199"/>
      <c r="AG213" s="199"/>
      <c r="AH213" s="199"/>
      <c r="AI213" s="199"/>
      <c r="AJ213" s="199"/>
      <c r="AK213" s="199"/>
      <c r="AL213" s="199"/>
      <c r="AM213" s="199"/>
      <c r="AN213" s="199"/>
      <c r="AO213" s="199"/>
      <c r="AP213" s="199"/>
      <c r="AQ213" s="199"/>
      <c r="AR213" s="199"/>
      <c r="AS213" s="199"/>
      <c r="AT213" s="199"/>
      <c r="AU213" s="199"/>
      <c r="AV213" s="199"/>
      <c r="AW213" s="199"/>
      <c r="AX213" s="199"/>
      <c r="AY213" s="199"/>
      <c r="AZ213" s="199"/>
      <c r="BA213" s="199"/>
      <c r="BB213" s="199"/>
      <c r="BC213" s="199"/>
      <c r="BD213" s="199"/>
      <c r="BE213" s="199"/>
      <c r="BF213" s="199"/>
      <c r="BG213" s="199"/>
      <c r="BH213" s="199"/>
    </row>
    <row r="214" spans="1:60" s="121" customFormat="1" ht="15" customHeight="1">
      <c r="A214" s="151"/>
      <c r="B214" s="82"/>
      <c r="C214" s="93"/>
      <c r="D214" s="265"/>
      <c r="E214" s="105"/>
      <c r="F214" s="140"/>
      <c r="G214" s="109"/>
      <c r="H214" s="373"/>
      <c r="I214" s="94"/>
      <c r="J214" s="94"/>
      <c r="K214" s="94"/>
      <c r="L214" s="198"/>
      <c r="M214" s="199"/>
      <c r="N214" s="199"/>
      <c r="O214" s="199"/>
      <c r="P214" s="199"/>
      <c r="Q214" s="199"/>
      <c r="R214" s="199"/>
      <c r="S214" s="199"/>
      <c r="T214" s="199"/>
      <c r="U214" s="199"/>
      <c r="V214" s="199"/>
      <c r="W214" s="199"/>
      <c r="X214" s="199"/>
      <c r="Y214" s="199"/>
      <c r="Z214" s="199"/>
      <c r="AA214" s="199"/>
      <c r="AB214" s="199"/>
      <c r="AC214" s="199"/>
      <c r="AD214" s="199"/>
      <c r="AE214" s="199"/>
      <c r="AF214" s="199"/>
      <c r="AG214" s="199"/>
      <c r="AH214" s="199"/>
      <c r="AI214" s="199"/>
      <c r="AJ214" s="199"/>
      <c r="AK214" s="199"/>
      <c r="AL214" s="199"/>
      <c r="AM214" s="199"/>
      <c r="AN214" s="199"/>
      <c r="AO214" s="199"/>
      <c r="AP214" s="199"/>
      <c r="AQ214" s="199"/>
      <c r="AR214" s="199"/>
      <c r="AS214" s="199"/>
      <c r="AT214" s="199"/>
      <c r="AU214" s="199"/>
      <c r="AV214" s="199"/>
      <c r="AW214" s="199"/>
      <c r="AX214" s="199"/>
      <c r="AY214" s="199"/>
      <c r="AZ214" s="199"/>
      <c r="BA214" s="199"/>
      <c r="BB214" s="199"/>
      <c r="BC214" s="199"/>
      <c r="BD214" s="199"/>
      <c r="BE214" s="199"/>
      <c r="BF214" s="199"/>
      <c r="BG214" s="199"/>
      <c r="BH214" s="199"/>
    </row>
    <row r="215" spans="1:60" s="121" customFormat="1">
      <c r="A215" s="151"/>
      <c r="B215" s="82"/>
      <c r="C215" s="93"/>
      <c r="D215" s="265"/>
      <c r="E215" s="105"/>
      <c r="F215" s="140"/>
      <c r="G215" s="109"/>
      <c r="H215" s="373"/>
      <c r="I215" s="94"/>
      <c r="J215" s="94"/>
      <c r="K215" s="94"/>
      <c r="L215" s="198"/>
      <c r="M215" s="199"/>
      <c r="N215" s="199"/>
      <c r="O215" s="199"/>
      <c r="P215" s="199"/>
      <c r="Q215" s="199"/>
      <c r="R215" s="199"/>
      <c r="S215" s="199"/>
      <c r="T215" s="199"/>
      <c r="U215" s="199"/>
      <c r="V215" s="199"/>
      <c r="W215" s="199"/>
      <c r="X215" s="199"/>
      <c r="Y215" s="199"/>
      <c r="Z215" s="199"/>
      <c r="AA215" s="199"/>
      <c r="AB215" s="199"/>
      <c r="AC215" s="199"/>
      <c r="AD215" s="199"/>
      <c r="AE215" s="199"/>
      <c r="AF215" s="199"/>
      <c r="AG215" s="199"/>
      <c r="AH215" s="199"/>
      <c r="AI215" s="199"/>
      <c r="AJ215" s="199"/>
      <c r="AK215" s="199"/>
      <c r="AL215" s="199"/>
      <c r="AM215" s="199"/>
      <c r="AN215" s="199"/>
      <c r="AO215" s="199"/>
      <c r="AP215" s="199"/>
      <c r="AQ215" s="199"/>
      <c r="AR215" s="199"/>
      <c r="AS215" s="199"/>
      <c r="AT215" s="199"/>
      <c r="AU215" s="199"/>
      <c r="AV215" s="199"/>
      <c r="AW215" s="199"/>
      <c r="AX215" s="199"/>
      <c r="AY215" s="199"/>
      <c r="AZ215" s="199"/>
      <c r="BA215" s="199"/>
      <c r="BB215" s="199"/>
      <c r="BC215" s="199"/>
      <c r="BD215" s="199"/>
      <c r="BE215" s="199"/>
      <c r="BF215" s="199"/>
      <c r="BG215" s="199"/>
      <c r="BH215" s="199"/>
    </row>
    <row r="216" spans="1:60" s="121" customFormat="1">
      <c r="A216" s="151"/>
      <c r="B216" s="82"/>
      <c r="C216" s="93"/>
      <c r="D216" s="105"/>
      <c r="E216" s="105"/>
      <c r="F216" s="140"/>
      <c r="G216" s="109"/>
      <c r="H216" s="373"/>
      <c r="I216" s="94"/>
      <c r="J216" s="94"/>
      <c r="K216" s="94"/>
      <c r="L216" s="198"/>
      <c r="M216" s="199"/>
      <c r="N216" s="199"/>
      <c r="O216" s="199"/>
      <c r="P216" s="199"/>
      <c r="Q216" s="199"/>
      <c r="R216" s="199"/>
      <c r="S216" s="199"/>
      <c r="T216" s="199"/>
      <c r="U216" s="199"/>
      <c r="V216" s="199"/>
      <c r="W216" s="199"/>
      <c r="X216" s="199"/>
      <c r="Y216" s="199"/>
      <c r="Z216" s="199"/>
      <c r="AA216" s="199"/>
      <c r="AB216" s="199"/>
      <c r="AC216" s="199"/>
      <c r="AD216" s="199"/>
      <c r="AE216" s="199"/>
      <c r="AF216" s="199"/>
      <c r="AG216" s="199"/>
      <c r="AH216" s="199"/>
      <c r="AI216" s="199"/>
      <c r="AJ216" s="199"/>
      <c r="AK216" s="199"/>
      <c r="AL216" s="199"/>
      <c r="AM216" s="199"/>
      <c r="AN216" s="199"/>
      <c r="AO216" s="199"/>
      <c r="AP216" s="199"/>
      <c r="AQ216" s="199"/>
      <c r="AR216" s="199"/>
      <c r="AS216" s="199"/>
      <c r="AT216" s="199"/>
      <c r="AU216" s="199"/>
      <c r="AV216" s="199"/>
      <c r="AW216" s="199"/>
      <c r="AX216" s="199"/>
      <c r="AY216" s="199"/>
      <c r="AZ216" s="199"/>
      <c r="BA216" s="199"/>
      <c r="BB216" s="199"/>
      <c r="BC216" s="199"/>
      <c r="BD216" s="199"/>
      <c r="BE216" s="199"/>
      <c r="BF216" s="199"/>
      <c r="BG216" s="199"/>
      <c r="BH216" s="199"/>
    </row>
    <row r="217" spans="1:60" s="121" customFormat="1">
      <c r="A217" s="93"/>
      <c r="B217" s="188"/>
      <c r="C217" s="272"/>
      <c r="D217" s="265"/>
      <c r="E217" s="105"/>
      <c r="F217" s="140"/>
      <c r="G217" s="109"/>
      <c r="H217" s="140"/>
      <c r="I217" s="94"/>
      <c r="J217" s="94"/>
      <c r="K217" s="94"/>
      <c r="L217" s="198"/>
      <c r="M217" s="199"/>
      <c r="N217" s="199"/>
      <c r="O217" s="199"/>
      <c r="P217" s="199"/>
      <c r="Q217" s="199"/>
      <c r="R217" s="199"/>
      <c r="S217" s="199"/>
      <c r="T217" s="199"/>
      <c r="U217" s="199"/>
      <c r="V217" s="199"/>
      <c r="W217" s="199"/>
      <c r="X217" s="199"/>
      <c r="Y217" s="199"/>
      <c r="Z217" s="199"/>
      <c r="AA217" s="199"/>
      <c r="AB217" s="199"/>
      <c r="AC217" s="199"/>
      <c r="AD217" s="199"/>
      <c r="AE217" s="199"/>
      <c r="AF217" s="199"/>
      <c r="AG217" s="199"/>
      <c r="AH217" s="199"/>
      <c r="AI217" s="199"/>
      <c r="AJ217" s="199"/>
      <c r="AK217" s="199"/>
      <c r="AL217" s="199"/>
      <c r="AM217" s="199"/>
      <c r="AN217" s="199"/>
      <c r="AO217" s="199"/>
      <c r="AP217" s="199"/>
      <c r="AQ217" s="199"/>
      <c r="AR217" s="199"/>
      <c r="AS217" s="199"/>
      <c r="AT217" s="199"/>
      <c r="AU217" s="199"/>
      <c r="AV217" s="199"/>
      <c r="AW217" s="199"/>
      <c r="AX217" s="199"/>
      <c r="AY217" s="199"/>
      <c r="AZ217" s="199"/>
      <c r="BA217" s="199"/>
      <c r="BB217" s="199"/>
      <c r="BC217" s="199"/>
      <c r="BD217" s="199"/>
      <c r="BE217" s="199"/>
      <c r="BF217" s="199"/>
      <c r="BG217" s="199"/>
      <c r="BH217" s="199"/>
    </row>
    <row r="218" spans="1:60" s="121" customFormat="1">
      <c r="A218" s="93"/>
      <c r="B218" s="82"/>
      <c r="C218" s="272"/>
      <c r="D218" s="105"/>
      <c r="E218" s="105"/>
      <c r="F218" s="140"/>
      <c r="G218" s="109"/>
      <c r="H218" s="140"/>
      <c r="I218" s="94"/>
      <c r="J218" s="94"/>
      <c r="K218" s="94"/>
      <c r="L218" s="198"/>
      <c r="M218" s="199"/>
      <c r="N218" s="199"/>
      <c r="O218" s="199"/>
      <c r="P218" s="199"/>
      <c r="Q218" s="199"/>
      <c r="R218" s="199"/>
      <c r="S218" s="199"/>
      <c r="T218" s="199"/>
      <c r="U218" s="199"/>
      <c r="V218" s="199"/>
      <c r="W218" s="199"/>
      <c r="X218" s="199"/>
      <c r="Y218" s="199"/>
      <c r="Z218" s="199"/>
      <c r="AA218" s="199"/>
      <c r="AB218" s="199"/>
      <c r="AC218" s="199"/>
      <c r="AD218" s="199"/>
      <c r="AE218" s="199"/>
      <c r="AF218" s="199"/>
      <c r="AG218" s="199"/>
      <c r="AH218" s="199"/>
      <c r="AI218" s="199"/>
      <c r="AJ218" s="199"/>
      <c r="AK218" s="199"/>
      <c r="AL218" s="199"/>
      <c r="AM218" s="199"/>
      <c r="AN218" s="199"/>
      <c r="AO218" s="199"/>
      <c r="AP218" s="199"/>
      <c r="AQ218" s="199"/>
      <c r="AR218" s="199"/>
      <c r="AS218" s="199"/>
      <c r="AT218" s="199"/>
      <c r="AU218" s="199"/>
      <c r="AV218" s="199"/>
      <c r="AW218" s="199"/>
      <c r="AX218" s="199"/>
      <c r="AY218" s="199"/>
      <c r="AZ218" s="199"/>
      <c r="BA218" s="199"/>
      <c r="BB218" s="199"/>
      <c r="BC218" s="199"/>
      <c r="BD218" s="199"/>
      <c r="BE218" s="199"/>
      <c r="BF218" s="199"/>
      <c r="BG218" s="199"/>
      <c r="BH218" s="199"/>
    </row>
    <row r="219" spans="1:60" s="121" customFormat="1">
      <c r="A219" s="93"/>
      <c r="B219" s="188"/>
      <c r="C219" s="93"/>
      <c r="D219" s="266"/>
      <c r="E219" s="105"/>
      <c r="F219" s="140"/>
      <c r="G219" s="109"/>
      <c r="H219" s="140"/>
      <c r="I219" s="94"/>
      <c r="J219" s="94"/>
      <c r="K219" s="94"/>
      <c r="L219" s="198"/>
      <c r="M219" s="199"/>
      <c r="N219" s="199"/>
      <c r="O219" s="199"/>
      <c r="P219" s="199"/>
      <c r="Q219" s="199"/>
      <c r="R219" s="199"/>
      <c r="S219" s="199"/>
      <c r="T219" s="199"/>
      <c r="U219" s="199"/>
      <c r="V219" s="199"/>
      <c r="W219" s="199"/>
      <c r="X219" s="199"/>
      <c r="Y219" s="199"/>
      <c r="Z219" s="199"/>
      <c r="AA219" s="199"/>
      <c r="AB219" s="199"/>
      <c r="AC219" s="199"/>
      <c r="AD219" s="199"/>
      <c r="AE219" s="199"/>
      <c r="AF219" s="199"/>
      <c r="AG219" s="199"/>
      <c r="AH219" s="199"/>
      <c r="AI219" s="199"/>
      <c r="AJ219" s="199"/>
      <c r="AK219" s="199"/>
      <c r="AL219" s="199"/>
      <c r="AM219" s="199"/>
      <c r="AN219" s="199"/>
      <c r="AO219" s="199"/>
      <c r="AP219" s="199"/>
      <c r="AQ219" s="199"/>
      <c r="AR219" s="199"/>
      <c r="AS219" s="199"/>
      <c r="AT219" s="199"/>
      <c r="AU219" s="199"/>
      <c r="AV219" s="199"/>
      <c r="AW219" s="199"/>
      <c r="AX219" s="199"/>
      <c r="AY219" s="199"/>
      <c r="AZ219" s="199"/>
      <c r="BA219" s="199"/>
      <c r="BB219" s="199"/>
      <c r="BC219" s="199"/>
      <c r="BD219" s="199"/>
      <c r="BE219" s="199"/>
      <c r="BF219" s="199"/>
      <c r="BG219" s="199"/>
      <c r="BH219" s="199"/>
    </row>
    <row r="220" spans="1:60" s="121" customFormat="1">
      <c r="A220" s="93"/>
      <c r="B220" s="188"/>
      <c r="C220" s="105"/>
      <c r="D220" s="105"/>
      <c r="E220" s="105"/>
      <c r="F220" s="140"/>
      <c r="G220" s="109"/>
      <c r="H220" s="140"/>
      <c r="I220" s="94"/>
      <c r="J220" s="94"/>
      <c r="K220" s="94"/>
      <c r="L220" s="198"/>
      <c r="M220" s="199"/>
      <c r="N220" s="199"/>
      <c r="O220" s="199"/>
      <c r="P220" s="199"/>
      <c r="Q220" s="199"/>
      <c r="R220" s="199"/>
      <c r="S220" s="199"/>
      <c r="T220" s="199"/>
      <c r="U220" s="199"/>
      <c r="V220" s="199"/>
      <c r="W220" s="199"/>
      <c r="X220" s="199"/>
      <c r="Y220" s="199"/>
      <c r="Z220" s="199"/>
      <c r="AA220" s="199"/>
      <c r="AB220" s="199"/>
      <c r="AC220" s="199"/>
      <c r="AD220" s="199"/>
      <c r="AE220" s="199"/>
      <c r="AF220" s="199"/>
      <c r="AG220" s="199"/>
      <c r="AH220" s="199"/>
      <c r="AI220" s="199"/>
      <c r="AJ220" s="199"/>
      <c r="AK220" s="199"/>
      <c r="AL220" s="199"/>
      <c r="AM220" s="199"/>
      <c r="AN220" s="199"/>
      <c r="AO220" s="199"/>
      <c r="AP220" s="199"/>
      <c r="AQ220" s="199"/>
      <c r="AR220" s="199"/>
      <c r="AS220" s="199"/>
      <c r="AT220" s="199"/>
      <c r="AU220" s="199"/>
      <c r="AV220" s="199"/>
      <c r="AW220" s="199"/>
      <c r="AX220" s="199"/>
      <c r="AY220" s="199"/>
      <c r="AZ220" s="199"/>
      <c r="BA220" s="199"/>
      <c r="BB220" s="199"/>
      <c r="BC220" s="199"/>
      <c r="BD220" s="199"/>
      <c r="BE220" s="199"/>
      <c r="BF220" s="199"/>
      <c r="BG220" s="199"/>
      <c r="BH220" s="199"/>
    </row>
    <row r="221" spans="1:60" s="121" customFormat="1">
      <c r="A221" s="151"/>
      <c r="B221" s="358"/>
      <c r="C221" s="105"/>
      <c r="D221" s="266"/>
      <c r="E221" s="105"/>
      <c r="F221" s="140"/>
      <c r="G221" s="194"/>
      <c r="H221" s="120"/>
      <c r="I221" s="94"/>
      <c r="J221" s="94"/>
      <c r="K221" s="94"/>
      <c r="L221" s="198"/>
      <c r="M221" s="199"/>
      <c r="N221" s="199"/>
      <c r="O221" s="199"/>
      <c r="P221" s="199"/>
      <c r="Q221" s="199"/>
      <c r="R221" s="199"/>
      <c r="S221" s="199"/>
      <c r="T221" s="199"/>
      <c r="U221" s="199"/>
      <c r="V221" s="199"/>
      <c r="W221" s="199"/>
      <c r="X221" s="199"/>
      <c r="Y221" s="199"/>
      <c r="Z221" s="199"/>
      <c r="AA221" s="199"/>
      <c r="AB221" s="199"/>
      <c r="AC221" s="199"/>
      <c r="AD221" s="199"/>
      <c r="AE221" s="199"/>
      <c r="AF221" s="199"/>
      <c r="AG221" s="199"/>
      <c r="AH221" s="199"/>
      <c r="AI221" s="199"/>
      <c r="AJ221" s="199"/>
      <c r="AK221" s="199"/>
      <c r="AL221" s="199"/>
      <c r="AM221" s="199"/>
      <c r="AN221" s="199"/>
      <c r="AO221" s="199"/>
      <c r="AP221" s="199"/>
      <c r="AQ221" s="199"/>
      <c r="AR221" s="199"/>
      <c r="AS221" s="199"/>
      <c r="AT221" s="199"/>
      <c r="AU221" s="199"/>
      <c r="AV221" s="199"/>
      <c r="AW221" s="199"/>
      <c r="AX221" s="199"/>
      <c r="AY221" s="199"/>
      <c r="AZ221" s="199"/>
      <c r="BA221" s="199"/>
      <c r="BB221" s="199"/>
      <c r="BC221" s="199"/>
      <c r="BD221" s="199"/>
      <c r="BE221" s="199"/>
      <c r="BF221" s="199"/>
      <c r="BG221" s="199"/>
      <c r="BH221" s="199"/>
    </row>
    <row r="222" spans="1:60" s="121" customFormat="1">
      <c r="A222" s="151"/>
      <c r="B222" s="359"/>
      <c r="C222" s="105"/>
      <c r="D222" s="154"/>
      <c r="E222" s="105"/>
      <c r="F222" s="140"/>
      <c r="G222" s="109"/>
      <c r="H222" s="120"/>
      <c r="I222" s="94"/>
      <c r="J222" s="94"/>
      <c r="K222" s="94"/>
      <c r="L222" s="198"/>
      <c r="M222" s="199"/>
      <c r="N222" s="199"/>
      <c r="O222" s="199"/>
      <c r="P222" s="199"/>
      <c r="Q222" s="199"/>
      <c r="R222" s="199"/>
      <c r="S222" s="199"/>
      <c r="T222" s="199"/>
      <c r="U222" s="199"/>
      <c r="V222" s="199"/>
      <c r="W222" s="199"/>
      <c r="X222" s="199"/>
      <c r="Y222" s="199"/>
      <c r="Z222" s="199"/>
      <c r="AA222" s="199"/>
      <c r="AB222" s="199"/>
      <c r="AC222" s="199"/>
      <c r="AD222" s="199"/>
      <c r="AE222" s="199"/>
      <c r="AF222" s="199"/>
      <c r="AG222" s="199"/>
      <c r="AH222" s="199"/>
      <c r="AI222" s="199"/>
      <c r="AJ222" s="199"/>
      <c r="AK222" s="199"/>
      <c r="AL222" s="199"/>
      <c r="AM222" s="199"/>
      <c r="AN222" s="199"/>
      <c r="AO222" s="199"/>
      <c r="AP222" s="199"/>
      <c r="AQ222" s="199"/>
      <c r="AR222" s="199"/>
      <c r="AS222" s="199"/>
      <c r="AT222" s="199"/>
      <c r="AU222" s="199"/>
      <c r="AV222" s="199"/>
      <c r="AW222" s="199"/>
      <c r="AX222" s="199"/>
      <c r="AY222" s="199"/>
      <c r="AZ222" s="199"/>
      <c r="BA222" s="199"/>
      <c r="BB222" s="199"/>
      <c r="BC222" s="199"/>
      <c r="BD222" s="199"/>
      <c r="BE222" s="199"/>
      <c r="BF222" s="199"/>
      <c r="BG222" s="199"/>
      <c r="BH222" s="199"/>
    </row>
    <row r="223" spans="1:60" s="121" customFormat="1">
      <c r="A223" s="151"/>
      <c r="B223" s="57"/>
      <c r="C223" s="93"/>
      <c r="D223" s="154"/>
      <c r="E223" s="93"/>
      <c r="F223" s="140"/>
      <c r="G223" s="155"/>
      <c r="H223" s="120"/>
      <c r="I223" s="94"/>
      <c r="J223" s="94"/>
      <c r="K223" s="94"/>
      <c r="L223" s="198"/>
      <c r="M223" s="199"/>
      <c r="N223" s="199"/>
      <c r="O223" s="199"/>
      <c r="P223" s="199"/>
      <c r="Q223" s="199"/>
      <c r="R223" s="199"/>
      <c r="S223" s="199"/>
      <c r="T223" s="199"/>
      <c r="U223" s="199"/>
      <c r="V223" s="199"/>
      <c r="W223" s="199"/>
      <c r="X223" s="199"/>
      <c r="Y223" s="199"/>
      <c r="Z223" s="199"/>
      <c r="AA223" s="199"/>
      <c r="AB223" s="199"/>
      <c r="AC223" s="199"/>
      <c r="AD223" s="199"/>
      <c r="AE223" s="199"/>
      <c r="AF223" s="199"/>
      <c r="AG223" s="199"/>
      <c r="AH223" s="199"/>
      <c r="AI223" s="199"/>
      <c r="AJ223" s="199"/>
      <c r="AK223" s="199"/>
      <c r="AL223" s="199"/>
      <c r="AM223" s="199"/>
      <c r="AN223" s="199"/>
      <c r="AO223" s="199"/>
      <c r="AP223" s="199"/>
      <c r="AQ223" s="199"/>
      <c r="AR223" s="199"/>
      <c r="AS223" s="199"/>
      <c r="AT223" s="199"/>
      <c r="AU223" s="199"/>
      <c r="AV223" s="199"/>
      <c r="AW223" s="199"/>
      <c r="AX223" s="199"/>
      <c r="AY223" s="199"/>
      <c r="AZ223" s="199"/>
      <c r="BA223" s="199"/>
      <c r="BB223" s="199"/>
      <c r="BC223" s="199"/>
      <c r="BD223" s="199"/>
      <c r="BE223" s="199"/>
      <c r="BF223" s="199"/>
      <c r="BG223" s="199"/>
      <c r="BH223" s="199"/>
    </row>
    <row r="224" spans="1:60" s="121" customFormat="1">
      <c r="A224" s="151"/>
      <c r="B224" s="57"/>
      <c r="C224" s="93"/>
      <c r="D224" s="154"/>
      <c r="E224" s="93"/>
      <c r="F224" s="140"/>
      <c r="G224" s="155"/>
      <c r="H224" s="120"/>
      <c r="I224" s="94"/>
      <c r="J224" s="94"/>
      <c r="K224" s="94"/>
      <c r="L224" s="198"/>
      <c r="M224" s="199"/>
      <c r="N224" s="199"/>
      <c r="O224" s="199"/>
      <c r="P224" s="199"/>
      <c r="Q224" s="199"/>
      <c r="R224" s="199"/>
      <c r="S224" s="199"/>
      <c r="T224" s="199"/>
      <c r="U224" s="199"/>
      <c r="V224" s="199"/>
      <c r="W224" s="199"/>
      <c r="X224" s="199"/>
      <c r="Y224" s="199"/>
      <c r="Z224" s="199"/>
      <c r="AA224" s="199"/>
      <c r="AB224" s="199"/>
      <c r="AC224" s="199"/>
      <c r="AD224" s="199"/>
      <c r="AE224" s="199"/>
      <c r="AF224" s="199"/>
      <c r="AG224" s="199"/>
      <c r="AH224" s="199"/>
      <c r="AI224" s="199"/>
      <c r="AJ224" s="199"/>
      <c r="AK224" s="199"/>
      <c r="AL224" s="199"/>
      <c r="AM224" s="199"/>
      <c r="AN224" s="199"/>
      <c r="AO224" s="199"/>
      <c r="AP224" s="199"/>
      <c r="AQ224" s="199"/>
      <c r="AR224" s="199"/>
      <c r="AS224" s="199"/>
      <c r="AT224" s="199"/>
      <c r="AU224" s="199"/>
      <c r="AV224" s="199"/>
      <c r="AW224" s="199"/>
      <c r="AX224" s="199"/>
      <c r="AY224" s="199"/>
      <c r="AZ224" s="199"/>
      <c r="BA224" s="199"/>
      <c r="BB224" s="199"/>
      <c r="BC224" s="199"/>
      <c r="BD224" s="199"/>
      <c r="BE224" s="199"/>
      <c r="BF224" s="199"/>
      <c r="BG224" s="199"/>
      <c r="BH224" s="199"/>
    </row>
    <row r="225" spans="1:60" s="121" customFormat="1" ht="14.25" customHeight="1">
      <c r="A225" s="151"/>
      <c r="B225" s="57"/>
      <c r="C225" s="93"/>
      <c r="D225" s="154"/>
      <c r="E225" s="93"/>
      <c r="F225" s="140"/>
      <c r="G225" s="155"/>
      <c r="H225" s="120"/>
      <c r="I225" s="94"/>
      <c r="J225" s="94"/>
      <c r="K225" s="94"/>
      <c r="L225" s="198"/>
      <c r="M225" s="199"/>
      <c r="N225" s="199"/>
      <c r="O225" s="199"/>
      <c r="P225" s="199"/>
      <c r="Q225" s="199"/>
      <c r="R225" s="199"/>
      <c r="S225" s="199"/>
      <c r="T225" s="199"/>
      <c r="U225" s="199"/>
      <c r="V225" s="199"/>
      <c r="W225" s="199"/>
      <c r="X225" s="199"/>
      <c r="Y225" s="199"/>
      <c r="Z225" s="199"/>
      <c r="AA225" s="199"/>
      <c r="AB225" s="199"/>
      <c r="AC225" s="199"/>
      <c r="AD225" s="199"/>
      <c r="AE225" s="199"/>
      <c r="AF225" s="199"/>
      <c r="AG225" s="199"/>
      <c r="AH225" s="199"/>
      <c r="AI225" s="199"/>
      <c r="AJ225" s="199"/>
      <c r="AK225" s="199"/>
      <c r="AL225" s="199"/>
      <c r="AM225" s="199"/>
      <c r="AN225" s="199"/>
      <c r="AO225" s="199"/>
      <c r="AP225" s="199"/>
      <c r="AQ225" s="199"/>
      <c r="AR225" s="199"/>
      <c r="AS225" s="199"/>
      <c r="AT225" s="199"/>
      <c r="AU225" s="199"/>
      <c r="AV225" s="199"/>
      <c r="AW225" s="199"/>
      <c r="AX225" s="199"/>
      <c r="AY225" s="199"/>
      <c r="AZ225" s="199"/>
      <c r="BA225" s="199"/>
      <c r="BB225" s="199"/>
      <c r="BC225" s="199"/>
      <c r="BD225" s="199"/>
      <c r="BE225" s="199"/>
      <c r="BF225" s="199"/>
      <c r="BG225" s="199"/>
      <c r="BH225" s="199"/>
    </row>
    <row r="226" spans="1:60" s="121" customFormat="1" ht="14.25" customHeight="1">
      <c r="A226" s="151"/>
      <c r="B226" s="57"/>
      <c r="C226" s="93"/>
      <c r="D226" s="154"/>
      <c r="E226" s="93"/>
      <c r="F226" s="140"/>
      <c r="G226" s="155"/>
      <c r="H226" s="120"/>
      <c r="I226" s="94"/>
      <c r="J226" s="94"/>
      <c r="K226" s="94"/>
      <c r="L226" s="198"/>
      <c r="M226" s="199"/>
      <c r="N226" s="199"/>
      <c r="O226" s="199"/>
      <c r="P226" s="199"/>
      <c r="Q226" s="199"/>
      <c r="R226" s="199"/>
      <c r="S226" s="199"/>
      <c r="T226" s="199"/>
      <c r="U226" s="199"/>
      <c r="V226" s="199"/>
      <c r="W226" s="199"/>
      <c r="X226" s="199"/>
      <c r="Y226" s="199"/>
      <c r="Z226" s="199"/>
      <c r="AA226" s="199"/>
      <c r="AB226" s="199"/>
      <c r="AC226" s="199"/>
      <c r="AD226" s="199"/>
      <c r="AE226" s="199"/>
      <c r="AF226" s="199"/>
      <c r="AG226" s="199"/>
      <c r="AH226" s="199"/>
      <c r="AI226" s="199"/>
      <c r="AJ226" s="199"/>
      <c r="AK226" s="199"/>
      <c r="AL226" s="199"/>
      <c r="AM226" s="199"/>
      <c r="AN226" s="199"/>
      <c r="AO226" s="199"/>
      <c r="AP226" s="199"/>
      <c r="AQ226" s="199"/>
      <c r="AR226" s="199"/>
      <c r="AS226" s="199"/>
      <c r="AT226" s="199"/>
      <c r="AU226" s="199"/>
      <c r="AV226" s="199"/>
      <c r="AW226" s="199"/>
      <c r="AX226" s="199"/>
      <c r="AY226" s="199"/>
      <c r="AZ226" s="199"/>
      <c r="BA226" s="199"/>
      <c r="BB226" s="199"/>
      <c r="BC226" s="199"/>
      <c r="BD226" s="199"/>
      <c r="BE226" s="199"/>
      <c r="BF226" s="199"/>
      <c r="BG226" s="199"/>
      <c r="BH226" s="199"/>
    </row>
    <row r="227" spans="1:60" s="121" customFormat="1" ht="14.25" customHeight="1">
      <c r="A227" s="151"/>
      <c r="B227" s="57"/>
      <c r="C227" s="93"/>
      <c r="D227" s="154"/>
      <c r="E227" s="93"/>
      <c r="F227" s="140"/>
      <c r="G227" s="155"/>
      <c r="H227" s="120"/>
      <c r="I227" s="94"/>
      <c r="J227" s="94"/>
      <c r="K227" s="94"/>
      <c r="L227" s="198"/>
      <c r="M227" s="199"/>
      <c r="N227" s="199"/>
      <c r="O227" s="199"/>
      <c r="P227" s="199"/>
      <c r="Q227" s="199"/>
      <c r="R227" s="199"/>
      <c r="S227" s="199"/>
      <c r="T227" s="199"/>
      <c r="U227" s="199"/>
      <c r="V227" s="199"/>
      <c r="W227" s="199"/>
      <c r="X227" s="199"/>
      <c r="Y227" s="199"/>
      <c r="Z227" s="199"/>
      <c r="AA227" s="199"/>
      <c r="AB227" s="199"/>
      <c r="AC227" s="199"/>
      <c r="AD227" s="199"/>
      <c r="AE227" s="199"/>
      <c r="AF227" s="199"/>
      <c r="AG227" s="199"/>
      <c r="AH227" s="199"/>
      <c r="AI227" s="199"/>
      <c r="AJ227" s="199"/>
      <c r="AK227" s="199"/>
      <c r="AL227" s="199"/>
      <c r="AM227" s="199"/>
      <c r="AN227" s="199"/>
      <c r="AO227" s="199"/>
      <c r="AP227" s="199"/>
      <c r="AQ227" s="199"/>
      <c r="AR227" s="199"/>
      <c r="AS227" s="199"/>
      <c r="AT227" s="199"/>
      <c r="AU227" s="199"/>
      <c r="AV227" s="199"/>
      <c r="AW227" s="199"/>
      <c r="AX227" s="199"/>
      <c r="AY227" s="199"/>
      <c r="AZ227" s="199"/>
      <c r="BA227" s="199"/>
      <c r="BB227" s="199"/>
      <c r="BC227" s="199"/>
      <c r="BD227" s="199"/>
      <c r="BE227" s="199"/>
      <c r="BF227" s="199"/>
      <c r="BG227" s="199"/>
      <c r="BH227" s="199"/>
    </row>
    <row r="228" spans="1:60" ht="14.25" customHeight="1">
      <c r="A228" s="151"/>
      <c r="B228" s="57"/>
      <c r="C228" s="93"/>
      <c r="D228" s="154"/>
      <c r="E228" s="93"/>
      <c r="F228" s="140"/>
      <c r="G228" s="155"/>
      <c r="H228" s="120"/>
      <c r="I228" s="94"/>
      <c r="J228" s="94"/>
      <c r="K228" s="94"/>
    </row>
    <row r="229" spans="1:60" s="121" customFormat="1" ht="14.25" customHeight="1">
      <c r="A229" s="151"/>
      <c r="B229" s="82"/>
      <c r="C229" s="105"/>
      <c r="D229" s="368"/>
      <c r="E229" s="105"/>
      <c r="F229" s="140"/>
      <c r="G229" s="194"/>
      <c r="H229" s="120"/>
      <c r="I229" s="94"/>
      <c r="J229" s="94"/>
      <c r="K229" s="94"/>
      <c r="L229" s="198"/>
      <c r="M229" s="199"/>
      <c r="N229" s="199"/>
      <c r="O229" s="199"/>
      <c r="P229" s="199"/>
      <c r="Q229" s="199"/>
      <c r="R229" s="199"/>
      <c r="S229" s="199"/>
      <c r="T229" s="199"/>
      <c r="U229" s="199"/>
      <c r="V229" s="199"/>
      <c r="W229" s="199"/>
      <c r="X229" s="199"/>
      <c r="Y229" s="199"/>
      <c r="Z229" s="199"/>
      <c r="AA229" s="199"/>
      <c r="AB229" s="199"/>
      <c r="AC229" s="199"/>
      <c r="AD229" s="199"/>
      <c r="AE229" s="199"/>
      <c r="AF229" s="199"/>
      <c r="AG229" s="199"/>
      <c r="AH229" s="199"/>
      <c r="AI229" s="199"/>
      <c r="AJ229" s="199"/>
      <c r="AK229" s="199"/>
      <c r="AL229" s="199"/>
      <c r="AM229" s="199"/>
      <c r="AN229" s="199"/>
      <c r="AO229" s="199"/>
      <c r="AP229" s="199"/>
      <c r="AQ229" s="199"/>
      <c r="AR229" s="199"/>
      <c r="AS229" s="199"/>
      <c r="AT229" s="199"/>
      <c r="AU229" s="199"/>
      <c r="AV229" s="199"/>
      <c r="AW229" s="199"/>
      <c r="AX229" s="199"/>
      <c r="AY229" s="199"/>
      <c r="AZ229" s="199"/>
      <c r="BA229" s="199"/>
      <c r="BB229" s="199"/>
      <c r="BC229" s="199"/>
      <c r="BD229" s="199"/>
      <c r="BE229" s="199"/>
      <c r="BF229" s="199"/>
      <c r="BG229" s="199"/>
      <c r="BH229" s="199"/>
    </row>
    <row r="230" spans="1:60" ht="14.25" customHeight="1">
      <c r="A230" s="59"/>
      <c r="B230" s="82"/>
      <c r="C230" s="93"/>
      <c r="D230" s="105"/>
      <c r="E230" s="105"/>
      <c r="F230" s="140"/>
      <c r="G230" s="374"/>
      <c r="H230" s="113"/>
      <c r="I230" s="151"/>
      <c r="J230" s="151"/>
      <c r="K230" s="151"/>
    </row>
    <row r="231" spans="1:60" s="121" customFormat="1" ht="14.25" customHeight="1">
      <c r="A231" s="59"/>
      <c r="B231" s="82"/>
      <c r="C231" s="105"/>
      <c r="D231" s="105"/>
      <c r="E231" s="105"/>
      <c r="F231" s="140"/>
      <c r="G231" s="271"/>
      <c r="H231" s="157"/>
      <c r="I231" s="151"/>
      <c r="J231" s="151"/>
      <c r="K231" s="151"/>
      <c r="L231" s="198"/>
      <c r="M231" s="199"/>
      <c r="N231" s="199"/>
      <c r="O231" s="199"/>
      <c r="P231" s="199"/>
      <c r="Q231" s="199"/>
      <c r="R231" s="199"/>
      <c r="S231" s="199"/>
      <c r="T231" s="199"/>
      <c r="U231" s="199"/>
      <c r="V231" s="199"/>
      <c r="W231" s="199"/>
      <c r="X231" s="199"/>
      <c r="Y231" s="199"/>
      <c r="Z231" s="199"/>
      <c r="AA231" s="199"/>
      <c r="AB231" s="199"/>
      <c r="AC231" s="199"/>
      <c r="AD231" s="199"/>
      <c r="AE231" s="199"/>
      <c r="AF231" s="199"/>
      <c r="AG231" s="199"/>
      <c r="AH231" s="199"/>
      <c r="AI231" s="199"/>
      <c r="AJ231" s="199"/>
      <c r="AK231" s="199"/>
      <c r="AL231" s="199"/>
      <c r="AM231" s="199"/>
      <c r="AN231" s="199"/>
      <c r="AO231" s="199"/>
      <c r="AP231" s="199"/>
      <c r="AQ231" s="199"/>
      <c r="AR231" s="199"/>
      <c r="AS231" s="199"/>
      <c r="AT231" s="199"/>
      <c r="AU231" s="199"/>
      <c r="AV231" s="199"/>
      <c r="AW231" s="199"/>
      <c r="AX231" s="199"/>
      <c r="AY231" s="199"/>
      <c r="AZ231" s="199"/>
      <c r="BA231" s="199"/>
      <c r="BB231" s="199"/>
      <c r="BC231" s="199"/>
      <c r="BD231" s="199"/>
      <c r="BE231" s="199"/>
      <c r="BF231" s="199"/>
      <c r="BG231" s="199"/>
      <c r="BH231" s="199"/>
    </row>
    <row r="232" spans="1:60" s="121" customFormat="1" ht="15" customHeight="1">
      <c r="A232" s="183"/>
      <c r="B232" s="236"/>
      <c r="C232" s="371"/>
      <c r="D232" s="266"/>
      <c r="E232" s="266"/>
      <c r="F232" s="279"/>
      <c r="G232" s="362"/>
      <c r="H232" s="238"/>
      <c r="I232" s="94"/>
      <c r="J232" s="94"/>
      <c r="K232" s="94"/>
      <c r="L232" s="198"/>
      <c r="M232" s="199"/>
      <c r="N232" s="199"/>
      <c r="O232" s="199"/>
      <c r="P232" s="199"/>
      <c r="Q232" s="199"/>
      <c r="R232" s="199"/>
      <c r="S232" s="199"/>
      <c r="T232" s="199"/>
      <c r="U232" s="199"/>
      <c r="V232" s="199"/>
      <c r="W232" s="199"/>
      <c r="X232" s="199"/>
      <c r="Y232" s="199"/>
      <c r="Z232" s="199"/>
      <c r="AA232" s="199"/>
      <c r="AB232" s="199"/>
      <c r="AC232" s="199"/>
      <c r="AD232" s="199"/>
      <c r="AE232" s="199"/>
      <c r="AF232" s="199"/>
      <c r="AG232" s="199"/>
      <c r="AH232" s="199"/>
      <c r="AI232" s="199"/>
      <c r="AJ232" s="199"/>
      <c r="AK232" s="199"/>
      <c r="AL232" s="199"/>
      <c r="AM232" s="199"/>
      <c r="AN232" s="199"/>
      <c r="AO232" s="199"/>
      <c r="AP232" s="199"/>
      <c r="AQ232" s="199"/>
      <c r="AR232" s="199"/>
      <c r="AS232" s="199"/>
      <c r="AT232" s="199"/>
      <c r="AU232" s="199"/>
      <c r="AV232" s="199"/>
      <c r="AW232" s="199"/>
      <c r="AX232" s="199"/>
      <c r="AY232" s="199"/>
      <c r="AZ232" s="199"/>
      <c r="BA232" s="199"/>
      <c r="BB232" s="199"/>
      <c r="BC232" s="199"/>
      <c r="BD232" s="199"/>
      <c r="BE232" s="199"/>
      <c r="BF232" s="199"/>
      <c r="BG232" s="199"/>
      <c r="BH232" s="199"/>
    </row>
    <row r="233" spans="1:60" ht="14.25" customHeight="1">
      <c r="A233" s="183"/>
      <c r="B233" s="236"/>
      <c r="C233" s="371"/>
      <c r="D233" s="266"/>
      <c r="E233" s="266"/>
      <c r="F233" s="279"/>
      <c r="G233" s="225"/>
      <c r="H233" s="190"/>
      <c r="I233" s="94"/>
      <c r="J233" s="94"/>
      <c r="K233" s="94"/>
    </row>
    <row r="234" spans="1:60" ht="14.25" customHeight="1">
      <c r="A234" s="183"/>
      <c r="B234" s="236"/>
      <c r="C234" s="371"/>
      <c r="D234" s="266"/>
      <c r="E234" s="266"/>
      <c r="F234" s="279"/>
      <c r="G234" s="362"/>
      <c r="H234" s="238"/>
      <c r="I234" s="94"/>
      <c r="J234" s="94"/>
      <c r="K234" s="94"/>
    </row>
    <row r="235" spans="1:60" ht="14.25" customHeight="1">
      <c r="A235" s="183"/>
      <c r="B235" s="236"/>
      <c r="C235" s="371"/>
      <c r="D235" s="266"/>
      <c r="E235" s="266"/>
      <c r="F235" s="279"/>
      <c r="G235" s="362"/>
      <c r="H235" s="238"/>
      <c r="I235" s="94"/>
      <c r="J235" s="94"/>
      <c r="K235" s="94"/>
    </row>
    <row r="236" spans="1:60" s="278" customFormat="1" ht="14.25" customHeight="1">
      <c r="A236" s="241"/>
      <c r="B236" s="236"/>
      <c r="C236" s="266"/>
      <c r="D236" s="265"/>
      <c r="E236" s="266"/>
      <c r="F236" s="279"/>
      <c r="G236" s="280"/>
      <c r="H236" s="232"/>
      <c r="I236" s="94"/>
      <c r="J236" s="94"/>
      <c r="K236" s="94"/>
      <c r="L236" s="198"/>
      <c r="M236" s="277"/>
      <c r="N236" s="277"/>
      <c r="O236" s="277"/>
      <c r="P236" s="277"/>
      <c r="Q236" s="277"/>
      <c r="R236" s="277"/>
      <c r="S236" s="277"/>
      <c r="T236" s="277"/>
      <c r="U236" s="277"/>
      <c r="V236" s="277"/>
      <c r="W236" s="277"/>
      <c r="X236" s="277"/>
      <c r="Y236" s="277"/>
      <c r="Z236" s="277"/>
      <c r="AA236" s="277"/>
      <c r="AB236" s="277"/>
      <c r="AC236" s="277"/>
      <c r="AD236" s="277"/>
      <c r="AE236" s="277"/>
      <c r="AF236" s="277"/>
      <c r="AG236" s="277"/>
      <c r="AH236" s="277"/>
      <c r="AI236" s="277"/>
      <c r="AJ236" s="277"/>
      <c r="AK236" s="277"/>
      <c r="AL236" s="277"/>
      <c r="AM236" s="277"/>
      <c r="AN236" s="277"/>
      <c r="AO236" s="277"/>
      <c r="AP236" s="277"/>
      <c r="AQ236" s="277"/>
      <c r="AR236" s="277"/>
      <c r="AS236" s="277"/>
      <c r="AT236" s="277"/>
      <c r="AU236" s="277"/>
      <c r="AV236" s="277"/>
      <c r="AW236" s="277"/>
      <c r="AX236" s="277"/>
      <c r="AY236" s="277"/>
      <c r="AZ236" s="277"/>
      <c r="BA236" s="277"/>
      <c r="BB236" s="277"/>
      <c r="BC236" s="277"/>
      <c r="BD236" s="277"/>
      <c r="BE236" s="277"/>
      <c r="BF236" s="277"/>
      <c r="BG236" s="277"/>
      <c r="BH236" s="277"/>
    </row>
    <row r="237" spans="1:60" ht="14.25" customHeight="1">
      <c r="A237" s="375"/>
      <c r="B237" s="236"/>
      <c r="C237" s="266"/>
      <c r="D237" s="265"/>
      <c r="E237" s="266"/>
      <c r="F237" s="279"/>
      <c r="G237" s="280"/>
      <c r="H237" s="232"/>
      <c r="I237" s="94"/>
      <c r="J237" s="94"/>
      <c r="K237" s="94"/>
    </row>
    <row r="238" spans="1:60" ht="14.25" customHeight="1">
      <c r="A238" s="375"/>
      <c r="B238" s="236"/>
      <c r="C238" s="266"/>
      <c r="D238" s="265"/>
      <c r="E238" s="266"/>
      <c r="F238" s="279"/>
      <c r="G238" s="280"/>
      <c r="H238" s="232"/>
      <c r="I238" s="94"/>
      <c r="J238" s="94"/>
      <c r="K238" s="94"/>
    </row>
    <row r="239" spans="1:60" ht="14.25" customHeight="1">
      <c r="A239" s="375"/>
      <c r="B239" s="236"/>
      <c r="C239" s="266"/>
      <c r="D239" s="265"/>
      <c r="E239" s="266"/>
      <c r="F239" s="279"/>
      <c r="G239" s="280"/>
      <c r="H239" s="232"/>
      <c r="I239" s="94"/>
      <c r="J239" s="94"/>
      <c r="K239" s="94"/>
    </row>
    <row r="240" spans="1:60" ht="14.25" customHeight="1">
      <c r="A240" s="375"/>
      <c r="B240" s="236"/>
      <c r="C240" s="266"/>
      <c r="D240" s="265"/>
      <c r="E240" s="266"/>
      <c r="F240" s="279"/>
      <c r="G240" s="280"/>
      <c r="H240" s="232"/>
      <c r="I240" s="94"/>
      <c r="J240" s="94"/>
      <c r="K240" s="94"/>
    </row>
    <row r="241" spans="1:60" ht="14.25" customHeight="1">
      <c r="A241" s="241"/>
      <c r="B241" s="242"/>
      <c r="C241" s="266"/>
      <c r="D241" s="361"/>
      <c r="E241" s="266"/>
      <c r="F241" s="279"/>
      <c r="G241" s="280"/>
      <c r="H241" s="232"/>
      <c r="I241" s="94"/>
      <c r="J241" s="94"/>
      <c r="K241" s="94"/>
    </row>
    <row r="242" spans="1:60" ht="14.25" customHeight="1">
      <c r="A242" s="241"/>
      <c r="B242" s="242"/>
      <c r="C242" s="266"/>
      <c r="D242" s="361"/>
      <c r="E242" s="266"/>
      <c r="F242" s="279"/>
      <c r="G242" s="280"/>
      <c r="H242" s="232"/>
      <c r="I242" s="94"/>
      <c r="J242" s="94"/>
      <c r="K242" s="94"/>
    </row>
    <row r="243" spans="1:60" ht="14.25" customHeight="1">
      <c r="A243" s="241"/>
      <c r="B243" s="235"/>
      <c r="C243" s="266"/>
      <c r="D243" s="361"/>
      <c r="E243" s="266"/>
      <c r="F243" s="279"/>
      <c r="G243" s="280"/>
      <c r="H243" s="232"/>
      <c r="I243" s="94"/>
      <c r="J243" s="94"/>
      <c r="K243" s="94"/>
      <c r="L243" s="199"/>
    </row>
    <row r="244" spans="1:60" ht="14.25" customHeight="1">
      <c r="A244" s="241"/>
      <c r="B244" s="235"/>
      <c r="C244" s="266"/>
      <c r="D244" s="361"/>
      <c r="E244" s="266"/>
      <c r="F244" s="279"/>
      <c r="G244" s="280"/>
      <c r="H244" s="232"/>
      <c r="I244" s="94"/>
      <c r="J244" s="94"/>
      <c r="K244" s="94"/>
    </row>
    <row r="245" spans="1:60" ht="14.25" customHeight="1">
      <c r="A245" s="241"/>
      <c r="B245" s="236"/>
      <c r="C245" s="266"/>
      <c r="D245" s="361"/>
      <c r="E245" s="266"/>
      <c r="F245" s="279"/>
      <c r="G245" s="280"/>
      <c r="H245" s="232"/>
      <c r="I245" s="94"/>
      <c r="J245" s="94"/>
      <c r="K245" s="94"/>
    </row>
    <row r="246" spans="1:60" ht="14.25" customHeight="1">
      <c r="A246" s="241"/>
      <c r="B246" s="236"/>
      <c r="C246" s="266"/>
      <c r="D246" s="361"/>
      <c r="E246" s="266"/>
      <c r="F246" s="279"/>
      <c r="G246" s="280"/>
      <c r="H246" s="232"/>
      <c r="I246" s="94"/>
      <c r="J246" s="94"/>
      <c r="K246" s="94"/>
    </row>
    <row r="247" spans="1:60" ht="14.25" customHeight="1">
      <c r="A247" s="241"/>
      <c r="B247" s="235"/>
      <c r="C247" s="266"/>
      <c r="D247" s="265"/>
      <c r="E247" s="266"/>
      <c r="F247" s="279"/>
      <c r="G247" s="280"/>
      <c r="H247" s="232"/>
      <c r="I247" s="94"/>
      <c r="J247" s="94"/>
      <c r="K247" s="94"/>
    </row>
    <row r="248" spans="1:60" ht="14.25" customHeight="1">
      <c r="A248" s="241"/>
      <c r="B248" s="236"/>
      <c r="C248" s="266"/>
      <c r="D248" s="265"/>
      <c r="E248" s="266"/>
      <c r="F248" s="279"/>
      <c r="G248" s="280"/>
      <c r="H248" s="232"/>
      <c r="I248" s="94"/>
      <c r="J248" s="94"/>
      <c r="K248" s="94"/>
    </row>
    <row r="249" spans="1:60" ht="14.25" customHeight="1">
      <c r="A249" s="241"/>
      <c r="B249" s="236"/>
      <c r="C249" s="266"/>
      <c r="D249" s="265"/>
      <c r="E249" s="266"/>
      <c r="F249" s="279"/>
      <c r="G249" s="280"/>
      <c r="H249" s="232"/>
      <c r="I249" s="94"/>
      <c r="J249" s="94"/>
      <c r="K249" s="94"/>
    </row>
    <row r="250" spans="1:60" ht="14.25" customHeight="1">
      <c r="A250" s="93"/>
      <c r="B250" s="82"/>
      <c r="C250" s="105"/>
      <c r="D250" s="105"/>
      <c r="E250" s="105"/>
      <c r="F250" s="140"/>
      <c r="G250" s="109"/>
      <c r="H250" s="140"/>
      <c r="I250" s="94"/>
      <c r="J250" s="94"/>
      <c r="K250" s="94"/>
    </row>
    <row r="251" spans="1:60" s="104" customFormat="1" ht="14.25" customHeight="1">
      <c r="A251" s="93"/>
      <c r="B251" s="82"/>
      <c r="C251" s="105"/>
      <c r="D251" s="105"/>
      <c r="E251" s="105"/>
      <c r="F251" s="140"/>
      <c r="G251" s="109"/>
      <c r="H251" s="140"/>
      <c r="I251" s="94"/>
      <c r="J251" s="94"/>
      <c r="K251" s="94"/>
      <c r="L251" s="198"/>
      <c r="M251" s="198"/>
      <c r="N251" s="198"/>
      <c r="O251" s="198"/>
      <c r="P251" s="198"/>
      <c r="Q251" s="198"/>
      <c r="R251" s="198"/>
      <c r="S251" s="198"/>
      <c r="T251" s="198"/>
      <c r="U251" s="198"/>
      <c r="V251" s="198"/>
      <c r="W251" s="198"/>
      <c r="X251" s="198"/>
      <c r="Y251" s="198"/>
      <c r="Z251" s="198"/>
      <c r="AA251" s="198"/>
      <c r="AB251" s="198"/>
      <c r="AC251" s="198"/>
      <c r="AD251" s="198"/>
      <c r="AE251" s="198"/>
      <c r="AF251" s="198"/>
      <c r="AG251" s="198"/>
      <c r="AH251" s="198"/>
      <c r="AI251" s="198"/>
      <c r="AJ251" s="198"/>
      <c r="AK251" s="198"/>
      <c r="AL251" s="198"/>
      <c r="AM251" s="198"/>
      <c r="AN251" s="198"/>
      <c r="AO251" s="198"/>
      <c r="AP251" s="198"/>
      <c r="AQ251" s="198"/>
      <c r="AR251" s="198"/>
      <c r="AS251" s="198"/>
      <c r="AT251" s="198"/>
      <c r="AU251" s="198"/>
      <c r="AV251" s="198"/>
      <c r="AW251" s="198"/>
      <c r="AX251" s="198"/>
      <c r="AY251" s="198"/>
      <c r="AZ251" s="198"/>
      <c r="BA251" s="198"/>
      <c r="BB251" s="198"/>
      <c r="BC251" s="198"/>
      <c r="BD251" s="198"/>
      <c r="BE251" s="198"/>
      <c r="BF251" s="198"/>
      <c r="BG251" s="198"/>
      <c r="BH251" s="198"/>
    </row>
    <row r="252" spans="1:60" ht="14.25" customHeight="1">
      <c r="A252" s="241"/>
      <c r="B252" s="236"/>
      <c r="C252" s="266"/>
      <c r="D252" s="154"/>
      <c r="E252" s="266"/>
      <c r="F252" s="279"/>
      <c r="G252" s="280"/>
      <c r="H252" s="279"/>
      <c r="I252" s="94"/>
      <c r="J252" s="94"/>
      <c r="K252" s="94"/>
    </row>
    <row r="253" spans="1:60" ht="14.25" customHeight="1">
      <c r="A253" s="241"/>
      <c r="B253" s="236"/>
      <c r="C253" s="266"/>
      <c r="D253" s="154"/>
      <c r="E253" s="266"/>
      <c r="F253" s="279"/>
      <c r="G253" s="158"/>
      <c r="H253" s="147"/>
      <c r="I253" s="94"/>
      <c r="J253" s="94"/>
      <c r="K253" s="94"/>
    </row>
    <row r="254" spans="1:60" ht="14.25" customHeight="1">
      <c r="A254" s="376"/>
      <c r="B254" s="377"/>
      <c r="C254" s="181"/>
      <c r="D254" s="376"/>
      <c r="E254" s="181"/>
      <c r="F254" s="347"/>
      <c r="G254" s="378"/>
      <c r="H254" s="379"/>
      <c r="I254" s="376"/>
      <c r="J254" s="94"/>
      <c r="K254" s="94"/>
    </row>
    <row r="255" spans="1:60" ht="14.25" customHeight="1">
      <c r="A255" s="376"/>
      <c r="B255" s="377"/>
      <c r="C255" s="181"/>
      <c r="D255" s="105"/>
      <c r="E255" s="181"/>
      <c r="F255" s="347"/>
      <c r="G255" s="378"/>
      <c r="H255" s="379"/>
      <c r="I255" s="376"/>
      <c r="J255" s="94"/>
      <c r="K255" s="94"/>
    </row>
    <row r="256" spans="1:60" ht="14.25" customHeight="1">
      <c r="A256" s="376"/>
      <c r="B256" s="377"/>
      <c r="C256" s="181"/>
      <c r="D256" s="376"/>
      <c r="E256" s="181"/>
      <c r="F256" s="347"/>
      <c r="G256" s="378"/>
      <c r="H256" s="379"/>
      <c r="I256" s="376"/>
      <c r="J256" s="94"/>
      <c r="K256" s="94"/>
    </row>
    <row r="257" spans="1:60" ht="14.25" customHeight="1">
      <c r="A257" s="376"/>
      <c r="B257" s="377"/>
      <c r="C257" s="181"/>
      <c r="D257" s="265"/>
      <c r="E257" s="181"/>
      <c r="F257" s="347"/>
      <c r="G257" s="378"/>
      <c r="H257" s="379"/>
      <c r="I257" s="376"/>
      <c r="J257" s="94"/>
      <c r="K257" s="94"/>
    </row>
    <row r="258" spans="1:60" ht="14.25" customHeight="1">
      <c r="A258" s="376"/>
      <c r="B258" s="377"/>
      <c r="C258" s="181"/>
      <c r="D258" s="376"/>
      <c r="E258" s="181"/>
      <c r="F258" s="347"/>
      <c r="G258" s="378"/>
      <c r="H258" s="379"/>
      <c r="I258" s="376"/>
      <c r="J258" s="94"/>
      <c r="K258" s="94"/>
    </row>
    <row r="259" spans="1:60" s="121" customFormat="1" ht="14.25" customHeight="1">
      <c r="A259" s="267"/>
      <c r="B259" s="236"/>
      <c r="C259" s="266"/>
      <c r="D259" s="154"/>
      <c r="E259" s="266"/>
      <c r="F259" s="279"/>
      <c r="G259" s="362"/>
      <c r="H259" s="372"/>
      <c r="I259" s="267"/>
      <c r="J259" s="267"/>
      <c r="K259" s="267"/>
      <c r="L259" s="198"/>
      <c r="M259" s="199"/>
      <c r="N259" s="199"/>
      <c r="O259" s="199"/>
      <c r="P259" s="199"/>
      <c r="Q259" s="199"/>
      <c r="R259" s="199"/>
      <c r="S259" s="199"/>
      <c r="T259" s="199"/>
      <c r="U259" s="199"/>
      <c r="V259" s="199"/>
      <c r="W259" s="199"/>
      <c r="X259" s="199"/>
      <c r="Y259" s="199"/>
      <c r="Z259" s="199"/>
      <c r="AA259" s="199"/>
      <c r="AB259" s="199"/>
      <c r="AC259" s="199"/>
      <c r="AD259" s="199"/>
      <c r="AE259" s="199"/>
      <c r="AF259" s="199"/>
      <c r="AG259" s="199"/>
      <c r="AH259" s="199"/>
      <c r="AI259" s="199"/>
      <c r="AJ259" s="199"/>
      <c r="AK259" s="199"/>
      <c r="AL259" s="199"/>
      <c r="AM259" s="199"/>
      <c r="AN259" s="199"/>
      <c r="AO259" s="199"/>
      <c r="AP259" s="199"/>
      <c r="AQ259" s="199"/>
      <c r="AR259" s="199"/>
      <c r="AS259" s="199"/>
      <c r="AT259" s="199"/>
      <c r="AU259" s="199"/>
      <c r="AV259" s="199"/>
      <c r="AW259" s="199"/>
      <c r="AX259" s="199"/>
      <c r="AY259" s="199"/>
      <c r="AZ259" s="199"/>
      <c r="BA259" s="199"/>
      <c r="BB259" s="199"/>
      <c r="BC259" s="199"/>
      <c r="BD259" s="199"/>
      <c r="BE259" s="199"/>
      <c r="BF259" s="199"/>
      <c r="BG259" s="199"/>
      <c r="BH259" s="199"/>
    </row>
    <row r="260" spans="1:60" ht="14.25" customHeight="1">
      <c r="A260" s="241"/>
      <c r="B260" s="236"/>
      <c r="C260" s="266"/>
      <c r="D260" s="265"/>
      <c r="E260" s="266"/>
      <c r="F260" s="279"/>
      <c r="G260" s="380"/>
      <c r="H260" s="238"/>
      <c r="I260" s="94"/>
      <c r="J260" s="94"/>
      <c r="K260" s="94"/>
    </row>
    <row r="261" spans="1:60" ht="14.25" customHeight="1">
      <c r="A261" s="241"/>
      <c r="B261" s="236"/>
      <c r="C261" s="266"/>
      <c r="D261" s="265"/>
      <c r="E261" s="266"/>
      <c r="F261" s="279"/>
      <c r="G261" s="380"/>
      <c r="H261" s="238"/>
      <c r="I261" s="94"/>
      <c r="J261" s="94"/>
      <c r="K261" s="94"/>
    </row>
    <row r="262" spans="1:60" ht="14.25" customHeight="1">
      <c r="A262" s="241"/>
      <c r="B262" s="236"/>
      <c r="C262" s="266"/>
      <c r="D262" s="265"/>
      <c r="E262" s="266"/>
      <c r="F262" s="279"/>
      <c r="G262" s="380"/>
      <c r="H262" s="238"/>
      <c r="I262" s="94"/>
      <c r="J262" s="94"/>
      <c r="K262" s="94"/>
    </row>
    <row r="263" spans="1:60" ht="14.25" customHeight="1">
      <c r="A263" s="241"/>
      <c r="B263" s="236"/>
      <c r="C263" s="266"/>
      <c r="D263" s="265"/>
      <c r="E263" s="266"/>
      <c r="F263" s="279"/>
      <c r="G263" s="380"/>
      <c r="H263" s="238"/>
      <c r="I263" s="94"/>
      <c r="J263" s="94"/>
      <c r="K263" s="94"/>
    </row>
    <row r="264" spans="1:60" ht="14.25" customHeight="1">
      <c r="A264" s="241"/>
      <c r="B264" s="236"/>
      <c r="C264" s="266"/>
      <c r="D264" s="265"/>
      <c r="E264" s="266"/>
      <c r="F264" s="279"/>
      <c r="G264" s="380"/>
      <c r="H264" s="238"/>
      <c r="I264" s="94"/>
      <c r="J264" s="94"/>
      <c r="K264" s="94"/>
    </row>
    <row r="265" spans="1:60" ht="14.25" customHeight="1">
      <c r="A265" s="241"/>
      <c r="B265" s="236"/>
      <c r="C265" s="266"/>
      <c r="D265" s="265"/>
      <c r="E265" s="266"/>
      <c r="F265" s="279"/>
      <c r="G265" s="380"/>
      <c r="H265" s="238"/>
      <c r="I265" s="94"/>
      <c r="J265" s="94"/>
      <c r="K265" s="94"/>
    </row>
    <row r="266" spans="1:60" ht="14.25" customHeight="1">
      <c r="A266" s="241"/>
      <c r="B266" s="236"/>
      <c r="C266" s="266"/>
      <c r="D266" s="265"/>
      <c r="E266" s="266"/>
      <c r="F266" s="279"/>
      <c r="G266" s="380"/>
      <c r="H266" s="238"/>
      <c r="I266" s="94"/>
      <c r="J266" s="94"/>
      <c r="K266" s="94"/>
    </row>
    <row r="267" spans="1:60" ht="14.25" customHeight="1">
      <c r="A267" s="241"/>
      <c r="B267" s="236"/>
      <c r="C267" s="266"/>
      <c r="D267" s="265"/>
      <c r="E267" s="266"/>
      <c r="F267" s="279"/>
      <c r="G267" s="380"/>
      <c r="H267" s="238"/>
      <c r="I267" s="94"/>
      <c r="J267" s="94"/>
      <c r="K267" s="94"/>
    </row>
    <row r="268" spans="1:60" ht="14.25" customHeight="1">
      <c r="A268" s="241"/>
      <c r="B268" s="236"/>
      <c r="C268" s="266"/>
      <c r="D268" s="265"/>
      <c r="E268" s="266"/>
      <c r="F268" s="279"/>
      <c r="G268" s="380"/>
      <c r="H268" s="238"/>
      <c r="I268" s="94"/>
      <c r="J268" s="94"/>
      <c r="K268" s="94"/>
    </row>
    <row r="269" spans="1:60" ht="14.25" customHeight="1">
      <c r="A269" s="241"/>
      <c r="B269" s="236"/>
      <c r="C269" s="266"/>
      <c r="D269" s="265"/>
      <c r="E269" s="266"/>
      <c r="F269" s="279"/>
      <c r="G269" s="380"/>
      <c r="H269" s="238"/>
      <c r="I269" s="94"/>
      <c r="J269" s="94"/>
      <c r="K269" s="94"/>
    </row>
    <row r="270" spans="1:60" ht="14.25" customHeight="1">
      <c r="A270" s="241"/>
      <c r="B270" s="236"/>
      <c r="C270" s="266"/>
      <c r="D270" s="265"/>
      <c r="E270" s="266"/>
      <c r="F270" s="279"/>
      <c r="G270" s="380"/>
      <c r="H270" s="238"/>
      <c r="I270" s="94"/>
      <c r="J270" s="94"/>
      <c r="K270" s="94"/>
    </row>
    <row r="271" spans="1:60" ht="15" customHeight="1">
      <c r="A271" s="241"/>
      <c r="B271" s="236"/>
      <c r="C271" s="266"/>
      <c r="D271" s="265"/>
      <c r="E271" s="266"/>
      <c r="F271" s="279"/>
      <c r="G271" s="380"/>
      <c r="H271" s="238"/>
      <c r="I271" s="94"/>
      <c r="J271" s="94"/>
      <c r="K271" s="94"/>
    </row>
    <row r="272" spans="1:60" ht="15" customHeight="1">
      <c r="A272" s="241"/>
      <c r="B272" s="236"/>
      <c r="C272" s="266"/>
      <c r="D272" s="265"/>
      <c r="E272" s="266"/>
      <c r="F272" s="279"/>
      <c r="G272" s="380"/>
      <c r="H272" s="238"/>
      <c r="I272" s="94"/>
      <c r="J272" s="94"/>
      <c r="K272" s="94"/>
    </row>
    <row r="273" spans="1:11" ht="15" customHeight="1">
      <c r="A273" s="241"/>
      <c r="B273" s="236"/>
      <c r="C273" s="266"/>
      <c r="D273" s="265"/>
      <c r="E273" s="266"/>
      <c r="F273" s="279"/>
      <c r="G273" s="380"/>
      <c r="H273" s="238"/>
      <c r="I273" s="94"/>
      <c r="J273" s="94"/>
      <c r="K273" s="94"/>
    </row>
    <row r="274" spans="1:11" ht="15" customHeight="1">
      <c r="A274" s="241"/>
      <c r="B274" s="236"/>
      <c r="C274" s="266"/>
      <c r="D274" s="265"/>
      <c r="E274" s="266"/>
      <c r="F274" s="279"/>
      <c r="G274" s="380"/>
      <c r="H274" s="238"/>
      <c r="I274" s="94"/>
      <c r="J274" s="94"/>
      <c r="K274" s="94"/>
    </row>
    <row r="275" spans="1:11" ht="15" customHeight="1">
      <c r="A275" s="241"/>
      <c r="B275" s="236"/>
      <c r="C275" s="266"/>
      <c r="D275" s="265"/>
      <c r="E275" s="266"/>
      <c r="F275" s="279"/>
      <c r="G275" s="380"/>
      <c r="H275" s="238"/>
      <c r="I275" s="94"/>
      <c r="J275" s="94"/>
      <c r="K275" s="94"/>
    </row>
    <row r="276" spans="1:11" ht="15" customHeight="1">
      <c r="A276" s="241"/>
      <c r="B276" s="236"/>
      <c r="C276" s="266"/>
      <c r="D276" s="265"/>
      <c r="E276" s="266"/>
      <c r="F276" s="279"/>
      <c r="G276" s="380"/>
      <c r="H276" s="238"/>
      <c r="I276" s="94"/>
      <c r="J276" s="94"/>
      <c r="K276" s="94"/>
    </row>
    <row r="277" spans="1:11" ht="15" customHeight="1">
      <c r="A277" s="241"/>
      <c r="B277" s="236"/>
      <c r="C277" s="266"/>
      <c r="D277" s="265"/>
      <c r="E277" s="266"/>
      <c r="F277" s="279"/>
      <c r="G277" s="380"/>
      <c r="H277" s="238"/>
      <c r="I277" s="94"/>
      <c r="J277" s="94"/>
      <c r="K277" s="94"/>
    </row>
    <row r="278" spans="1:11" ht="15" customHeight="1">
      <c r="A278" s="241"/>
      <c r="B278" s="236"/>
      <c r="C278" s="266"/>
      <c r="D278" s="265"/>
      <c r="E278" s="266"/>
      <c r="F278" s="279"/>
      <c r="G278" s="380"/>
      <c r="H278" s="238"/>
      <c r="I278" s="94"/>
      <c r="J278" s="94"/>
      <c r="K278" s="94"/>
    </row>
    <row r="279" spans="1:11" ht="15" customHeight="1">
      <c r="A279" s="241"/>
      <c r="B279" s="236"/>
      <c r="C279" s="266"/>
      <c r="D279" s="265"/>
      <c r="E279" s="266"/>
      <c r="F279" s="279"/>
      <c r="G279" s="380"/>
      <c r="H279" s="238"/>
      <c r="I279" s="94"/>
      <c r="J279" s="94"/>
      <c r="K279" s="94"/>
    </row>
    <row r="280" spans="1:11" ht="15" customHeight="1">
      <c r="A280" s="241"/>
      <c r="B280" s="236"/>
      <c r="C280" s="266"/>
      <c r="D280" s="265"/>
      <c r="E280" s="266"/>
      <c r="F280" s="279"/>
      <c r="G280" s="380"/>
      <c r="H280" s="238"/>
      <c r="I280" s="94"/>
      <c r="J280" s="94"/>
      <c r="K280" s="94"/>
    </row>
    <row r="281" spans="1:11" ht="15" customHeight="1">
      <c r="A281" s="241"/>
      <c r="B281" s="236"/>
      <c r="C281" s="266"/>
      <c r="D281" s="265"/>
      <c r="E281" s="266"/>
      <c r="F281" s="279"/>
      <c r="G281" s="380"/>
      <c r="H281" s="238"/>
      <c r="I281" s="94"/>
      <c r="J281" s="94"/>
      <c r="K281" s="94"/>
    </row>
    <row r="282" spans="1:11" ht="15" customHeight="1">
      <c r="A282" s="241"/>
      <c r="B282" s="236"/>
      <c r="C282" s="266"/>
      <c r="D282" s="265"/>
      <c r="E282" s="266"/>
      <c r="F282" s="279"/>
      <c r="G282" s="380"/>
      <c r="H282" s="238"/>
      <c r="I282" s="94"/>
      <c r="J282" s="94"/>
      <c r="K282" s="94"/>
    </row>
    <row r="283" spans="1:11" ht="15" customHeight="1">
      <c r="A283" s="241"/>
      <c r="B283" s="236"/>
      <c r="C283" s="266"/>
      <c r="D283" s="265"/>
      <c r="E283" s="266"/>
      <c r="F283" s="279"/>
      <c r="G283" s="380"/>
      <c r="H283" s="238"/>
      <c r="I283" s="94"/>
      <c r="J283" s="94"/>
      <c r="K283" s="94"/>
    </row>
    <row r="284" spans="1:11" ht="15" customHeight="1">
      <c r="A284" s="241"/>
      <c r="B284" s="236"/>
      <c r="C284" s="266"/>
      <c r="D284" s="265"/>
      <c r="E284" s="266"/>
      <c r="F284" s="279"/>
      <c r="G284" s="380"/>
      <c r="H284" s="238"/>
      <c r="I284" s="94"/>
      <c r="J284" s="94"/>
      <c r="K284" s="94"/>
    </row>
    <row r="285" spans="1:11" ht="15" customHeight="1">
      <c r="A285" s="241"/>
      <c r="B285" s="236"/>
      <c r="C285" s="266"/>
      <c r="D285" s="265"/>
      <c r="E285" s="266"/>
      <c r="F285" s="279"/>
      <c r="G285" s="380"/>
      <c r="H285" s="238"/>
      <c r="I285" s="94"/>
      <c r="J285" s="94"/>
      <c r="K285" s="94"/>
    </row>
    <row r="286" spans="1:11" ht="15" customHeight="1">
      <c r="A286" s="241"/>
      <c r="B286" s="236"/>
      <c r="C286" s="266"/>
      <c r="D286" s="265"/>
      <c r="E286" s="266"/>
      <c r="F286" s="279"/>
      <c r="G286" s="380"/>
      <c r="H286" s="238"/>
      <c r="I286" s="94"/>
      <c r="J286" s="94"/>
      <c r="K286" s="94"/>
    </row>
    <row r="287" spans="1:11" ht="15" customHeight="1">
      <c r="A287" s="241"/>
      <c r="B287" s="236"/>
      <c r="C287" s="266"/>
      <c r="D287" s="265"/>
      <c r="E287" s="266"/>
      <c r="F287" s="279"/>
      <c r="G287" s="380"/>
      <c r="H287" s="238"/>
      <c r="I287" s="94"/>
      <c r="J287" s="94"/>
      <c r="K287" s="94"/>
    </row>
    <row r="288" spans="1:11" ht="15" customHeight="1">
      <c r="A288" s="241"/>
      <c r="B288" s="236"/>
      <c r="C288" s="266"/>
      <c r="D288" s="265"/>
      <c r="E288" s="266"/>
      <c r="F288" s="279"/>
      <c r="G288" s="380"/>
      <c r="H288" s="238"/>
      <c r="I288" s="94"/>
      <c r="J288" s="94"/>
      <c r="K288" s="94"/>
    </row>
    <row r="289" spans="1:11" ht="14.25" customHeight="1">
      <c r="A289" s="241"/>
      <c r="B289" s="236"/>
      <c r="C289" s="266"/>
      <c r="D289" s="265"/>
      <c r="E289" s="266"/>
      <c r="F289" s="279"/>
      <c r="G289" s="380"/>
      <c r="H289" s="238"/>
      <c r="I289" s="94"/>
      <c r="J289" s="94"/>
      <c r="K289" s="94"/>
    </row>
    <row r="290" spans="1:11" ht="14.25" customHeight="1">
      <c r="A290" s="241"/>
      <c r="B290" s="236"/>
      <c r="C290" s="266"/>
      <c r="D290" s="265"/>
      <c r="E290" s="266"/>
      <c r="F290" s="279"/>
      <c r="G290" s="380"/>
      <c r="H290" s="238"/>
      <c r="I290" s="94"/>
      <c r="J290" s="94"/>
      <c r="K290" s="94"/>
    </row>
    <row r="291" spans="1:11" ht="14.25" customHeight="1">
      <c r="A291" s="241"/>
      <c r="B291" s="236"/>
      <c r="C291" s="266"/>
      <c r="D291" s="265"/>
      <c r="E291" s="266"/>
      <c r="F291" s="279"/>
      <c r="G291" s="380"/>
      <c r="H291" s="238"/>
      <c r="I291" s="94"/>
      <c r="J291" s="94"/>
      <c r="K291" s="94"/>
    </row>
    <row r="292" spans="1:11" ht="14.25" customHeight="1">
      <c r="A292" s="241"/>
      <c r="B292" s="236"/>
      <c r="C292" s="266"/>
      <c r="D292" s="265"/>
      <c r="E292" s="266"/>
      <c r="F292" s="279"/>
      <c r="G292" s="380"/>
      <c r="H292" s="238"/>
      <c r="I292" s="94"/>
      <c r="J292" s="94"/>
      <c r="K292" s="94"/>
    </row>
    <row r="293" spans="1:11" ht="14.25" customHeight="1">
      <c r="A293" s="241"/>
      <c r="B293" s="236"/>
      <c r="C293" s="266"/>
      <c r="D293" s="265"/>
      <c r="E293" s="266"/>
      <c r="F293" s="279"/>
      <c r="G293" s="380"/>
      <c r="H293" s="238"/>
      <c r="I293" s="94"/>
      <c r="J293" s="94"/>
      <c r="K293" s="94"/>
    </row>
    <row r="294" spans="1:11" ht="14.25" customHeight="1">
      <c r="A294" s="241"/>
      <c r="B294" s="236"/>
      <c r="C294" s="266"/>
      <c r="D294" s="265"/>
      <c r="E294" s="266"/>
      <c r="F294" s="279"/>
      <c r="G294" s="380"/>
      <c r="H294" s="238"/>
      <c r="I294" s="94"/>
      <c r="J294" s="94"/>
      <c r="K294" s="94"/>
    </row>
    <row r="295" spans="1:11" ht="14.25" customHeight="1">
      <c r="A295" s="241"/>
      <c r="B295" s="236"/>
      <c r="C295" s="266"/>
      <c r="D295" s="265"/>
      <c r="E295" s="266"/>
      <c r="F295" s="279"/>
      <c r="G295" s="380"/>
      <c r="H295" s="238"/>
      <c r="I295" s="94"/>
      <c r="J295" s="94"/>
      <c r="K295" s="94"/>
    </row>
    <row r="296" spans="1:11" ht="14.25" customHeight="1">
      <c r="A296" s="241"/>
      <c r="B296" s="236"/>
      <c r="C296" s="266"/>
      <c r="D296" s="265"/>
      <c r="E296" s="266"/>
      <c r="F296" s="279"/>
      <c r="G296" s="380"/>
      <c r="H296" s="238"/>
      <c r="I296" s="94"/>
      <c r="J296" s="94"/>
      <c r="K296" s="94"/>
    </row>
    <row r="297" spans="1:11" ht="14.25" customHeight="1">
      <c r="A297" s="241"/>
      <c r="B297" s="236"/>
      <c r="C297" s="266"/>
      <c r="D297" s="265"/>
      <c r="E297" s="266"/>
      <c r="F297" s="279"/>
      <c r="G297" s="380"/>
      <c r="H297" s="238"/>
      <c r="I297" s="94"/>
      <c r="J297" s="94"/>
      <c r="K297" s="94"/>
    </row>
    <row r="298" spans="1:11" ht="14.25" customHeight="1">
      <c r="A298" s="241"/>
      <c r="B298" s="236"/>
      <c r="C298" s="266"/>
      <c r="D298" s="265"/>
      <c r="E298" s="266"/>
      <c r="F298" s="279"/>
      <c r="G298" s="380"/>
      <c r="H298" s="238"/>
      <c r="I298" s="94"/>
      <c r="J298" s="94"/>
      <c r="K298" s="94"/>
    </row>
    <row r="299" spans="1:11" ht="14.25" customHeight="1">
      <c r="A299" s="241"/>
      <c r="B299" s="236"/>
      <c r="C299" s="266"/>
      <c r="D299" s="265"/>
      <c r="E299" s="266"/>
      <c r="F299" s="279"/>
      <c r="G299" s="380"/>
      <c r="H299" s="238"/>
      <c r="I299" s="94"/>
      <c r="J299" s="94"/>
      <c r="K299" s="94"/>
    </row>
    <row r="300" spans="1:11" ht="14.25" customHeight="1">
      <c r="A300" s="241"/>
      <c r="B300" s="236"/>
      <c r="C300" s="266"/>
      <c r="D300" s="265"/>
      <c r="E300" s="266"/>
      <c r="F300" s="279"/>
      <c r="G300" s="380"/>
      <c r="H300" s="238"/>
      <c r="I300" s="94"/>
      <c r="J300" s="94"/>
      <c r="K300" s="94"/>
    </row>
    <row r="301" spans="1:11" ht="14.25" customHeight="1">
      <c r="A301" s="241"/>
      <c r="B301" s="236"/>
      <c r="C301" s="266"/>
      <c r="D301" s="265"/>
      <c r="E301" s="266"/>
      <c r="F301" s="279"/>
      <c r="G301" s="380"/>
      <c r="H301" s="238"/>
      <c r="I301" s="94"/>
      <c r="J301" s="94"/>
      <c r="K301" s="94"/>
    </row>
    <row r="302" spans="1:11" ht="14.25" customHeight="1">
      <c r="A302" s="241"/>
      <c r="B302" s="236"/>
      <c r="C302" s="266"/>
      <c r="D302" s="265"/>
      <c r="E302" s="266"/>
      <c r="F302" s="279"/>
      <c r="G302" s="380"/>
      <c r="H302" s="238"/>
      <c r="I302" s="94"/>
      <c r="J302" s="94"/>
      <c r="K302" s="94"/>
    </row>
    <row r="303" spans="1:11" ht="15" customHeight="1">
      <c r="A303" s="241"/>
      <c r="B303" s="236"/>
      <c r="C303" s="266"/>
      <c r="D303" s="265"/>
      <c r="E303" s="266"/>
      <c r="F303" s="279"/>
      <c r="G303" s="380"/>
      <c r="H303" s="238"/>
      <c r="I303" s="94"/>
      <c r="J303" s="94"/>
      <c r="K303" s="94"/>
    </row>
    <row r="304" spans="1:11" ht="14.25" customHeight="1">
      <c r="A304" s="241"/>
      <c r="B304" s="236"/>
      <c r="C304" s="266"/>
      <c r="D304" s="265"/>
      <c r="E304" s="266"/>
      <c r="F304" s="279"/>
      <c r="G304" s="380"/>
      <c r="H304" s="238"/>
      <c r="I304" s="94"/>
      <c r="J304" s="94"/>
      <c r="K304" s="94"/>
    </row>
    <row r="305" spans="1:11" ht="14.25" customHeight="1">
      <c r="A305" s="241"/>
      <c r="B305" s="236"/>
      <c r="C305" s="266"/>
      <c r="D305" s="265"/>
      <c r="E305" s="266"/>
      <c r="F305" s="279"/>
      <c r="G305" s="380"/>
      <c r="H305" s="238"/>
      <c r="I305" s="94"/>
      <c r="J305" s="94"/>
      <c r="K305" s="94"/>
    </row>
    <row r="306" spans="1:11" ht="14.25" customHeight="1">
      <c r="A306" s="241"/>
      <c r="B306" s="236"/>
      <c r="C306" s="266"/>
      <c r="D306" s="265"/>
      <c r="E306" s="266"/>
      <c r="F306" s="279"/>
      <c r="G306" s="380"/>
      <c r="H306" s="238"/>
      <c r="I306" s="94"/>
      <c r="J306" s="94"/>
      <c r="K306" s="94"/>
    </row>
    <row r="307" spans="1:11" ht="14.25" customHeight="1">
      <c r="A307" s="241"/>
      <c r="B307" s="236"/>
      <c r="C307" s="266"/>
      <c r="D307" s="265"/>
      <c r="E307" s="266"/>
      <c r="F307" s="279"/>
      <c r="G307" s="380"/>
      <c r="H307" s="238"/>
      <c r="I307" s="94"/>
      <c r="J307" s="94"/>
      <c r="K307" s="94"/>
    </row>
    <row r="308" spans="1:11" ht="14.25" customHeight="1">
      <c r="A308" s="241"/>
      <c r="B308" s="236"/>
      <c r="C308" s="266"/>
      <c r="D308" s="265"/>
      <c r="E308" s="266"/>
      <c r="F308" s="279"/>
      <c r="G308" s="380"/>
      <c r="H308" s="238"/>
      <c r="I308" s="94"/>
      <c r="J308" s="94"/>
      <c r="K308" s="94"/>
    </row>
    <row r="309" spans="1:11" ht="14.25" customHeight="1">
      <c r="A309" s="241"/>
      <c r="B309" s="236"/>
      <c r="C309" s="266"/>
      <c r="D309" s="265"/>
      <c r="E309" s="266"/>
      <c r="F309" s="279"/>
      <c r="G309" s="380"/>
      <c r="H309" s="238"/>
      <c r="I309" s="94"/>
      <c r="J309" s="94"/>
      <c r="K309" s="94"/>
    </row>
    <row r="310" spans="1:11" ht="14.25" customHeight="1">
      <c r="A310" s="241"/>
      <c r="B310" s="236"/>
      <c r="C310" s="266"/>
      <c r="D310" s="265"/>
      <c r="E310" s="266"/>
      <c r="F310" s="279"/>
      <c r="G310" s="380"/>
      <c r="H310" s="238"/>
      <c r="I310" s="94"/>
      <c r="J310" s="94"/>
      <c r="K310" s="94"/>
    </row>
    <row r="311" spans="1:11" ht="14.25" customHeight="1">
      <c r="A311" s="241"/>
      <c r="B311" s="236"/>
      <c r="C311" s="266"/>
      <c r="D311" s="265"/>
      <c r="E311" s="266"/>
      <c r="F311" s="279"/>
      <c r="G311" s="380"/>
      <c r="H311" s="238"/>
      <c r="I311" s="94"/>
      <c r="J311" s="94"/>
      <c r="K311" s="94"/>
    </row>
    <row r="312" spans="1:11" ht="14.25" customHeight="1">
      <c r="A312" s="241"/>
      <c r="B312" s="236"/>
      <c r="C312" s="266"/>
      <c r="D312" s="265"/>
      <c r="E312" s="266"/>
      <c r="F312" s="279"/>
      <c r="G312" s="380"/>
      <c r="H312" s="238"/>
      <c r="I312" s="94"/>
      <c r="J312" s="94"/>
      <c r="K312" s="94"/>
    </row>
    <row r="313" spans="1:11" ht="14.25" customHeight="1">
      <c r="A313" s="241"/>
      <c r="B313" s="236"/>
      <c r="C313" s="266"/>
      <c r="D313" s="265"/>
      <c r="E313" s="266"/>
      <c r="F313" s="279"/>
      <c r="G313" s="380"/>
      <c r="H313" s="238"/>
      <c r="I313" s="94"/>
      <c r="J313" s="94"/>
      <c r="K313" s="94"/>
    </row>
    <row r="314" spans="1:11" ht="14.25" customHeight="1">
      <c r="A314" s="241"/>
      <c r="B314" s="236"/>
      <c r="C314" s="266"/>
      <c r="D314" s="265"/>
      <c r="E314" s="266"/>
      <c r="F314" s="279"/>
      <c r="G314" s="380"/>
      <c r="H314" s="238"/>
      <c r="I314" s="94"/>
      <c r="J314" s="94"/>
      <c r="K314" s="94"/>
    </row>
    <row r="315" spans="1:11" ht="14.25" customHeight="1">
      <c r="A315" s="241"/>
      <c r="B315" s="236"/>
      <c r="C315" s="266"/>
      <c r="D315" s="265"/>
      <c r="E315" s="266"/>
      <c r="F315" s="279"/>
      <c r="G315" s="380"/>
      <c r="H315" s="238"/>
      <c r="I315" s="94"/>
      <c r="J315" s="94"/>
      <c r="K315" s="94"/>
    </row>
    <row r="316" spans="1:11" ht="14.25" customHeight="1">
      <c r="A316" s="241"/>
      <c r="B316" s="236"/>
      <c r="C316" s="266"/>
      <c r="D316" s="265"/>
      <c r="E316" s="266"/>
      <c r="F316" s="279"/>
      <c r="G316" s="380"/>
      <c r="H316" s="238"/>
      <c r="I316" s="94"/>
      <c r="J316" s="94"/>
      <c r="K316" s="94"/>
    </row>
    <row r="317" spans="1:11" ht="14.25" customHeight="1">
      <c r="A317" s="241"/>
      <c r="B317" s="236"/>
      <c r="C317" s="266"/>
      <c r="D317" s="265"/>
      <c r="E317" s="266"/>
      <c r="F317" s="279"/>
      <c r="G317" s="380"/>
      <c r="H317" s="238"/>
      <c r="I317" s="94"/>
      <c r="J317" s="94"/>
      <c r="K317" s="94"/>
    </row>
    <row r="318" spans="1:11" ht="14.25" customHeight="1">
      <c r="A318" s="241"/>
      <c r="B318" s="236"/>
      <c r="C318" s="266"/>
      <c r="D318" s="265"/>
      <c r="E318" s="266"/>
      <c r="F318" s="279"/>
      <c r="G318" s="380"/>
      <c r="H318" s="238"/>
      <c r="I318" s="94"/>
      <c r="J318" s="94"/>
      <c r="K318" s="94"/>
    </row>
    <row r="319" spans="1:11" ht="14.25" customHeight="1">
      <c r="A319" s="241"/>
      <c r="B319" s="236"/>
      <c r="C319" s="266"/>
      <c r="D319" s="265"/>
      <c r="E319" s="266"/>
      <c r="F319" s="279"/>
      <c r="G319" s="380"/>
      <c r="H319" s="238"/>
      <c r="I319" s="94"/>
      <c r="J319" s="94"/>
      <c r="K319" s="94"/>
    </row>
    <row r="320" spans="1:11" ht="14.25" customHeight="1">
      <c r="A320" s="241"/>
      <c r="B320" s="236"/>
      <c r="C320" s="266"/>
      <c r="D320" s="265"/>
      <c r="E320" s="266"/>
      <c r="F320" s="279"/>
      <c r="G320" s="380"/>
      <c r="H320" s="238"/>
      <c r="I320" s="94"/>
      <c r="J320" s="94"/>
      <c r="K320" s="94"/>
    </row>
    <row r="321" spans="1:11" ht="14.25" customHeight="1">
      <c r="A321" s="241"/>
      <c r="B321" s="236"/>
      <c r="C321" s="266"/>
      <c r="D321" s="265"/>
      <c r="E321" s="266"/>
      <c r="F321" s="279"/>
      <c r="G321" s="380"/>
      <c r="H321" s="238"/>
      <c r="I321" s="94"/>
      <c r="J321" s="94"/>
      <c r="K321" s="94"/>
    </row>
    <row r="322" spans="1:11" ht="14.25" customHeight="1">
      <c r="A322" s="241"/>
      <c r="B322" s="236"/>
      <c r="C322" s="266"/>
      <c r="D322" s="265"/>
      <c r="E322" s="266"/>
      <c r="F322" s="279"/>
      <c r="G322" s="380"/>
      <c r="H322" s="238"/>
      <c r="I322" s="94"/>
      <c r="J322" s="94"/>
      <c r="K322" s="94"/>
    </row>
    <row r="323" spans="1:11" ht="14.25" customHeight="1">
      <c r="A323" s="241"/>
      <c r="B323" s="236"/>
      <c r="C323" s="266"/>
      <c r="D323" s="265"/>
      <c r="E323" s="266"/>
      <c r="F323" s="279"/>
      <c r="G323" s="380"/>
      <c r="H323" s="238"/>
      <c r="I323" s="94"/>
      <c r="J323" s="94"/>
      <c r="K323" s="94"/>
    </row>
    <row r="324" spans="1:11" ht="14.25" customHeight="1">
      <c r="A324" s="241"/>
      <c r="B324" s="236"/>
      <c r="C324" s="266"/>
      <c r="D324" s="265"/>
      <c r="E324" s="266"/>
      <c r="F324" s="279"/>
      <c r="G324" s="380"/>
      <c r="H324" s="238"/>
      <c r="I324" s="94"/>
      <c r="J324" s="94"/>
      <c r="K324" s="94"/>
    </row>
    <row r="325" spans="1:11" ht="14.25" customHeight="1">
      <c r="A325" s="241"/>
      <c r="B325" s="236"/>
      <c r="C325" s="266"/>
      <c r="D325" s="265"/>
      <c r="E325" s="266"/>
      <c r="F325" s="279"/>
      <c r="G325" s="380"/>
      <c r="H325" s="238"/>
      <c r="I325" s="94"/>
      <c r="J325" s="94"/>
      <c r="K325" s="94"/>
    </row>
    <row r="326" spans="1:11" ht="14.25" customHeight="1">
      <c r="A326" s="241"/>
      <c r="B326" s="236"/>
      <c r="C326" s="266"/>
      <c r="D326" s="265"/>
      <c r="E326" s="266"/>
      <c r="F326" s="279"/>
      <c r="G326" s="380"/>
      <c r="H326" s="238"/>
      <c r="I326" s="94"/>
      <c r="J326" s="94"/>
      <c r="K326" s="94"/>
    </row>
    <row r="327" spans="1:11" ht="14.25" customHeight="1">
      <c r="A327" s="241"/>
      <c r="B327" s="236"/>
      <c r="C327" s="266"/>
      <c r="D327" s="265"/>
      <c r="E327" s="266"/>
      <c r="F327" s="279"/>
      <c r="G327" s="380"/>
      <c r="H327" s="238"/>
      <c r="I327" s="94"/>
      <c r="J327" s="94"/>
      <c r="K327" s="94"/>
    </row>
    <row r="328" spans="1:11" ht="14.25" customHeight="1">
      <c r="A328" s="241"/>
      <c r="B328" s="236"/>
      <c r="C328" s="266"/>
      <c r="D328" s="265"/>
      <c r="E328" s="266"/>
      <c r="F328" s="279"/>
      <c r="G328" s="380"/>
      <c r="H328" s="238"/>
      <c r="I328" s="94"/>
      <c r="J328" s="94"/>
      <c r="K328" s="94"/>
    </row>
    <row r="329" spans="1:11" ht="14.25" customHeight="1">
      <c r="A329" s="241"/>
      <c r="B329" s="236"/>
      <c r="C329" s="266"/>
      <c r="D329" s="265"/>
      <c r="E329" s="266"/>
      <c r="F329" s="279"/>
      <c r="G329" s="380"/>
      <c r="H329" s="238"/>
      <c r="I329" s="94"/>
      <c r="J329" s="94"/>
      <c r="K329" s="94"/>
    </row>
    <row r="330" spans="1:11" ht="14.25" customHeight="1">
      <c r="A330" s="241"/>
      <c r="B330" s="236"/>
      <c r="C330" s="266"/>
      <c r="D330" s="265"/>
      <c r="E330" s="266"/>
      <c r="F330" s="279"/>
      <c r="G330" s="380"/>
      <c r="H330" s="238"/>
      <c r="I330" s="94"/>
      <c r="J330" s="94"/>
      <c r="K330" s="94"/>
    </row>
    <row r="331" spans="1:11" ht="14.25" customHeight="1">
      <c r="A331" s="241"/>
      <c r="B331" s="236"/>
      <c r="C331" s="266"/>
      <c r="D331" s="265"/>
      <c r="E331" s="266"/>
      <c r="F331" s="279"/>
      <c r="G331" s="380"/>
      <c r="H331" s="238"/>
      <c r="I331" s="94"/>
      <c r="J331" s="94"/>
      <c r="K331" s="94"/>
    </row>
    <row r="332" spans="1:11" ht="14.25" customHeight="1">
      <c r="A332" s="241"/>
      <c r="B332" s="236"/>
      <c r="C332" s="266"/>
      <c r="D332" s="265"/>
      <c r="E332" s="266"/>
      <c r="F332" s="279"/>
      <c r="G332" s="380"/>
      <c r="H332" s="238"/>
      <c r="I332" s="94"/>
      <c r="J332" s="94"/>
      <c r="K332" s="94"/>
    </row>
    <row r="333" spans="1:11" ht="14.25" customHeight="1">
      <c r="A333" s="241"/>
      <c r="B333" s="236"/>
      <c r="C333" s="266"/>
      <c r="D333" s="265"/>
      <c r="E333" s="266"/>
      <c r="F333" s="279"/>
      <c r="G333" s="380"/>
      <c r="H333" s="238"/>
      <c r="I333" s="94"/>
      <c r="J333" s="94"/>
      <c r="K333" s="94"/>
    </row>
    <row r="334" spans="1:11" ht="14.25" customHeight="1">
      <c r="A334" s="241"/>
      <c r="B334" s="236"/>
      <c r="C334" s="266"/>
      <c r="D334" s="265"/>
      <c r="E334" s="266"/>
      <c r="F334" s="279"/>
      <c r="G334" s="380"/>
      <c r="H334" s="238"/>
      <c r="I334" s="94"/>
      <c r="J334" s="94"/>
      <c r="K334" s="94"/>
    </row>
    <row r="335" spans="1:11" ht="14.25" customHeight="1">
      <c r="A335" s="241"/>
      <c r="B335" s="236"/>
      <c r="C335" s="266"/>
      <c r="D335" s="265"/>
      <c r="E335" s="266"/>
      <c r="F335" s="279"/>
      <c r="G335" s="380"/>
      <c r="H335" s="238"/>
      <c r="I335" s="94"/>
      <c r="J335" s="94"/>
      <c r="K335" s="94"/>
    </row>
    <row r="336" spans="1:11" ht="14.25" customHeight="1">
      <c r="A336" s="241"/>
      <c r="B336" s="236"/>
      <c r="C336" s="266"/>
      <c r="D336" s="265"/>
      <c r="E336" s="266"/>
      <c r="F336" s="279"/>
      <c r="G336" s="380"/>
      <c r="H336" s="238"/>
      <c r="I336" s="94"/>
      <c r="J336" s="94"/>
      <c r="K336" s="94"/>
    </row>
    <row r="337" spans="1:12" ht="14.25" customHeight="1">
      <c r="A337" s="241"/>
      <c r="B337" s="236"/>
      <c r="C337" s="266"/>
      <c r="D337" s="265"/>
      <c r="E337" s="266"/>
      <c r="F337" s="279"/>
      <c r="G337" s="380"/>
      <c r="H337" s="238"/>
      <c r="I337" s="94"/>
      <c r="J337" s="94"/>
      <c r="K337" s="94"/>
    </row>
    <row r="338" spans="1:12" ht="14.25" customHeight="1">
      <c r="A338" s="241"/>
      <c r="B338" s="236"/>
      <c r="C338" s="266"/>
      <c r="D338" s="265"/>
      <c r="E338" s="266"/>
      <c r="F338" s="279"/>
      <c r="G338" s="380"/>
      <c r="H338" s="238"/>
      <c r="I338" s="94"/>
      <c r="J338" s="94"/>
      <c r="K338" s="94"/>
    </row>
    <row r="339" spans="1:12" ht="14.25" customHeight="1">
      <c r="A339" s="241"/>
      <c r="B339" s="236"/>
      <c r="C339" s="266"/>
      <c r="D339" s="265"/>
      <c r="E339" s="266"/>
      <c r="F339" s="279"/>
      <c r="G339" s="380"/>
      <c r="H339" s="238"/>
      <c r="I339" s="94"/>
      <c r="J339" s="94"/>
      <c r="K339" s="94"/>
    </row>
    <row r="340" spans="1:12" ht="14.25" customHeight="1">
      <c r="A340" s="193"/>
      <c r="B340" s="82"/>
      <c r="C340" s="105"/>
      <c r="D340" s="265"/>
      <c r="E340" s="154"/>
      <c r="F340" s="140"/>
      <c r="G340" s="381"/>
      <c r="H340" s="140"/>
      <c r="I340" s="94"/>
      <c r="J340" s="94"/>
      <c r="K340" s="94"/>
    </row>
    <row r="341" spans="1:12" ht="14.25" customHeight="1">
      <c r="A341" s="151"/>
      <c r="B341" s="82"/>
      <c r="C341" s="105"/>
      <c r="D341" s="154"/>
      <c r="E341" s="154"/>
      <c r="F341" s="140"/>
      <c r="G341" s="381"/>
      <c r="H341" s="140"/>
      <c r="I341" s="94"/>
      <c r="J341" s="94"/>
      <c r="K341" s="94"/>
    </row>
    <row r="342" spans="1:12" ht="14.25" customHeight="1">
      <c r="A342" s="151"/>
      <c r="B342" s="82"/>
      <c r="C342" s="105"/>
      <c r="D342" s="105"/>
      <c r="E342" s="154"/>
      <c r="F342" s="140"/>
      <c r="G342" s="381"/>
      <c r="H342" s="140"/>
      <c r="I342" s="94"/>
      <c r="J342" s="94"/>
      <c r="K342" s="94"/>
      <c r="L342" s="199"/>
    </row>
    <row r="343" spans="1:12" ht="14.25" customHeight="1">
      <c r="A343" s="321"/>
      <c r="B343" s="182"/>
      <c r="C343" s="235"/>
      <c r="D343" s="370"/>
      <c r="E343" s="348"/>
      <c r="F343" s="270"/>
      <c r="G343" s="382"/>
      <c r="H343" s="270"/>
      <c r="I343" s="321"/>
      <c r="J343" s="321"/>
      <c r="K343" s="321"/>
    </row>
    <row r="344" spans="1:12" ht="14.25" customHeight="1">
      <c r="A344" s="321"/>
      <c r="B344" s="182"/>
      <c r="C344" s="235"/>
      <c r="D344" s="370"/>
      <c r="E344" s="348"/>
      <c r="F344" s="270"/>
      <c r="G344" s="382"/>
      <c r="H344" s="270"/>
      <c r="I344" s="321"/>
      <c r="J344" s="321"/>
      <c r="K344" s="321"/>
    </row>
    <row r="345" spans="1:12" ht="14.25" customHeight="1">
      <c r="A345" s="321"/>
      <c r="B345" s="182"/>
      <c r="C345" s="235"/>
      <c r="D345" s="370"/>
      <c r="E345" s="348"/>
      <c r="F345" s="270"/>
      <c r="G345" s="382"/>
      <c r="H345" s="270"/>
      <c r="I345" s="321"/>
      <c r="J345" s="321"/>
      <c r="K345" s="321"/>
    </row>
    <row r="346" spans="1:12" ht="14.25" customHeight="1">
      <c r="A346" s="321"/>
      <c r="B346" s="182"/>
      <c r="C346" s="235"/>
      <c r="D346" s="370"/>
      <c r="E346" s="348"/>
      <c r="F346" s="270"/>
      <c r="G346" s="382"/>
      <c r="H346" s="270"/>
      <c r="I346" s="321"/>
      <c r="J346" s="321"/>
      <c r="K346" s="321"/>
    </row>
    <row r="347" spans="1:12" ht="14.25" customHeight="1">
      <c r="A347" s="321"/>
      <c r="B347" s="182"/>
      <c r="C347" s="235"/>
      <c r="D347" s="370"/>
      <c r="E347" s="348"/>
      <c r="F347" s="270"/>
      <c r="G347" s="382"/>
      <c r="H347" s="270"/>
      <c r="I347" s="321"/>
      <c r="J347" s="321"/>
      <c r="K347" s="321"/>
    </row>
    <row r="348" spans="1:12" ht="14.25" customHeight="1">
      <c r="A348" s="321"/>
      <c r="B348" s="182"/>
      <c r="C348" s="235"/>
      <c r="D348" s="370"/>
      <c r="E348" s="348"/>
      <c r="F348" s="270"/>
      <c r="G348" s="382"/>
      <c r="H348" s="270"/>
      <c r="I348" s="321"/>
      <c r="J348" s="321"/>
      <c r="K348" s="321"/>
    </row>
    <row r="349" spans="1:12" ht="14.25" customHeight="1">
      <c r="A349" s="321"/>
      <c r="B349" s="182"/>
      <c r="C349" s="235"/>
      <c r="D349" s="370"/>
      <c r="E349" s="348"/>
      <c r="F349" s="270"/>
      <c r="G349" s="382"/>
      <c r="H349" s="270"/>
      <c r="I349" s="321"/>
      <c r="J349" s="321"/>
      <c r="K349" s="321"/>
    </row>
    <row r="350" spans="1:12" ht="14.25" customHeight="1">
      <c r="A350" s="321"/>
      <c r="B350" s="182"/>
      <c r="C350" s="235"/>
      <c r="D350" s="370"/>
      <c r="E350" s="349"/>
      <c r="F350" s="270"/>
      <c r="G350" s="382"/>
      <c r="H350" s="270"/>
      <c r="I350" s="321"/>
      <c r="J350" s="321"/>
      <c r="K350" s="321"/>
    </row>
    <row r="351" spans="1:12" ht="14.25" customHeight="1">
      <c r="A351" s="321"/>
      <c r="B351" s="182"/>
      <c r="C351" s="235"/>
      <c r="D351" s="370"/>
      <c r="E351" s="348"/>
      <c r="F351" s="270"/>
      <c r="G351" s="382"/>
      <c r="H351" s="270"/>
      <c r="I351" s="321"/>
      <c r="J351" s="321"/>
      <c r="K351" s="321"/>
    </row>
    <row r="352" spans="1:12" ht="14.25" customHeight="1">
      <c r="A352" s="321"/>
      <c r="B352" s="182"/>
      <c r="C352" s="235"/>
      <c r="D352" s="370"/>
      <c r="E352" s="348"/>
      <c r="F352" s="270"/>
      <c r="G352" s="382"/>
      <c r="H352" s="270"/>
      <c r="I352" s="321"/>
      <c r="J352" s="321"/>
      <c r="K352" s="321"/>
    </row>
    <row r="353" spans="1:11" ht="14.25" customHeight="1">
      <c r="A353" s="321"/>
      <c r="B353" s="182"/>
      <c r="C353" s="235"/>
      <c r="D353" s="370"/>
      <c r="E353" s="348"/>
      <c r="F353" s="270"/>
      <c r="G353" s="382"/>
      <c r="H353" s="270"/>
      <c r="I353" s="321"/>
      <c r="J353" s="321"/>
      <c r="K353" s="321"/>
    </row>
    <row r="354" spans="1:11" ht="14.25" customHeight="1">
      <c r="A354" s="321"/>
      <c r="B354" s="182"/>
      <c r="C354" s="235"/>
      <c r="D354" s="370"/>
      <c r="E354" s="348"/>
      <c r="F354" s="270"/>
      <c r="G354" s="382"/>
      <c r="H354" s="270"/>
      <c r="I354" s="321"/>
      <c r="J354" s="321"/>
      <c r="K354" s="321"/>
    </row>
    <row r="355" spans="1:11" ht="14.25" customHeight="1">
      <c r="A355" s="321"/>
      <c r="B355" s="182"/>
      <c r="C355" s="235"/>
      <c r="D355" s="370"/>
      <c r="E355" s="348"/>
      <c r="F355" s="270"/>
      <c r="G355" s="382"/>
      <c r="H355" s="270"/>
      <c r="I355" s="321"/>
      <c r="J355" s="321"/>
      <c r="K355" s="321"/>
    </row>
    <row r="356" spans="1:11" ht="14.25" customHeight="1">
      <c r="A356" s="321"/>
      <c r="B356" s="182"/>
      <c r="C356" s="235"/>
      <c r="D356" s="370"/>
      <c r="E356" s="348"/>
      <c r="F356" s="270"/>
      <c r="G356" s="320"/>
      <c r="H356" s="270"/>
      <c r="I356" s="321"/>
      <c r="J356" s="321"/>
      <c r="K356" s="321"/>
    </row>
    <row r="357" spans="1:11" ht="14.25" customHeight="1">
      <c r="A357" s="321"/>
      <c r="B357" s="182"/>
      <c r="C357" s="235"/>
      <c r="D357" s="370"/>
      <c r="E357" s="348"/>
      <c r="F357" s="270"/>
      <c r="G357" s="382"/>
      <c r="H357" s="270"/>
      <c r="I357" s="321"/>
      <c r="J357" s="321"/>
      <c r="K357" s="321"/>
    </row>
    <row r="358" spans="1:11" ht="14.25" customHeight="1">
      <c r="A358" s="321"/>
      <c r="B358" s="182"/>
      <c r="C358" s="235"/>
      <c r="D358" s="370"/>
      <c r="E358" s="348"/>
      <c r="F358" s="270"/>
      <c r="G358" s="382"/>
      <c r="H358" s="270"/>
      <c r="I358" s="321"/>
      <c r="J358" s="321"/>
      <c r="K358" s="321"/>
    </row>
    <row r="359" spans="1:11" ht="14.25" customHeight="1">
      <c r="A359" s="321"/>
      <c r="B359" s="182"/>
      <c r="C359" s="235"/>
      <c r="D359" s="370"/>
      <c r="E359" s="348"/>
      <c r="F359" s="270"/>
      <c r="G359" s="320"/>
      <c r="H359" s="190"/>
      <c r="I359" s="321"/>
      <c r="J359" s="321"/>
      <c r="K359" s="321"/>
    </row>
    <row r="360" spans="1:11" ht="14.25" customHeight="1">
      <c r="A360" s="321"/>
      <c r="B360" s="182"/>
      <c r="C360" s="235"/>
      <c r="D360" s="370"/>
      <c r="E360" s="348"/>
      <c r="F360" s="190"/>
      <c r="G360" s="382"/>
      <c r="H360" s="270"/>
      <c r="I360" s="321"/>
      <c r="J360" s="321"/>
      <c r="K360" s="321"/>
    </row>
    <row r="361" spans="1:11" ht="14.25" customHeight="1">
      <c r="A361" s="321"/>
      <c r="B361" s="182"/>
      <c r="C361" s="235"/>
      <c r="D361" s="370"/>
      <c r="E361" s="348"/>
      <c r="F361" s="190"/>
      <c r="G361" s="320"/>
      <c r="H361" s="270"/>
      <c r="I361" s="321"/>
      <c r="J361" s="321"/>
      <c r="K361" s="321"/>
    </row>
    <row r="362" spans="1:11" ht="14.25" customHeight="1">
      <c r="A362" s="321"/>
      <c r="B362" s="182"/>
      <c r="C362" s="235"/>
      <c r="D362" s="370"/>
      <c r="E362" s="348"/>
      <c r="F362" s="190"/>
      <c r="G362" s="382"/>
      <c r="H362" s="270"/>
      <c r="I362" s="321"/>
      <c r="J362" s="321"/>
      <c r="K362" s="321"/>
    </row>
    <row r="363" spans="1:11" ht="14.25" customHeight="1">
      <c r="A363" s="321"/>
      <c r="B363" s="182"/>
      <c r="C363" s="182"/>
      <c r="D363" s="370"/>
      <c r="E363" s="348"/>
      <c r="F363" s="270"/>
      <c r="G363" s="382"/>
      <c r="H363" s="270"/>
      <c r="I363" s="321"/>
      <c r="J363" s="321"/>
      <c r="K363" s="321"/>
    </row>
    <row r="364" spans="1:11" ht="14.25" customHeight="1">
      <c r="A364" s="321"/>
      <c r="B364" s="182"/>
      <c r="C364" s="182"/>
      <c r="D364" s="370"/>
      <c r="E364" s="348"/>
      <c r="F364" s="270"/>
      <c r="G364" s="382"/>
      <c r="H364" s="270"/>
      <c r="I364" s="321"/>
      <c r="J364" s="321"/>
      <c r="K364" s="321"/>
    </row>
    <row r="365" spans="1:11" ht="14.25" customHeight="1">
      <c r="A365" s="383"/>
      <c r="B365" s="350"/>
      <c r="C365" s="350"/>
      <c r="D365" s="350"/>
      <c r="E365" s="350"/>
      <c r="F365" s="351"/>
      <c r="G365" s="384"/>
      <c r="H365" s="351"/>
      <c r="I365" s="63"/>
      <c r="J365" s="63"/>
      <c r="K365" s="63"/>
    </row>
    <row r="366" spans="1:11" ht="14.25" customHeight="1">
      <c r="A366" s="383"/>
      <c r="B366" s="350"/>
      <c r="C366" s="350"/>
      <c r="D366" s="350"/>
      <c r="E366" s="350"/>
      <c r="F366" s="351"/>
      <c r="G366" s="335"/>
      <c r="H366" s="351"/>
      <c r="I366" s="63"/>
      <c r="J366" s="63"/>
      <c r="K366" s="63"/>
    </row>
    <row r="367" spans="1:11" ht="14.25" customHeight="1">
      <c r="A367" s="383"/>
      <c r="B367" s="350"/>
      <c r="C367" s="350"/>
      <c r="D367" s="350"/>
      <c r="E367" s="350"/>
      <c r="F367" s="351"/>
      <c r="G367" s="384"/>
      <c r="H367" s="351"/>
      <c r="I367" s="63"/>
      <c r="J367" s="63"/>
      <c r="K367" s="63"/>
    </row>
    <row r="368" spans="1:11" ht="14.25" customHeight="1">
      <c r="A368" s="383"/>
      <c r="B368" s="350"/>
      <c r="C368" s="350"/>
      <c r="D368" s="350"/>
      <c r="E368" s="350"/>
      <c r="F368" s="351"/>
      <c r="G368" s="384"/>
      <c r="H368" s="351"/>
      <c r="I368" s="63"/>
      <c r="J368" s="63"/>
      <c r="K368" s="63"/>
    </row>
    <row r="369" spans="1:11" ht="14.25" customHeight="1">
      <c r="A369" s="383"/>
      <c r="B369" s="350"/>
      <c r="C369" s="350"/>
      <c r="D369" s="350"/>
      <c r="E369" s="350"/>
      <c r="F369" s="351"/>
      <c r="G369" s="384"/>
      <c r="H369" s="351"/>
      <c r="I369" s="63"/>
      <c r="J369" s="63"/>
      <c r="K369" s="63"/>
    </row>
    <row r="370" spans="1:11" ht="14.25" customHeight="1">
      <c r="A370" s="383"/>
      <c r="B370" s="350"/>
      <c r="C370" s="350"/>
      <c r="D370" s="350"/>
      <c r="E370" s="350"/>
      <c r="F370" s="351"/>
      <c r="G370" s="384"/>
      <c r="H370" s="351"/>
      <c r="I370" s="63"/>
      <c r="J370" s="63"/>
      <c r="K370" s="63"/>
    </row>
    <row r="371" spans="1:11" ht="14.25" customHeight="1">
      <c r="A371" s="383"/>
      <c r="B371" s="350"/>
      <c r="C371" s="350"/>
      <c r="D371" s="350"/>
      <c r="E371" s="350"/>
      <c r="F371" s="351"/>
      <c r="G371" s="384"/>
      <c r="H371" s="351"/>
      <c r="I371" s="63"/>
      <c r="J371" s="63"/>
      <c r="K371" s="63"/>
    </row>
    <row r="372" spans="1:11" ht="14.25" customHeight="1">
      <c r="A372" s="383"/>
      <c r="B372" s="350"/>
      <c r="C372" s="350"/>
      <c r="D372" s="350"/>
      <c r="E372" s="350"/>
      <c r="F372" s="351"/>
      <c r="G372" s="384"/>
      <c r="H372" s="351"/>
      <c r="I372" s="63"/>
      <c r="J372" s="63"/>
      <c r="K372" s="63"/>
    </row>
    <row r="373" spans="1:11" ht="14.25" customHeight="1">
      <c r="A373" s="383"/>
      <c r="B373" s="350"/>
      <c r="C373" s="350"/>
      <c r="D373" s="350"/>
      <c r="E373" s="350"/>
      <c r="F373" s="351"/>
      <c r="G373" s="384"/>
      <c r="H373" s="351"/>
      <c r="I373" s="63"/>
      <c r="J373" s="63"/>
      <c r="K373" s="63"/>
    </row>
    <row r="374" spans="1:11" ht="14.25" customHeight="1">
      <c r="A374" s="383"/>
      <c r="B374" s="350"/>
      <c r="C374" s="350"/>
      <c r="D374" s="350"/>
      <c r="E374" s="350"/>
      <c r="F374" s="351"/>
      <c r="G374" s="335"/>
      <c r="H374" s="351"/>
      <c r="I374" s="63"/>
      <c r="J374" s="63"/>
      <c r="K374" s="63"/>
    </row>
    <row r="375" spans="1:11" ht="14.25" customHeight="1">
      <c r="A375" s="383"/>
      <c r="B375" s="350"/>
      <c r="C375" s="350"/>
      <c r="D375" s="350"/>
      <c r="E375" s="350"/>
      <c r="F375" s="351"/>
      <c r="G375" s="384"/>
      <c r="H375" s="351"/>
      <c r="I375" s="63"/>
      <c r="J375" s="63"/>
      <c r="K375" s="63"/>
    </row>
    <row r="376" spans="1:11" ht="14.25" customHeight="1">
      <c r="A376" s="383"/>
      <c r="B376" s="350"/>
      <c r="C376" s="350"/>
      <c r="D376" s="350"/>
      <c r="E376" s="350"/>
      <c r="F376" s="351"/>
      <c r="G376" s="335"/>
      <c r="H376" s="351"/>
      <c r="I376" s="63"/>
      <c r="J376" s="63"/>
      <c r="K376" s="63"/>
    </row>
    <row r="377" spans="1:11" ht="14.25" customHeight="1">
      <c r="A377" s="383"/>
      <c r="B377" s="350"/>
      <c r="C377" s="350"/>
      <c r="D377" s="350"/>
      <c r="E377" s="350"/>
      <c r="F377" s="351"/>
      <c r="G377" s="384"/>
      <c r="H377" s="351"/>
      <c r="I377" s="63"/>
      <c r="J377" s="63"/>
      <c r="K377" s="63"/>
    </row>
    <row r="378" spans="1:11" ht="14.25" customHeight="1">
      <c r="A378" s="383"/>
      <c r="B378" s="350"/>
      <c r="C378" s="350"/>
      <c r="D378" s="350"/>
      <c r="E378" s="350"/>
      <c r="F378" s="351"/>
      <c r="G378" s="384"/>
      <c r="H378" s="351"/>
      <c r="I378" s="63"/>
      <c r="J378" s="63"/>
      <c r="K378" s="63"/>
    </row>
    <row r="379" spans="1:11" ht="14.25" customHeight="1">
      <c r="A379" s="383"/>
      <c r="B379" s="350"/>
      <c r="C379" s="350"/>
      <c r="D379" s="350"/>
      <c r="E379" s="350"/>
      <c r="F379" s="351"/>
      <c r="G379" s="384"/>
      <c r="H379" s="351"/>
      <c r="I379" s="63"/>
      <c r="J379" s="63"/>
      <c r="K379" s="63"/>
    </row>
    <row r="380" spans="1:11" ht="14.25" customHeight="1">
      <c r="A380" s="383"/>
      <c r="B380" s="350"/>
      <c r="C380" s="350"/>
      <c r="D380" s="350"/>
      <c r="E380" s="350"/>
      <c r="F380" s="351"/>
      <c r="G380" s="384"/>
      <c r="H380" s="351"/>
      <c r="I380" s="63"/>
      <c r="J380" s="63"/>
      <c r="K380" s="63"/>
    </row>
    <row r="381" spans="1:11" ht="14.25" customHeight="1">
      <c r="A381" s="383"/>
      <c r="B381" s="350"/>
      <c r="C381" s="350"/>
      <c r="D381" s="350"/>
      <c r="E381" s="350"/>
      <c r="F381" s="351"/>
      <c r="G381" s="384"/>
      <c r="H381" s="351"/>
      <c r="I381" s="63"/>
      <c r="J381" s="63"/>
      <c r="K381" s="63"/>
    </row>
    <row r="382" spans="1:11" ht="14.25" customHeight="1">
      <c r="A382" s="383"/>
      <c r="B382" s="350"/>
      <c r="C382" s="350"/>
      <c r="D382" s="350"/>
      <c r="E382" s="350"/>
      <c r="F382" s="351"/>
      <c r="G382" s="335"/>
      <c r="H382" s="351"/>
      <c r="I382" s="63"/>
      <c r="J382" s="63"/>
      <c r="K382" s="63"/>
    </row>
    <row r="383" spans="1:11" ht="14.25" customHeight="1">
      <c r="A383" s="383"/>
      <c r="B383" s="350"/>
      <c r="C383" s="350"/>
      <c r="D383" s="350"/>
      <c r="E383" s="350"/>
      <c r="F383" s="351"/>
      <c r="G383" s="384"/>
      <c r="H383" s="351"/>
      <c r="I383" s="63"/>
      <c r="J383" s="63"/>
      <c r="K383" s="63"/>
    </row>
    <row r="384" spans="1:11" ht="14.25" customHeight="1">
      <c r="A384" s="383"/>
      <c r="B384" s="350"/>
      <c r="C384" s="350"/>
      <c r="D384" s="350"/>
      <c r="E384" s="350"/>
      <c r="F384" s="351"/>
      <c r="G384" s="384"/>
      <c r="H384" s="351"/>
      <c r="I384" s="63"/>
      <c r="J384" s="63"/>
      <c r="K384" s="63"/>
    </row>
    <row r="385" spans="1:11" ht="14.25" customHeight="1">
      <c r="A385" s="383"/>
      <c r="B385" s="350"/>
      <c r="C385" s="350"/>
      <c r="D385" s="350"/>
      <c r="E385" s="350"/>
      <c r="F385" s="351"/>
      <c r="G385" s="384"/>
      <c r="H385" s="351"/>
      <c r="I385" s="63"/>
      <c r="J385" s="63"/>
      <c r="K385" s="63"/>
    </row>
    <row r="386" spans="1:11">
      <c r="A386" s="383"/>
      <c r="B386" s="350"/>
      <c r="C386" s="350"/>
      <c r="D386" s="350"/>
      <c r="E386" s="350"/>
      <c r="F386" s="351"/>
      <c r="G386" s="384"/>
      <c r="H386" s="351"/>
      <c r="I386" s="63"/>
      <c r="J386" s="63"/>
      <c r="K386" s="63"/>
    </row>
    <row r="387" spans="1:11">
      <c r="A387" s="383"/>
      <c r="B387" s="350"/>
      <c r="C387" s="350"/>
      <c r="D387" s="350"/>
      <c r="E387" s="350"/>
      <c r="F387" s="351"/>
      <c r="G387" s="384"/>
      <c r="H387" s="351"/>
      <c r="I387" s="63"/>
      <c r="J387" s="63"/>
      <c r="K387" s="63"/>
    </row>
    <row r="388" spans="1:11">
      <c r="A388" s="383"/>
      <c r="B388" s="350"/>
      <c r="C388" s="350"/>
      <c r="D388" s="350"/>
      <c r="E388" s="350"/>
      <c r="F388" s="351"/>
      <c r="G388" s="384"/>
      <c r="H388" s="351"/>
      <c r="I388" s="63"/>
      <c r="J388" s="63"/>
      <c r="K388" s="63"/>
    </row>
    <row r="389" spans="1:11">
      <c r="A389" s="383"/>
      <c r="B389" s="350"/>
      <c r="C389" s="350"/>
      <c r="D389" s="350"/>
      <c r="E389" s="350"/>
      <c r="F389" s="351"/>
      <c r="G389" s="384"/>
      <c r="H389" s="351"/>
      <c r="I389" s="63"/>
      <c r="J389" s="63"/>
      <c r="K389" s="63"/>
    </row>
    <row r="390" spans="1:11">
      <c r="A390" s="383"/>
      <c r="B390" s="350"/>
      <c r="C390" s="350"/>
      <c r="D390" s="350"/>
      <c r="E390" s="350"/>
      <c r="F390" s="351"/>
      <c r="G390" s="384"/>
      <c r="H390" s="351"/>
      <c r="I390" s="63"/>
      <c r="J390" s="63"/>
      <c r="K390" s="63"/>
    </row>
    <row r="391" spans="1:11" ht="14.25" customHeight="1">
      <c r="A391" s="383"/>
      <c r="B391" s="350"/>
      <c r="C391" s="350"/>
      <c r="D391" s="350"/>
      <c r="E391" s="350"/>
      <c r="F391" s="351"/>
      <c r="G391" s="384"/>
      <c r="H391" s="351"/>
      <c r="I391" s="63"/>
      <c r="J391" s="63"/>
      <c r="K391" s="63"/>
    </row>
    <row r="392" spans="1:11" ht="14.25" customHeight="1">
      <c r="A392" s="383"/>
      <c r="B392" s="350"/>
      <c r="C392" s="350"/>
      <c r="D392" s="350"/>
      <c r="E392" s="350"/>
      <c r="F392" s="351"/>
      <c r="G392" s="384"/>
      <c r="H392" s="351"/>
      <c r="I392" s="63"/>
      <c r="J392" s="63"/>
      <c r="K392" s="63"/>
    </row>
    <row r="393" spans="1:11" ht="14.25" customHeight="1">
      <c r="A393" s="383"/>
      <c r="B393" s="350"/>
      <c r="C393" s="350"/>
      <c r="D393" s="350"/>
      <c r="E393" s="350"/>
      <c r="F393" s="351"/>
      <c r="G393" s="384"/>
      <c r="H393" s="351"/>
      <c r="I393" s="63"/>
      <c r="J393" s="63"/>
      <c r="K393" s="63"/>
    </row>
    <row r="394" spans="1:11" ht="14.25" customHeight="1">
      <c r="A394" s="383"/>
      <c r="B394" s="350"/>
      <c r="C394" s="350"/>
      <c r="D394" s="350"/>
      <c r="E394" s="350"/>
      <c r="F394" s="351"/>
      <c r="G394" s="384"/>
      <c r="H394" s="351"/>
      <c r="I394" s="63"/>
      <c r="J394" s="63"/>
      <c r="K394" s="63"/>
    </row>
    <row r="395" spans="1:11" ht="14.25" customHeight="1">
      <c r="A395" s="383"/>
      <c r="B395" s="350"/>
      <c r="C395" s="350"/>
      <c r="D395" s="350"/>
      <c r="E395" s="350"/>
      <c r="F395" s="351"/>
      <c r="G395" s="384"/>
      <c r="H395" s="351"/>
      <c r="I395" s="63"/>
      <c r="J395" s="63"/>
      <c r="K395" s="63"/>
    </row>
    <row r="396" spans="1:11" ht="14.25" customHeight="1">
      <c r="A396" s="383"/>
      <c r="B396" s="350"/>
      <c r="C396" s="350"/>
      <c r="D396" s="350"/>
      <c r="E396" s="350"/>
      <c r="F396" s="351"/>
      <c r="G396" s="384"/>
      <c r="H396" s="351"/>
      <c r="I396" s="63"/>
      <c r="J396" s="63"/>
      <c r="K396" s="63"/>
    </row>
    <row r="397" spans="1:11" ht="14.25" customHeight="1">
      <c r="A397" s="383"/>
      <c r="B397" s="350"/>
      <c r="C397" s="350"/>
      <c r="D397" s="350"/>
      <c r="E397" s="350"/>
      <c r="F397" s="351"/>
      <c r="G397" s="384"/>
      <c r="H397" s="351"/>
      <c r="I397" s="63"/>
      <c r="J397" s="63"/>
      <c r="K397" s="63"/>
    </row>
    <row r="398" spans="1:11" ht="14.25" customHeight="1">
      <c r="A398" s="383"/>
      <c r="B398" s="350"/>
      <c r="C398" s="350"/>
      <c r="D398" s="350"/>
      <c r="E398" s="350"/>
      <c r="F398" s="351"/>
      <c r="G398" s="335"/>
      <c r="H398" s="351"/>
      <c r="I398" s="63"/>
      <c r="J398" s="63"/>
      <c r="K398" s="63"/>
    </row>
    <row r="399" spans="1:11" ht="14.25" customHeight="1">
      <c r="A399" s="383"/>
      <c r="B399" s="350"/>
      <c r="C399" s="350"/>
      <c r="D399" s="350"/>
      <c r="E399" s="350"/>
      <c r="F399" s="351"/>
      <c r="G399" s="384"/>
      <c r="H399" s="351"/>
      <c r="I399" s="63"/>
      <c r="J399" s="63"/>
      <c r="K399" s="63"/>
    </row>
    <row r="400" spans="1:11" ht="14.25" customHeight="1">
      <c r="A400" s="383"/>
      <c r="B400" s="350"/>
      <c r="C400" s="350"/>
      <c r="D400" s="350"/>
      <c r="E400" s="350"/>
      <c r="F400" s="351"/>
      <c r="G400" s="335"/>
      <c r="H400" s="351"/>
      <c r="I400" s="63"/>
      <c r="J400" s="63"/>
      <c r="K400" s="63"/>
    </row>
    <row r="401" spans="1:11" ht="14.25" customHeight="1">
      <c r="A401" s="383"/>
      <c r="B401" s="350"/>
      <c r="C401" s="350"/>
      <c r="D401" s="350"/>
      <c r="E401" s="350"/>
      <c r="F401" s="351"/>
      <c r="G401" s="384"/>
      <c r="H401" s="351"/>
      <c r="I401" s="63"/>
      <c r="J401" s="63"/>
      <c r="K401" s="63"/>
    </row>
    <row r="402" spans="1:11" ht="14.25" customHeight="1">
      <c r="A402" s="383"/>
      <c r="B402" s="350"/>
      <c r="C402" s="350"/>
      <c r="D402" s="350"/>
      <c r="E402" s="350"/>
      <c r="F402" s="351"/>
      <c r="G402" s="384"/>
      <c r="H402" s="351"/>
      <c r="I402" s="63"/>
      <c r="J402" s="63"/>
      <c r="K402" s="63"/>
    </row>
    <row r="403" spans="1:11" ht="14.25" customHeight="1">
      <c r="A403" s="383"/>
      <c r="B403" s="350"/>
      <c r="C403" s="350"/>
      <c r="D403" s="350"/>
      <c r="E403" s="350"/>
      <c r="F403" s="351"/>
      <c r="G403" s="384"/>
      <c r="H403" s="351"/>
      <c r="I403" s="63"/>
      <c r="J403" s="63"/>
      <c r="K403" s="63"/>
    </row>
    <row r="404" spans="1:11" ht="14.25" customHeight="1">
      <c r="A404" s="383"/>
      <c r="B404" s="350"/>
      <c r="C404" s="350"/>
      <c r="D404" s="350"/>
      <c r="E404" s="350"/>
      <c r="F404" s="351"/>
      <c r="G404" s="384"/>
      <c r="H404" s="351"/>
      <c r="I404" s="63"/>
      <c r="J404" s="63"/>
      <c r="K404" s="63"/>
    </row>
    <row r="405" spans="1:11" ht="14.25" customHeight="1">
      <c r="A405" s="383"/>
      <c r="B405" s="350"/>
      <c r="C405" s="350"/>
      <c r="D405" s="350"/>
      <c r="E405" s="350"/>
      <c r="F405" s="351"/>
      <c r="G405" s="384"/>
      <c r="H405" s="351"/>
      <c r="I405" s="63"/>
      <c r="J405" s="63"/>
      <c r="K405" s="63"/>
    </row>
    <row r="406" spans="1:11" ht="14.25" customHeight="1">
      <c r="A406" s="383"/>
      <c r="B406" s="350"/>
      <c r="C406" s="350"/>
      <c r="D406" s="350"/>
      <c r="E406" s="350"/>
      <c r="F406" s="351"/>
      <c r="G406" s="335"/>
      <c r="H406" s="351"/>
      <c r="I406" s="63"/>
      <c r="J406" s="63"/>
      <c r="K406" s="63"/>
    </row>
    <row r="407" spans="1:11" ht="14.25" customHeight="1">
      <c r="A407" s="383"/>
      <c r="B407" s="350"/>
      <c r="C407" s="350"/>
      <c r="D407" s="350"/>
      <c r="E407" s="350"/>
      <c r="F407" s="351"/>
      <c r="G407" s="384"/>
      <c r="H407" s="351"/>
      <c r="I407" s="63"/>
      <c r="J407" s="63"/>
      <c r="K407" s="63"/>
    </row>
    <row r="408" spans="1:11" ht="14.25" customHeight="1">
      <c r="A408" s="383"/>
      <c r="B408" s="350"/>
      <c r="C408" s="350"/>
      <c r="D408" s="350"/>
      <c r="E408" s="350"/>
      <c r="F408" s="351"/>
      <c r="G408" s="384"/>
      <c r="H408" s="351"/>
      <c r="I408" s="63"/>
      <c r="J408" s="63"/>
      <c r="K408" s="63"/>
    </row>
    <row r="409" spans="1:11" ht="14.25" customHeight="1">
      <c r="A409" s="383"/>
      <c r="B409" s="350"/>
      <c r="C409" s="350"/>
      <c r="D409" s="350"/>
      <c r="E409" s="350"/>
      <c r="F409" s="351"/>
      <c r="G409" s="384"/>
      <c r="H409" s="351"/>
      <c r="I409" s="63"/>
      <c r="J409" s="63"/>
      <c r="K409" s="63"/>
    </row>
    <row r="410" spans="1:11" ht="14.25" customHeight="1">
      <c r="A410" s="383"/>
      <c r="B410" s="350"/>
      <c r="C410" s="350"/>
      <c r="D410" s="350"/>
      <c r="E410" s="350"/>
      <c r="F410" s="351"/>
      <c r="G410" s="384"/>
      <c r="H410" s="351"/>
      <c r="I410" s="63"/>
      <c r="J410" s="63"/>
      <c r="K410" s="63"/>
    </row>
    <row r="411" spans="1:11" ht="14.25" customHeight="1">
      <c r="A411" s="383"/>
      <c r="B411" s="350"/>
      <c r="C411" s="350"/>
      <c r="D411" s="350"/>
      <c r="E411" s="350"/>
      <c r="F411" s="351"/>
      <c r="G411" s="384"/>
      <c r="H411" s="351"/>
      <c r="I411" s="63"/>
      <c r="J411" s="63"/>
      <c r="K411" s="63"/>
    </row>
    <row r="412" spans="1:11" ht="14.25" customHeight="1">
      <c r="A412" s="383"/>
      <c r="B412" s="350"/>
      <c r="C412" s="350"/>
      <c r="D412" s="350"/>
      <c r="E412" s="350"/>
      <c r="F412" s="351"/>
      <c r="G412" s="384"/>
      <c r="H412" s="351"/>
      <c r="I412" s="63"/>
      <c r="J412" s="63"/>
      <c r="K412" s="63"/>
    </row>
    <row r="413" spans="1:11" ht="14.25" customHeight="1">
      <c r="A413" s="383"/>
      <c r="B413" s="350"/>
      <c r="C413" s="350"/>
      <c r="D413" s="350"/>
      <c r="E413" s="350"/>
      <c r="F413" s="351"/>
      <c r="G413" s="335"/>
      <c r="H413" s="351"/>
      <c r="I413" s="63"/>
      <c r="J413" s="63"/>
      <c r="K413" s="63"/>
    </row>
    <row r="414" spans="1:11" ht="14.25" customHeight="1">
      <c r="A414" s="383"/>
      <c r="B414" s="350"/>
      <c r="C414" s="350"/>
      <c r="D414" s="350"/>
      <c r="E414" s="350"/>
      <c r="F414" s="351"/>
      <c r="G414" s="384"/>
      <c r="H414" s="351"/>
      <c r="I414" s="63"/>
      <c r="J414" s="63"/>
      <c r="K414" s="63"/>
    </row>
    <row r="415" spans="1:11" ht="14.25" customHeight="1">
      <c r="A415" s="383"/>
      <c r="B415" s="350"/>
      <c r="C415" s="350"/>
      <c r="D415" s="350"/>
      <c r="E415" s="350"/>
      <c r="F415" s="351"/>
      <c r="G415" s="384"/>
      <c r="H415" s="351"/>
      <c r="I415" s="63"/>
      <c r="J415" s="63"/>
      <c r="K415" s="63"/>
    </row>
    <row r="416" spans="1:11" ht="14.25" customHeight="1">
      <c r="A416" s="383"/>
      <c r="B416" s="350"/>
      <c r="C416" s="350"/>
      <c r="D416" s="350"/>
      <c r="E416" s="350"/>
      <c r="F416" s="351"/>
      <c r="G416" s="384"/>
      <c r="H416" s="351"/>
      <c r="I416" s="63"/>
      <c r="J416" s="63"/>
      <c r="K416" s="63"/>
    </row>
    <row r="417" spans="1:11" ht="14.25" customHeight="1">
      <c r="A417" s="383"/>
      <c r="B417" s="350"/>
      <c r="C417" s="350"/>
      <c r="D417" s="350"/>
      <c r="E417" s="350"/>
      <c r="F417" s="351"/>
      <c r="G417" s="384"/>
      <c r="H417" s="351"/>
      <c r="I417" s="63"/>
      <c r="J417" s="63"/>
      <c r="K417" s="63"/>
    </row>
    <row r="418" spans="1:11" ht="14.25" customHeight="1">
      <c r="A418" s="383"/>
      <c r="B418" s="350"/>
      <c r="C418" s="350"/>
      <c r="D418" s="350"/>
      <c r="E418" s="350"/>
      <c r="F418" s="351"/>
      <c r="G418" s="384"/>
      <c r="H418" s="351"/>
      <c r="I418" s="63"/>
      <c r="J418" s="63"/>
      <c r="K418" s="63"/>
    </row>
    <row r="419" spans="1:11" ht="14.25" customHeight="1">
      <c r="A419" s="383"/>
      <c r="B419" s="350"/>
      <c r="C419" s="350"/>
      <c r="D419" s="350"/>
      <c r="E419" s="350"/>
      <c r="F419" s="351"/>
      <c r="G419" s="384"/>
      <c r="H419" s="351"/>
      <c r="I419" s="63"/>
      <c r="J419" s="63"/>
      <c r="K419" s="63"/>
    </row>
    <row r="420" spans="1:11" ht="14.25" customHeight="1">
      <c r="A420" s="383"/>
      <c r="B420" s="350"/>
      <c r="C420" s="350"/>
      <c r="D420" s="350"/>
      <c r="E420" s="350"/>
      <c r="F420" s="351"/>
      <c r="G420" s="384"/>
      <c r="H420" s="351"/>
      <c r="I420" s="63"/>
      <c r="J420" s="63"/>
      <c r="K420" s="63"/>
    </row>
    <row r="421" spans="1:11" ht="14.25" customHeight="1">
      <c r="A421" s="383"/>
      <c r="B421" s="350"/>
      <c r="C421" s="350"/>
      <c r="D421" s="350"/>
      <c r="E421" s="350"/>
      <c r="F421" s="351"/>
      <c r="G421" s="335"/>
      <c r="H421" s="351"/>
      <c r="I421" s="63"/>
      <c r="J421" s="63"/>
      <c r="K421" s="63"/>
    </row>
    <row r="422" spans="1:11" ht="14.25" customHeight="1">
      <c r="A422" s="383"/>
      <c r="B422" s="350"/>
      <c r="C422" s="385"/>
      <c r="D422" s="350"/>
      <c r="E422" s="350"/>
      <c r="F422" s="352"/>
      <c r="G422" s="384"/>
      <c r="H422" s="352"/>
      <c r="I422" s="63"/>
      <c r="J422" s="63"/>
      <c r="K422" s="63"/>
    </row>
    <row r="423" spans="1:11" ht="14.25" customHeight="1">
      <c r="A423" s="383"/>
      <c r="B423" s="350"/>
      <c r="C423" s="385"/>
      <c r="D423" s="350"/>
      <c r="E423" s="350"/>
      <c r="F423" s="352"/>
      <c r="G423" s="384"/>
      <c r="H423" s="352"/>
      <c r="I423" s="63"/>
      <c r="J423" s="63"/>
      <c r="K423" s="63"/>
    </row>
    <row r="424" spans="1:11" ht="14.25" customHeight="1">
      <c r="A424" s="383"/>
      <c r="B424" s="350"/>
      <c r="C424" s="350"/>
      <c r="D424" s="350"/>
      <c r="E424" s="350"/>
      <c r="F424" s="351"/>
      <c r="G424" s="386"/>
      <c r="H424" s="351"/>
      <c r="I424" s="63"/>
      <c r="J424" s="63"/>
      <c r="K424" s="63"/>
    </row>
    <row r="425" spans="1:11" ht="14.25" customHeight="1">
      <c r="A425" s="383"/>
      <c r="B425" s="350"/>
      <c r="C425" s="350"/>
      <c r="D425" s="350"/>
      <c r="E425" s="350"/>
      <c r="F425" s="351"/>
      <c r="G425" s="386"/>
      <c r="H425" s="351"/>
      <c r="I425" s="63"/>
      <c r="J425" s="63"/>
      <c r="K425" s="63"/>
    </row>
    <row r="426" spans="1:11" ht="14.25" customHeight="1">
      <c r="A426" s="383"/>
      <c r="B426" s="350"/>
      <c r="C426" s="350"/>
      <c r="D426" s="350"/>
      <c r="E426" s="350"/>
      <c r="F426" s="351"/>
      <c r="G426" s="386"/>
      <c r="H426" s="351"/>
      <c r="I426" s="63"/>
      <c r="J426" s="63"/>
      <c r="K426" s="63"/>
    </row>
    <row r="427" spans="1:11" ht="14.25" customHeight="1">
      <c r="A427" s="383"/>
      <c r="B427" s="350"/>
      <c r="C427" s="350"/>
      <c r="D427" s="350"/>
      <c r="E427" s="350"/>
      <c r="F427" s="351"/>
      <c r="G427" s="386"/>
      <c r="H427" s="351"/>
      <c r="I427" s="63"/>
      <c r="J427" s="63"/>
      <c r="K427" s="63"/>
    </row>
    <row r="428" spans="1:11" ht="14.25" customHeight="1">
      <c r="A428" s="383"/>
      <c r="B428" s="350"/>
      <c r="C428" s="350"/>
      <c r="D428" s="350"/>
      <c r="E428" s="350"/>
      <c r="F428" s="351"/>
      <c r="G428" s="386"/>
      <c r="H428" s="351"/>
      <c r="I428" s="63"/>
      <c r="J428" s="63"/>
      <c r="K428" s="63"/>
    </row>
    <row r="429" spans="1:11" ht="14.25" customHeight="1">
      <c r="A429" s="93"/>
      <c r="B429" s="82"/>
      <c r="C429" s="387"/>
      <c r="D429" s="105"/>
      <c r="E429" s="105"/>
      <c r="F429" s="140"/>
      <c r="G429" s="109"/>
      <c r="H429" s="140"/>
      <c r="I429" s="94"/>
      <c r="J429" s="94"/>
      <c r="K429" s="94"/>
    </row>
    <row r="430" spans="1:11" ht="14.25" customHeight="1">
      <c r="A430" s="93"/>
      <c r="B430" s="82"/>
      <c r="C430" s="387"/>
      <c r="D430" s="105"/>
      <c r="E430" s="105"/>
      <c r="F430" s="140"/>
      <c r="G430" s="109"/>
      <c r="H430" s="140"/>
      <c r="I430" s="94"/>
      <c r="J430" s="94"/>
      <c r="K430" s="94"/>
    </row>
    <row r="431" spans="1:11" ht="14.25" customHeight="1">
      <c r="A431" s="93"/>
      <c r="B431" s="82"/>
      <c r="C431" s="387"/>
      <c r="D431" s="105"/>
      <c r="E431" s="105"/>
      <c r="F431" s="140"/>
      <c r="G431" s="109"/>
      <c r="H431" s="140"/>
      <c r="I431" s="94"/>
      <c r="J431" s="94"/>
      <c r="K431" s="94"/>
    </row>
    <row r="432" spans="1:11" ht="14.25" customHeight="1">
      <c r="A432" s="93"/>
      <c r="B432" s="82"/>
      <c r="C432" s="105"/>
      <c r="D432" s="105"/>
      <c r="E432" s="105"/>
      <c r="F432" s="140"/>
      <c r="G432" s="109"/>
      <c r="H432" s="140"/>
      <c r="I432" s="94"/>
      <c r="J432" s="94"/>
      <c r="K432" s="94"/>
    </row>
    <row r="433" spans="1:11" ht="14.25" customHeight="1">
      <c r="A433" s="93"/>
      <c r="B433" s="82"/>
      <c r="C433" s="105"/>
      <c r="D433" s="105"/>
      <c r="E433" s="105"/>
      <c r="F433" s="140"/>
      <c r="G433" s="109"/>
      <c r="H433" s="140"/>
      <c r="I433" s="94"/>
      <c r="J433" s="94"/>
      <c r="K433" s="94"/>
    </row>
    <row r="434" spans="1:11" ht="14.25" customHeight="1">
      <c r="A434" s="93"/>
      <c r="B434" s="82"/>
      <c r="C434" s="105"/>
      <c r="D434" s="105"/>
      <c r="E434" s="105"/>
      <c r="F434" s="140"/>
      <c r="G434" s="109"/>
      <c r="H434" s="140"/>
      <c r="I434" s="94"/>
      <c r="J434" s="94"/>
      <c r="K434" s="94"/>
    </row>
    <row r="435" spans="1:11" ht="14.25" customHeight="1">
      <c r="A435" s="93"/>
      <c r="B435" s="82"/>
      <c r="C435" s="105"/>
      <c r="D435" s="105"/>
      <c r="E435" s="105"/>
      <c r="F435" s="140"/>
      <c r="G435" s="109"/>
      <c r="H435" s="140"/>
      <c r="I435" s="94"/>
      <c r="J435" s="94"/>
      <c r="K435" s="94"/>
    </row>
    <row r="436" spans="1:11" ht="14.25" customHeight="1">
      <c r="A436" s="93"/>
      <c r="B436" s="82"/>
      <c r="C436" s="105"/>
      <c r="D436" s="105"/>
      <c r="E436" s="105"/>
      <c r="F436" s="140"/>
      <c r="G436" s="109"/>
      <c r="H436" s="140"/>
      <c r="I436" s="94"/>
      <c r="J436" s="94"/>
      <c r="K436" s="94"/>
    </row>
    <row r="437" spans="1:11" ht="14.25" customHeight="1">
      <c r="A437" s="125"/>
      <c r="B437" s="127"/>
      <c r="C437" s="125"/>
      <c r="D437" s="125"/>
      <c r="E437" s="105"/>
      <c r="F437" s="243"/>
      <c r="G437" s="109"/>
      <c r="H437" s="243"/>
      <c r="I437" s="94"/>
      <c r="J437" s="94"/>
      <c r="K437" s="94"/>
    </row>
    <row r="438" spans="1:11" ht="14.25" customHeight="1">
      <c r="A438" s="125"/>
      <c r="B438" s="127"/>
      <c r="C438" s="125"/>
      <c r="D438" s="125"/>
      <c r="E438" s="105"/>
      <c r="F438" s="243"/>
      <c r="G438" s="109"/>
      <c r="H438" s="243"/>
      <c r="I438" s="94"/>
      <c r="J438" s="94"/>
      <c r="K438" s="94"/>
    </row>
    <row r="439" spans="1:11" ht="14.25" customHeight="1">
      <c r="A439" s="125"/>
      <c r="B439" s="127"/>
      <c r="C439" s="125"/>
      <c r="D439" s="125"/>
      <c r="E439" s="105"/>
      <c r="F439" s="243"/>
      <c r="G439" s="109"/>
      <c r="H439" s="243"/>
      <c r="I439" s="94"/>
      <c r="J439" s="94"/>
      <c r="K439" s="94"/>
    </row>
    <row r="440" spans="1:11" ht="14.25" customHeight="1">
      <c r="A440" s="125"/>
      <c r="B440" s="127"/>
      <c r="C440" s="125"/>
      <c r="D440" s="125"/>
      <c r="E440" s="105"/>
      <c r="F440" s="243"/>
      <c r="G440" s="109"/>
      <c r="H440" s="243"/>
      <c r="I440" s="94"/>
      <c r="J440" s="94"/>
      <c r="K440" s="94"/>
    </row>
    <row r="441" spans="1:11" ht="14.25" customHeight="1">
      <c r="A441" s="125"/>
      <c r="B441" s="127"/>
      <c r="C441" s="125"/>
      <c r="D441" s="125"/>
      <c r="E441" s="105"/>
      <c r="F441" s="243"/>
      <c r="G441" s="109"/>
      <c r="H441" s="243"/>
      <c r="I441" s="94"/>
      <c r="J441" s="94"/>
      <c r="K441" s="94"/>
    </row>
    <row r="442" spans="1:11" ht="14.25" customHeight="1">
      <c r="A442" s="125"/>
      <c r="B442" s="127"/>
      <c r="C442" s="125"/>
      <c r="D442" s="125"/>
      <c r="E442" s="105"/>
      <c r="F442" s="243"/>
      <c r="G442" s="109"/>
      <c r="H442" s="243"/>
      <c r="I442" s="94"/>
      <c r="J442" s="94"/>
      <c r="K442" s="94"/>
    </row>
    <row r="443" spans="1:11" ht="14.25" customHeight="1">
      <c r="A443" s="125"/>
      <c r="B443" s="127"/>
      <c r="C443" s="125"/>
      <c r="D443" s="125"/>
      <c r="E443" s="105"/>
      <c r="F443" s="243"/>
      <c r="G443" s="109"/>
      <c r="H443" s="243"/>
      <c r="I443" s="94"/>
      <c r="J443" s="94"/>
      <c r="K443" s="94"/>
    </row>
    <row r="444" spans="1:11" ht="14.25" customHeight="1">
      <c r="A444" s="125"/>
      <c r="B444" s="127"/>
      <c r="C444" s="125"/>
      <c r="D444" s="125"/>
      <c r="E444" s="105"/>
      <c r="F444" s="243"/>
      <c r="G444" s="109"/>
      <c r="H444" s="243"/>
      <c r="I444" s="94"/>
      <c r="J444" s="94"/>
      <c r="K444" s="94"/>
    </row>
    <row r="445" spans="1:11" ht="14.25" customHeight="1">
      <c r="A445" s="125"/>
      <c r="B445" s="127"/>
      <c r="C445" s="125"/>
      <c r="D445" s="125"/>
      <c r="E445" s="105"/>
      <c r="F445" s="243"/>
      <c r="G445" s="109"/>
      <c r="H445" s="243"/>
      <c r="I445" s="94"/>
      <c r="J445" s="94"/>
      <c r="K445" s="94"/>
    </row>
    <row r="446" spans="1:11" ht="14.25" customHeight="1">
      <c r="A446" s="125"/>
      <c r="B446" s="127"/>
      <c r="C446" s="125"/>
      <c r="D446" s="125"/>
      <c r="E446" s="105"/>
      <c r="F446" s="243"/>
      <c r="G446" s="109"/>
      <c r="H446" s="243"/>
      <c r="I446" s="94"/>
      <c r="J446" s="94"/>
      <c r="K446" s="94"/>
    </row>
    <row r="447" spans="1:11" ht="14.25" customHeight="1">
      <c r="A447" s="125"/>
      <c r="B447" s="127"/>
      <c r="C447" s="125"/>
      <c r="D447" s="125"/>
      <c r="E447" s="105"/>
      <c r="F447" s="243"/>
      <c r="G447" s="109"/>
      <c r="H447" s="243"/>
      <c r="I447" s="94"/>
      <c r="J447" s="94"/>
      <c r="K447" s="94"/>
    </row>
    <row r="448" spans="1:11" ht="14.25" customHeight="1">
      <c r="A448" s="125"/>
      <c r="B448" s="127"/>
      <c r="C448" s="125"/>
      <c r="D448" s="125"/>
      <c r="E448" s="105"/>
      <c r="F448" s="243"/>
      <c r="G448" s="109"/>
      <c r="H448" s="243"/>
      <c r="I448" s="94"/>
      <c r="J448" s="94"/>
      <c r="K448" s="94"/>
    </row>
    <row r="449" spans="1:11" ht="14.25" customHeight="1">
      <c r="A449" s="125"/>
      <c r="B449" s="127"/>
      <c r="C449" s="125"/>
      <c r="D449" s="125"/>
      <c r="E449" s="105"/>
      <c r="F449" s="243"/>
      <c r="G449" s="109"/>
      <c r="H449" s="243"/>
      <c r="I449" s="94"/>
      <c r="J449" s="94"/>
      <c r="K449" s="94"/>
    </row>
    <row r="450" spans="1:11" ht="14.25" customHeight="1">
      <c r="A450" s="125"/>
      <c r="B450" s="127"/>
      <c r="C450" s="125"/>
      <c r="D450" s="125"/>
      <c r="E450" s="105"/>
      <c r="F450" s="243"/>
      <c r="G450" s="109"/>
      <c r="H450" s="243"/>
      <c r="I450" s="94"/>
      <c r="J450" s="94"/>
      <c r="K450" s="94"/>
    </row>
    <row r="451" spans="1:11" ht="14.25" customHeight="1">
      <c r="A451" s="125"/>
      <c r="B451" s="127"/>
      <c r="C451" s="125"/>
      <c r="D451" s="125"/>
      <c r="E451" s="105"/>
      <c r="F451" s="243"/>
      <c r="G451" s="109"/>
      <c r="H451" s="243"/>
      <c r="I451" s="94"/>
      <c r="J451" s="94"/>
      <c r="K451" s="94"/>
    </row>
    <row r="452" spans="1:11" ht="14.25" customHeight="1">
      <c r="A452" s="125"/>
      <c r="B452" s="127"/>
      <c r="C452" s="125"/>
      <c r="D452" s="125"/>
      <c r="E452" s="105"/>
      <c r="F452" s="243"/>
      <c r="G452" s="109"/>
      <c r="H452" s="243"/>
      <c r="I452" s="94"/>
      <c r="J452" s="94"/>
      <c r="K452" s="94"/>
    </row>
    <row r="453" spans="1:11" ht="14.25" customHeight="1">
      <c r="A453" s="125"/>
      <c r="B453" s="127"/>
      <c r="C453" s="125"/>
      <c r="D453" s="125"/>
      <c r="E453" s="105"/>
      <c r="F453" s="243"/>
      <c r="G453" s="109"/>
      <c r="H453" s="243"/>
      <c r="I453" s="94"/>
      <c r="J453" s="94"/>
      <c r="K453" s="94"/>
    </row>
    <row r="454" spans="1:11" ht="14.25" customHeight="1">
      <c r="A454" s="125"/>
      <c r="B454" s="127"/>
      <c r="C454" s="125"/>
      <c r="D454" s="125"/>
      <c r="E454" s="105"/>
      <c r="F454" s="243"/>
      <c r="G454" s="109"/>
      <c r="H454" s="243"/>
      <c r="I454" s="94"/>
      <c r="J454" s="94"/>
      <c r="K454" s="94"/>
    </row>
    <row r="455" spans="1:11" ht="14.25" customHeight="1">
      <c r="A455" s="125"/>
      <c r="B455" s="127"/>
      <c r="C455" s="125"/>
      <c r="D455" s="125"/>
      <c r="E455" s="105"/>
      <c r="F455" s="243"/>
      <c r="G455" s="109"/>
      <c r="H455" s="243"/>
      <c r="I455" s="94"/>
      <c r="J455" s="94"/>
      <c r="K455" s="94"/>
    </row>
    <row r="456" spans="1:11" ht="14.25" customHeight="1">
      <c r="A456" s="125"/>
      <c r="B456" s="127"/>
      <c r="C456" s="125"/>
      <c r="D456" s="125"/>
      <c r="E456" s="105"/>
      <c r="F456" s="243"/>
      <c r="G456" s="109"/>
      <c r="H456" s="243"/>
      <c r="I456" s="94"/>
      <c r="J456" s="94"/>
      <c r="K456" s="94"/>
    </row>
    <row r="457" spans="1:11" ht="14.25" customHeight="1">
      <c r="A457" s="125"/>
      <c r="B457" s="127"/>
      <c r="C457" s="125"/>
      <c r="D457" s="125"/>
      <c r="E457" s="105"/>
      <c r="F457" s="243"/>
      <c r="G457" s="109"/>
      <c r="H457" s="243"/>
      <c r="I457" s="94"/>
      <c r="J457" s="94"/>
      <c r="K457" s="94"/>
    </row>
    <row r="458" spans="1:11" ht="14.25" customHeight="1">
      <c r="A458" s="125"/>
      <c r="B458" s="127"/>
      <c r="C458" s="125"/>
      <c r="D458" s="125"/>
      <c r="E458" s="105"/>
      <c r="F458" s="243"/>
      <c r="G458" s="109"/>
      <c r="H458" s="243"/>
      <c r="I458" s="94"/>
      <c r="J458" s="94"/>
      <c r="K458" s="94"/>
    </row>
    <row r="459" spans="1:11" ht="14.25" customHeight="1">
      <c r="A459" s="125"/>
      <c r="B459" s="127"/>
      <c r="C459" s="125"/>
      <c r="D459" s="125"/>
      <c r="E459" s="105"/>
      <c r="F459" s="243"/>
      <c r="G459" s="109"/>
      <c r="H459" s="243"/>
      <c r="I459" s="94"/>
      <c r="J459" s="94"/>
      <c r="K459" s="94"/>
    </row>
    <row r="460" spans="1:11" ht="14.25" customHeight="1">
      <c r="A460" s="125"/>
      <c r="B460" s="127"/>
      <c r="C460" s="125"/>
      <c r="D460" s="125"/>
      <c r="E460" s="105"/>
      <c r="F460" s="243"/>
      <c r="G460" s="109"/>
      <c r="H460" s="243"/>
      <c r="I460" s="94"/>
      <c r="J460" s="94"/>
      <c r="K460" s="94"/>
    </row>
    <row r="461" spans="1:11" ht="14.25" customHeight="1">
      <c r="A461" s="125"/>
      <c r="B461" s="127"/>
      <c r="C461" s="125"/>
      <c r="D461" s="125"/>
      <c r="E461" s="105"/>
      <c r="F461" s="243"/>
      <c r="G461" s="109"/>
      <c r="H461" s="243"/>
      <c r="I461" s="94"/>
      <c r="J461" s="94"/>
      <c r="K461" s="94"/>
    </row>
    <row r="462" spans="1:11" ht="14.25" customHeight="1">
      <c r="A462" s="125"/>
      <c r="B462" s="127"/>
      <c r="C462" s="125"/>
      <c r="D462" s="125"/>
      <c r="E462" s="105"/>
      <c r="F462" s="243"/>
      <c r="G462" s="109"/>
      <c r="H462" s="243"/>
      <c r="I462" s="94"/>
      <c r="J462" s="94"/>
      <c r="K462" s="94"/>
    </row>
    <row r="463" spans="1:11" ht="14.25" customHeight="1">
      <c r="A463" s="125"/>
      <c r="B463" s="127"/>
      <c r="C463" s="125"/>
      <c r="D463" s="125"/>
      <c r="E463" s="105"/>
      <c r="F463" s="243"/>
      <c r="G463" s="109"/>
      <c r="H463" s="243"/>
      <c r="I463" s="94"/>
      <c r="J463" s="94"/>
      <c r="K463" s="94"/>
    </row>
    <row r="464" spans="1:11" ht="14.25" customHeight="1">
      <c r="A464" s="125"/>
      <c r="B464" s="127"/>
      <c r="C464" s="125"/>
      <c r="D464" s="125"/>
      <c r="E464" s="105"/>
      <c r="F464" s="243"/>
      <c r="G464" s="109"/>
      <c r="H464" s="243"/>
      <c r="I464" s="94"/>
      <c r="J464" s="94"/>
      <c r="K464" s="94"/>
    </row>
    <row r="465" spans="1:11" ht="14.25" customHeight="1">
      <c r="A465" s="125"/>
      <c r="B465" s="127"/>
      <c r="C465" s="125"/>
      <c r="D465" s="125"/>
      <c r="E465" s="105"/>
      <c r="F465" s="243"/>
      <c r="G465" s="109"/>
      <c r="H465" s="243"/>
      <c r="I465" s="94"/>
      <c r="J465" s="94"/>
      <c r="K465" s="94"/>
    </row>
    <row r="466" spans="1:11" ht="14.25" customHeight="1">
      <c r="A466" s="125"/>
      <c r="B466" s="127"/>
      <c r="C466" s="125"/>
      <c r="D466" s="125"/>
      <c r="E466" s="105"/>
      <c r="F466" s="243"/>
      <c r="G466" s="109"/>
      <c r="H466" s="243"/>
      <c r="I466" s="94"/>
      <c r="J466" s="94"/>
      <c r="K466" s="94"/>
    </row>
    <row r="467" spans="1:11" ht="14.25" customHeight="1">
      <c r="A467" s="125"/>
      <c r="B467" s="127"/>
      <c r="C467" s="125"/>
      <c r="D467" s="125"/>
      <c r="E467" s="105"/>
      <c r="F467" s="243"/>
      <c r="G467" s="109"/>
      <c r="H467" s="243"/>
      <c r="I467" s="94"/>
      <c r="J467" s="94"/>
      <c r="K467" s="94"/>
    </row>
    <row r="468" spans="1:11" ht="14.25" customHeight="1">
      <c r="A468" s="125"/>
      <c r="B468" s="127"/>
      <c r="C468" s="125"/>
      <c r="D468" s="125"/>
      <c r="E468" s="105"/>
      <c r="F468" s="243"/>
      <c r="G468" s="109"/>
      <c r="H468" s="243"/>
      <c r="I468" s="94"/>
      <c r="J468" s="94"/>
      <c r="K468" s="94"/>
    </row>
    <row r="469" spans="1:11" ht="14.25" customHeight="1">
      <c r="A469" s="125"/>
      <c r="B469" s="127"/>
      <c r="C469" s="125"/>
      <c r="D469" s="125"/>
      <c r="E469" s="105"/>
      <c r="F469" s="243"/>
      <c r="G469" s="109"/>
      <c r="H469" s="243"/>
      <c r="I469" s="94"/>
      <c r="J469" s="94"/>
      <c r="K469" s="94"/>
    </row>
    <row r="470" spans="1:11" ht="14.25" customHeight="1">
      <c r="A470" s="125"/>
      <c r="B470" s="127"/>
      <c r="C470" s="125"/>
      <c r="D470" s="125"/>
      <c r="E470" s="105"/>
      <c r="F470" s="243"/>
      <c r="G470" s="109"/>
      <c r="H470" s="243"/>
      <c r="I470" s="94"/>
      <c r="J470" s="94"/>
      <c r="K470" s="94"/>
    </row>
    <row r="471" spans="1:11" ht="14.25" customHeight="1">
      <c r="A471" s="125"/>
      <c r="B471" s="127"/>
      <c r="C471" s="125"/>
      <c r="D471" s="125"/>
      <c r="E471" s="105"/>
      <c r="F471" s="243"/>
      <c r="G471" s="109"/>
      <c r="H471" s="243"/>
      <c r="I471" s="94"/>
      <c r="J471" s="94"/>
      <c r="K471" s="94"/>
    </row>
    <row r="472" spans="1:11" ht="14.25" customHeight="1">
      <c r="A472" s="125"/>
      <c r="B472" s="127"/>
      <c r="C472" s="125"/>
      <c r="D472" s="125"/>
      <c r="E472" s="105"/>
      <c r="F472" s="243"/>
      <c r="G472" s="109"/>
      <c r="H472" s="243"/>
      <c r="I472" s="94"/>
      <c r="J472" s="94"/>
      <c r="K472" s="94"/>
    </row>
    <row r="473" spans="1:11" ht="14.25" customHeight="1">
      <c r="A473" s="125"/>
      <c r="B473" s="127"/>
      <c r="C473" s="125"/>
      <c r="D473" s="125"/>
      <c r="E473" s="105"/>
      <c r="F473" s="243"/>
      <c r="G473" s="109"/>
      <c r="H473" s="243"/>
      <c r="I473" s="94"/>
      <c r="J473" s="94"/>
      <c r="K473" s="94"/>
    </row>
    <row r="474" spans="1:11" ht="14.25" customHeight="1">
      <c r="A474" s="125"/>
      <c r="B474" s="127"/>
      <c r="C474" s="125"/>
      <c r="D474" s="125"/>
      <c r="E474" s="105"/>
      <c r="F474" s="243"/>
      <c r="G474" s="109"/>
      <c r="H474" s="243"/>
      <c r="I474" s="94"/>
      <c r="J474" s="94"/>
      <c r="K474" s="94"/>
    </row>
    <row r="475" spans="1:11" ht="14.25" customHeight="1">
      <c r="A475" s="125"/>
      <c r="B475" s="127"/>
      <c r="C475" s="125"/>
      <c r="D475" s="125"/>
      <c r="E475" s="105"/>
      <c r="F475" s="243"/>
      <c r="G475" s="109"/>
      <c r="H475" s="243"/>
      <c r="I475" s="94"/>
      <c r="J475" s="94"/>
      <c r="K475" s="94"/>
    </row>
    <row r="476" spans="1:11" ht="14.25" customHeight="1">
      <c r="A476" s="125"/>
      <c r="B476" s="127"/>
      <c r="C476" s="125"/>
      <c r="D476" s="125"/>
      <c r="E476" s="105"/>
      <c r="F476" s="243"/>
      <c r="G476" s="109"/>
      <c r="H476" s="243"/>
      <c r="I476" s="94"/>
      <c r="J476" s="94"/>
      <c r="K476" s="94"/>
    </row>
    <row r="477" spans="1:11" ht="14.25" customHeight="1">
      <c r="A477" s="125"/>
      <c r="B477" s="127"/>
      <c r="C477" s="125"/>
      <c r="D477" s="125"/>
      <c r="E477" s="105"/>
      <c r="F477" s="243"/>
      <c r="G477" s="109"/>
      <c r="H477" s="243"/>
      <c r="I477" s="94"/>
      <c r="J477" s="94"/>
      <c r="K477" s="94"/>
    </row>
    <row r="478" spans="1:11" ht="14.25" customHeight="1">
      <c r="A478" s="125"/>
      <c r="B478" s="127"/>
      <c r="C478" s="125"/>
      <c r="D478" s="125"/>
      <c r="E478" s="105"/>
      <c r="F478" s="243"/>
      <c r="G478" s="109"/>
      <c r="H478" s="243"/>
      <c r="I478" s="94"/>
      <c r="J478" s="94"/>
      <c r="K478" s="94"/>
    </row>
    <row r="479" spans="1:11" ht="14.25" customHeight="1">
      <c r="A479" s="125"/>
      <c r="B479" s="127"/>
      <c r="C479" s="125"/>
      <c r="D479" s="125"/>
      <c r="E479" s="105"/>
      <c r="F479" s="243"/>
      <c r="G479" s="109"/>
      <c r="H479" s="243"/>
      <c r="I479" s="94"/>
      <c r="J479" s="94"/>
      <c r="K479" s="94"/>
    </row>
    <row r="480" spans="1:11" ht="14.25" customHeight="1">
      <c r="A480" s="125"/>
      <c r="B480" s="127"/>
      <c r="C480" s="125"/>
      <c r="D480" s="125"/>
      <c r="E480" s="105"/>
      <c r="F480" s="243"/>
      <c r="G480" s="109"/>
      <c r="H480" s="243"/>
      <c r="I480" s="94"/>
      <c r="J480" s="94"/>
      <c r="K480" s="94"/>
    </row>
    <row r="481" spans="1:11" ht="14.25" customHeight="1">
      <c r="A481" s="125"/>
      <c r="B481" s="127"/>
      <c r="C481" s="125"/>
      <c r="D481" s="125"/>
      <c r="E481" s="105"/>
      <c r="F481" s="243"/>
      <c r="G481" s="109"/>
      <c r="H481" s="243"/>
      <c r="I481" s="94"/>
      <c r="J481" s="94"/>
      <c r="K481" s="94"/>
    </row>
    <row r="482" spans="1:11" ht="14.25" customHeight="1">
      <c r="A482" s="125"/>
      <c r="B482" s="127"/>
      <c r="C482" s="125"/>
      <c r="D482" s="125"/>
      <c r="E482" s="105"/>
      <c r="F482" s="243"/>
      <c r="G482" s="109"/>
      <c r="H482" s="243"/>
      <c r="I482" s="94"/>
      <c r="J482" s="94"/>
      <c r="K482" s="94"/>
    </row>
    <row r="483" spans="1:11" ht="14.25" customHeight="1">
      <c r="A483" s="125"/>
      <c r="B483" s="127"/>
      <c r="C483" s="125"/>
      <c r="D483" s="125"/>
      <c r="E483" s="105"/>
      <c r="F483" s="243"/>
      <c r="G483" s="109"/>
      <c r="H483" s="243"/>
      <c r="I483" s="94"/>
      <c r="J483" s="94"/>
      <c r="K483" s="94"/>
    </row>
    <row r="484" spans="1:11" ht="14.25" customHeight="1">
      <c r="A484" s="125"/>
      <c r="B484" s="127"/>
      <c r="C484" s="125"/>
      <c r="D484" s="125"/>
      <c r="E484" s="105"/>
      <c r="F484" s="243"/>
      <c r="G484" s="109"/>
      <c r="H484" s="243"/>
      <c r="I484" s="94"/>
      <c r="J484" s="94"/>
      <c r="K484" s="94"/>
    </row>
    <row r="485" spans="1:11" ht="14.25" customHeight="1">
      <c r="A485" s="125"/>
      <c r="B485" s="127"/>
      <c r="C485" s="125"/>
      <c r="D485" s="125"/>
      <c r="E485" s="105"/>
      <c r="F485" s="243"/>
      <c r="G485" s="109"/>
      <c r="H485" s="243"/>
      <c r="I485" s="94"/>
      <c r="J485" s="94"/>
      <c r="K485" s="94"/>
    </row>
    <row r="486" spans="1:11" ht="14.25" customHeight="1">
      <c r="A486" s="125"/>
      <c r="B486" s="127"/>
      <c r="C486" s="125"/>
      <c r="D486" s="125"/>
      <c r="E486" s="105"/>
      <c r="F486" s="243"/>
      <c r="G486" s="109"/>
      <c r="H486" s="243"/>
      <c r="I486" s="94"/>
      <c r="J486" s="94"/>
      <c r="K486" s="94"/>
    </row>
    <row r="487" spans="1:11" ht="14.25" customHeight="1">
      <c r="A487" s="125"/>
      <c r="B487" s="127"/>
      <c r="C487" s="125"/>
      <c r="D487" s="125"/>
      <c r="E487" s="105"/>
      <c r="F487" s="243"/>
      <c r="G487" s="109"/>
      <c r="H487" s="243"/>
      <c r="I487" s="94"/>
      <c r="J487" s="94"/>
      <c r="K487" s="94"/>
    </row>
    <row r="488" spans="1:11" ht="14.25" customHeight="1">
      <c r="A488" s="125"/>
      <c r="B488" s="127"/>
      <c r="C488" s="125"/>
      <c r="D488" s="125"/>
      <c r="E488" s="105"/>
      <c r="F488" s="243"/>
      <c r="G488" s="109"/>
      <c r="H488" s="243"/>
      <c r="I488" s="94"/>
      <c r="J488" s="94"/>
      <c r="K488" s="94"/>
    </row>
    <row r="489" spans="1:11" ht="14.25" customHeight="1">
      <c r="A489" s="125"/>
      <c r="B489" s="127"/>
      <c r="C489" s="125"/>
      <c r="D489" s="125"/>
      <c r="E489" s="105"/>
      <c r="F489" s="243"/>
      <c r="G489" s="109"/>
      <c r="H489" s="243"/>
      <c r="I489" s="94"/>
      <c r="J489" s="94"/>
      <c r="K489" s="94"/>
    </row>
    <row r="490" spans="1:11" ht="14.25" customHeight="1">
      <c r="A490" s="125"/>
      <c r="B490" s="127"/>
      <c r="C490" s="125"/>
      <c r="D490" s="125"/>
      <c r="E490" s="105"/>
      <c r="F490" s="243"/>
      <c r="G490" s="109"/>
      <c r="H490" s="243"/>
      <c r="I490" s="94"/>
      <c r="J490" s="94"/>
      <c r="K490" s="94"/>
    </row>
    <row r="491" spans="1:11" ht="14.25" customHeight="1">
      <c r="A491" s="125"/>
      <c r="B491" s="127"/>
      <c r="C491" s="125"/>
      <c r="D491" s="125"/>
      <c r="E491" s="105"/>
      <c r="F491" s="243"/>
      <c r="G491" s="109"/>
      <c r="H491" s="243"/>
      <c r="I491" s="94"/>
      <c r="J491" s="94"/>
      <c r="K491" s="94"/>
    </row>
    <row r="492" spans="1:11" ht="14.25" customHeight="1">
      <c r="A492" s="125"/>
      <c r="B492" s="127"/>
      <c r="C492" s="125"/>
      <c r="D492" s="125"/>
      <c r="E492" s="105"/>
      <c r="F492" s="243"/>
      <c r="G492" s="109"/>
      <c r="H492" s="243"/>
      <c r="I492" s="94"/>
      <c r="J492" s="94"/>
      <c r="K492" s="94"/>
    </row>
    <row r="493" spans="1:11" ht="14.25" customHeight="1">
      <c r="A493" s="125"/>
      <c r="B493" s="127"/>
      <c r="C493" s="125"/>
      <c r="D493" s="125"/>
      <c r="E493" s="105"/>
      <c r="F493" s="243"/>
      <c r="G493" s="109"/>
      <c r="H493" s="243"/>
      <c r="I493" s="94"/>
      <c r="J493" s="94"/>
      <c r="K493" s="94"/>
    </row>
    <row r="494" spans="1:11" ht="14.25" customHeight="1">
      <c r="A494" s="125"/>
      <c r="B494" s="127"/>
      <c r="C494" s="125"/>
      <c r="D494" s="125"/>
      <c r="E494" s="105"/>
      <c r="F494" s="243"/>
      <c r="G494" s="109"/>
      <c r="H494" s="243"/>
      <c r="I494" s="94"/>
      <c r="J494" s="94"/>
      <c r="K494" s="94"/>
    </row>
    <row r="495" spans="1:11" ht="14.25" customHeight="1">
      <c r="A495" s="125"/>
      <c r="B495" s="127"/>
      <c r="C495" s="125"/>
      <c r="D495" s="125"/>
      <c r="E495" s="105"/>
      <c r="F495" s="243"/>
      <c r="G495" s="109"/>
      <c r="H495" s="243"/>
      <c r="I495" s="94"/>
      <c r="J495" s="94"/>
      <c r="K495" s="94"/>
    </row>
    <row r="496" spans="1:11" ht="14.25" customHeight="1">
      <c r="A496" s="125"/>
      <c r="B496" s="127"/>
      <c r="C496" s="125"/>
      <c r="D496" s="125"/>
      <c r="E496" s="105"/>
      <c r="F496" s="243"/>
      <c r="G496" s="109"/>
      <c r="H496" s="243"/>
      <c r="I496" s="94"/>
      <c r="J496" s="94"/>
      <c r="K496" s="94"/>
    </row>
    <row r="497" spans="1:11" ht="14.25" customHeight="1">
      <c r="A497" s="125"/>
      <c r="B497" s="127"/>
      <c r="C497" s="125"/>
      <c r="D497" s="125"/>
      <c r="E497" s="105"/>
      <c r="F497" s="243"/>
      <c r="G497" s="109"/>
      <c r="H497" s="243"/>
      <c r="I497" s="94"/>
      <c r="J497" s="94"/>
      <c r="K497" s="94"/>
    </row>
    <row r="498" spans="1:11" ht="14.25" customHeight="1">
      <c r="A498" s="125"/>
      <c r="B498" s="127"/>
      <c r="C498" s="125"/>
      <c r="D498" s="125"/>
      <c r="E498" s="105"/>
      <c r="F498" s="243"/>
      <c r="G498" s="109"/>
      <c r="H498" s="243"/>
      <c r="I498" s="94"/>
      <c r="J498" s="94"/>
      <c r="K498" s="94"/>
    </row>
    <row r="499" spans="1:11" ht="14.25" customHeight="1">
      <c r="A499" s="125"/>
      <c r="B499" s="127"/>
      <c r="C499" s="125"/>
      <c r="D499" s="125"/>
      <c r="E499" s="105"/>
      <c r="F499" s="243"/>
      <c r="G499" s="109"/>
      <c r="H499" s="243"/>
      <c r="I499" s="94"/>
      <c r="J499" s="94"/>
      <c r="K499" s="94"/>
    </row>
    <row r="500" spans="1:11" ht="14.25" customHeight="1">
      <c r="A500" s="125"/>
      <c r="B500" s="127"/>
      <c r="C500" s="125"/>
      <c r="D500" s="125"/>
      <c r="E500" s="105"/>
      <c r="F500" s="243"/>
      <c r="G500" s="109"/>
      <c r="H500" s="243"/>
      <c r="I500" s="94"/>
      <c r="J500" s="94"/>
      <c r="K500" s="94"/>
    </row>
    <row r="501" spans="1:11" ht="14.25" customHeight="1">
      <c r="A501" s="125"/>
      <c r="B501" s="127"/>
      <c r="C501" s="125"/>
      <c r="D501" s="125"/>
      <c r="E501" s="105"/>
      <c r="F501" s="243"/>
      <c r="G501" s="109"/>
      <c r="H501" s="243"/>
      <c r="I501" s="94"/>
      <c r="J501" s="94"/>
      <c r="K501" s="94"/>
    </row>
    <row r="502" spans="1:11" ht="15" customHeight="1">
      <c r="A502" s="125"/>
      <c r="B502" s="127"/>
      <c r="C502" s="125"/>
      <c r="D502" s="125"/>
      <c r="E502" s="105"/>
      <c r="F502" s="243"/>
      <c r="G502" s="109"/>
      <c r="H502" s="243"/>
      <c r="I502" s="94"/>
      <c r="J502" s="94"/>
      <c r="K502" s="94"/>
    </row>
    <row r="503" spans="1:11" ht="15" customHeight="1">
      <c r="A503" s="125"/>
      <c r="B503" s="127"/>
      <c r="C503" s="125"/>
      <c r="D503" s="125"/>
      <c r="E503" s="105"/>
      <c r="F503" s="243"/>
      <c r="G503" s="109"/>
      <c r="H503" s="243"/>
      <c r="I503" s="94"/>
      <c r="J503" s="94"/>
      <c r="K503" s="94"/>
    </row>
    <row r="504" spans="1:11" ht="15" customHeight="1">
      <c r="A504" s="125"/>
      <c r="B504" s="127"/>
      <c r="C504" s="125"/>
      <c r="D504" s="125"/>
      <c r="E504" s="105"/>
      <c r="F504" s="243"/>
      <c r="G504" s="109"/>
      <c r="H504" s="243"/>
      <c r="I504" s="94"/>
      <c r="J504" s="94"/>
      <c r="K504" s="94"/>
    </row>
    <row r="505" spans="1:11" ht="15" customHeight="1">
      <c r="A505" s="125"/>
      <c r="B505" s="127"/>
      <c r="C505" s="125"/>
      <c r="D505" s="125"/>
      <c r="E505" s="105"/>
      <c r="F505" s="243"/>
      <c r="G505" s="109"/>
      <c r="H505" s="243"/>
      <c r="I505" s="94"/>
      <c r="J505" s="94"/>
      <c r="K505" s="94"/>
    </row>
    <row r="506" spans="1:11" ht="15" customHeight="1">
      <c r="A506" s="125"/>
      <c r="B506" s="127"/>
      <c r="C506" s="125"/>
      <c r="D506" s="125"/>
      <c r="E506" s="105"/>
      <c r="F506" s="243"/>
      <c r="G506" s="109"/>
      <c r="H506" s="243"/>
      <c r="I506" s="94"/>
      <c r="J506" s="94"/>
      <c r="K506" s="94"/>
    </row>
    <row r="507" spans="1:11" ht="15" customHeight="1">
      <c r="A507" s="125"/>
      <c r="B507" s="127"/>
      <c r="C507" s="125"/>
      <c r="D507" s="125"/>
      <c r="E507" s="105"/>
      <c r="F507" s="243"/>
      <c r="G507" s="109"/>
      <c r="H507" s="243"/>
      <c r="I507" s="94"/>
      <c r="J507" s="94"/>
      <c r="K507" s="94"/>
    </row>
    <row r="508" spans="1:11" ht="15" customHeight="1">
      <c r="A508" s="125"/>
      <c r="B508" s="127"/>
      <c r="C508" s="125"/>
      <c r="D508" s="125"/>
      <c r="E508" s="105"/>
      <c r="F508" s="243"/>
      <c r="G508" s="109"/>
      <c r="H508" s="243"/>
      <c r="I508" s="94"/>
      <c r="J508" s="94"/>
      <c r="K508" s="94"/>
    </row>
    <row r="509" spans="1:11" ht="15" customHeight="1">
      <c r="A509" s="125"/>
      <c r="B509" s="127"/>
      <c r="C509" s="125"/>
      <c r="D509" s="125"/>
      <c r="E509" s="105"/>
      <c r="F509" s="243"/>
      <c r="G509" s="109"/>
      <c r="H509" s="243"/>
      <c r="I509" s="94"/>
      <c r="J509" s="94"/>
      <c r="K509" s="94"/>
    </row>
    <row r="510" spans="1:11" ht="15" customHeight="1">
      <c r="A510" s="125"/>
      <c r="B510" s="127"/>
      <c r="C510" s="125"/>
      <c r="D510" s="125"/>
      <c r="E510" s="105"/>
      <c r="F510" s="243"/>
      <c r="G510" s="109"/>
      <c r="H510" s="243"/>
      <c r="I510" s="94"/>
      <c r="J510" s="94"/>
      <c r="K510" s="94"/>
    </row>
    <row r="511" spans="1:11" ht="15" customHeight="1">
      <c r="A511" s="125"/>
      <c r="B511" s="127"/>
      <c r="C511" s="125"/>
      <c r="D511" s="125"/>
      <c r="E511" s="105"/>
      <c r="F511" s="243"/>
      <c r="G511" s="109"/>
      <c r="H511" s="243"/>
      <c r="I511" s="94"/>
      <c r="J511" s="94"/>
      <c r="K511" s="94"/>
    </row>
    <row r="512" spans="1:11" ht="15" customHeight="1">
      <c r="A512" s="125"/>
      <c r="B512" s="127"/>
      <c r="C512" s="125"/>
      <c r="D512" s="125"/>
      <c r="E512" s="105"/>
      <c r="F512" s="243"/>
      <c r="G512" s="109"/>
      <c r="H512" s="243"/>
      <c r="I512" s="94"/>
      <c r="J512" s="94"/>
      <c r="K512" s="94"/>
    </row>
    <row r="513" spans="1:11" ht="15" customHeight="1">
      <c r="A513" s="125"/>
      <c r="B513" s="127"/>
      <c r="C513" s="125"/>
      <c r="D513" s="125"/>
      <c r="E513" s="105"/>
      <c r="F513" s="243"/>
      <c r="G513" s="109"/>
      <c r="H513" s="243"/>
      <c r="I513" s="94"/>
      <c r="J513" s="94"/>
      <c r="K513" s="94"/>
    </row>
    <row r="514" spans="1:11" ht="15" customHeight="1">
      <c r="A514" s="125"/>
      <c r="B514" s="127"/>
      <c r="C514" s="125"/>
      <c r="D514" s="125"/>
      <c r="E514" s="105"/>
      <c r="F514" s="243"/>
      <c r="G514" s="109"/>
      <c r="H514" s="243"/>
      <c r="I514" s="94"/>
      <c r="J514" s="94"/>
      <c r="K514" s="94"/>
    </row>
    <row r="515" spans="1:11" ht="15" customHeight="1">
      <c r="A515" s="125"/>
      <c r="B515" s="127"/>
      <c r="C515" s="125"/>
      <c r="D515" s="125"/>
      <c r="E515" s="105"/>
      <c r="F515" s="243"/>
      <c r="G515" s="109"/>
      <c r="H515" s="243"/>
      <c r="I515" s="94"/>
      <c r="J515" s="94"/>
      <c r="K515" s="94"/>
    </row>
    <row r="516" spans="1:11" ht="15" customHeight="1">
      <c r="A516" s="125"/>
      <c r="B516" s="127"/>
      <c r="C516" s="125"/>
      <c r="D516" s="125"/>
      <c r="E516" s="105"/>
      <c r="F516" s="243"/>
      <c r="G516" s="109"/>
      <c r="H516" s="243"/>
      <c r="I516" s="94"/>
      <c r="J516" s="94"/>
      <c r="K516" s="94"/>
    </row>
    <row r="517" spans="1:11" ht="15" customHeight="1">
      <c r="A517" s="125"/>
      <c r="B517" s="127"/>
      <c r="C517" s="125"/>
      <c r="D517" s="125"/>
      <c r="E517" s="105"/>
      <c r="F517" s="243"/>
      <c r="G517" s="109"/>
      <c r="H517" s="243"/>
      <c r="I517" s="94"/>
      <c r="J517" s="94"/>
      <c r="K517" s="94"/>
    </row>
    <row r="518" spans="1:11" ht="15" customHeight="1">
      <c r="A518" s="125"/>
      <c r="B518" s="127"/>
      <c r="C518" s="125"/>
      <c r="D518" s="125"/>
      <c r="E518" s="105"/>
      <c r="F518" s="243"/>
      <c r="G518" s="109"/>
      <c r="H518" s="243"/>
      <c r="I518" s="94"/>
      <c r="J518" s="94"/>
      <c r="K518" s="94"/>
    </row>
    <row r="519" spans="1:11" ht="15" customHeight="1">
      <c r="A519" s="125"/>
      <c r="B519" s="127"/>
      <c r="C519" s="125"/>
      <c r="D519" s="125"/>
      <c r="E519" s="105"/>
      <c r="F519" s="243"/>
      <c r="G519" s="109"/>
      <c r="H519" s="243"/>
      <c r="I519" s="94"/>
      <c r="J519" s="94"/>
      <c r="K519" s="94"/>
    </row>
    <row r="520" spans="1:11" ht="15" customHeight="1">
      <c r="A520" s="125"/>
      <c r="B520" s="127"/>
      <c r="C520" s="125"/>
      <c r="D520" s="125"/>
      <c r="E520" s="105"/>
      <c r="F520" s="243"/>
      <c r="G520" s="109"/>
      <c r="H520" s="243"/>
      <c r="I520" s="94"/>
      <c r="J520" s="94"/>
      <c r="K520" s="94"/>
    </row>
    <row r="521" spans="1:11" ht="15" customHeight="1">
      <c r="A521" s="125"/>
      <c r="B521" s="127"/>
      <c r="C521" s="125"/>
      <c r="D521" s="125"/>
      <c r="E521" s="105"/>
      <c r="F521" s="243"/>
      <c r="G521" s="109"/>
      <c r="H521" s="243"/>
      <c r="I521" s="94"/>
      <c r="J521" s="94"/>
      <c r="K521" s="94"/>
    </row>
    <row r="522" spans="1:11" ht="15" customHeight="1">
      <c r="A522" s="125"/>
      <c r="B522" s="127"/>
      <c r="C522" s="125"/>
      <c r="D522" s="125"/>
      <c r="E522" s="105"/>
      <c r="F522" s="243"/>
      <c r="G522" s="109"/>
      <c r="H522" s="243"/>
      <c r="I522" s="94"/>
      <c r="J522" s="94"/>
      <c r="K522" s="94"/>
    </row>
    <row r="523" spans="1:11" ht="15" customHeight="1">
      <c r="A523" s="125"/>
      <c r="B523" s="127"/>
      <c r="C523" s="125"/>
      <c r="D523" s="125"/>
      <c r="E523" s="105"/>
      <c r="F523" s="243"/>
      <c r="G523" s="109"/>
      <c r="H523" s="243"/>
      <c r="I523" s="94"/>
      <c r="J523" s="94"/>
      <c r="K523" s="94"/>
    </row>
    <row r="524" spans="1:11" ht="15" customHeight="1">
      <c r="A524" s="125"/>
      <c r="B524" s="127"/>
      <c r="C524" s="125"/>
      <c r="D524" s="125"/>
      <c r="E524" s="105"/>
      <c r="F524" s="243"/>
      <c r="G524" s="109"/>
      <c r="H524" s="243"/>
      <c r="I524" s="94"/>
      <c r="J524" s="94"/>
      <c r="K524" s="94"/>
    </row>
    <row r="525" spans="1:11" ht="15" customHeight="1">
      <c r="A525" s="125"/>
      <c r="B525" s="127"/>
      <c r="C525" s="125"/>
      <c r="D525" s="125"/>
      <c r="E525" s="105"/>
      <c r="F525" s="243"/>
      <c r="G525" s="109"/>
      <c r="H525" s="243"/>
      <c r="I525" s="94"/>
      <c r="J525" s="94"/>
      <c r="K525" s="94"/>
    </row>
    <row r="526" spans="1:11" ht="15" customHeight="1">
      <c r="A526" s="125"/>
      <c r="B526" s="127"/>
      <c r="C526" s="125"/>
      <c r="D526" s="125"/>
      <c r="E526" s="105"/>
      <c r="F526" s="243"/>
      <c r="G526" s="109"/>
      <c r="H526" s="243"/>
      <c r="I526" s="94"/>
      <c r="J526" s="94"/>
      <c r="K526" s="94"/>
    </row>
    <row r="527" spans="1:11" ht="15" customHeight="1">
      <c r="A527" s="125"/>
      <c r="B527" s="127"/>
      <c r="C527" s="125"/>
      <c r="D527" s="125"/>
      <c r="E527" s="105"/>
      <c r="F527" s="243"/>
      <c r="G527" s="109"/>
      <c r="H527" s="243"/>
      <c r="I527" s="94"/>
      <c r="J527" s="94"/>
      <c r="K527" s="94"/>
    </row>
    <row r="528" spans="1:11" ht="15" customHeight="1">
      <c r="A528" s="125"/>
      <c r="B528" s="127"/>
      <c r="C528" s="125"/>
      <c r="D528" s="125"/>
      <c r="E528" s="105"/>
      <c r="F528" s="243"/>
      <c r="G528" s="109"/>
      <c r="H528" s="243"/>
      <c r="I528" s="94"/>
      <c r="J528" s="94"/>
      <c r="K528" s="94"/>
    </row>
    <row r="529" spans="1:11" ht="15" customHeight="1">
      <c r="A529" s="125"/>
      <c r="B529" s="127"/>
      <c r="C529" s="125"/>
      <c r="D529" s="125"/>
      <c r="E529" s="105"/>
      <c r="F529" s="243"/>
      <c r="G529" s="109"/>
      <c r="H529" s="243"/>
      <c r="I529" s="94"/>
      <c r="J529" s="94"/>
      <c r="K529" s="94"/>
    </row>
    <row r="530" spans="1:11" ht="15" customHeight="1">
      <c r="A530" s="125"/>
      <c r="B530" s="127"/>
      <c r="C530" s="125"/>
      <c r="D530" s="125"/>
      <c r="E530" s="105"/>
      <c r="F530" s="243"/>
      <c r="G530" s="109"/>
      <c r="H530" s="243"/>
      <c r="I530" s="94"/>
      <c r="J530" s="94"/>
      <c r="K530" s="94"/>
    </row>
    <row r="531" spans="1:11" ht="15" customHeight="1">
      <c r="A531" s="125"/>
      <c r="B531" s="127"/>
      <c r="C531" s="125"/>
      <c r="D531" s="125"/>
      <c r="E531" s="105"/>
      <c r="F531" s="243"/>
      <c r="G531" s="109"/>
      <c r="H531" s="243"/>
      <c r="I531" s="94"/>
      <c r="J531" s="94"/>
      <c r="K531" s="94"/>
    </row>
    <row r="532" spans="1:11" ht="15" customHeight="1">
      <c r="A532" s="125"/>
      <c r="B532" s="127"/>
      <c r="C532" s="125"/>
      <c r="D532" s="125"/>
      <c r="E532" s="105"/>
      <c r="F532" s="243"/>
      <c r="G532" s="109"/>
      <c r="H532" s="243"/>
      <c r="I532" s="94"/>
      <c r="J532" s="94"/>
      <c r="K532" s="94"/>
    </row>
    <row r="533" spans="1:11" ht="15" customHeight="1">
      <c r="A533" s="125"/>
      <c r="B533" s="127"/>
      <c r="C533" s="125"/>
      <c r="D533" s="125"/>
      <c r="E533" s="105"/>
      <c r="F533" s="243"/>
      <c r="G533" s="109"/>
      <c r="H533" s="243"/>
      <c r="I533" s="94"/>
      <c r="J533" s="94"/>
      <c r="K533" s="94"/>
    </row>
    <row r="534" spans="1:11" ht="15" customHeight="1">
      <c r="A534" s="125"/>
      <c r="B534" s="127"/>
      <c r="C534" s="125"/>
      <c r="D534" s="125"/>
      <c r="E534" s="105"/>
      <c r="F534" s="243"/>
      <c r="G534" s="109"/>
      <c r="H534" s="243"/>
      <c r="I534" s="94"/>
      <c r="J534" s="94"/>
      <c r="K534" s="94"/>
    </row>
    <row r="535" spans="1:11" ht="15" customHeight="1">
      <c r="A535" s="125"/>
      <c r="B535" s="127"/>
      <c r="C535" s="125"/>
      <c r="D535" s="125"/>
      <c r="E535" s="105"/>
      <c r="F535" s="243"/>
      <c r="G535" s="109"/>
      <c r="H535" s="243"/>
      <c r="I535" s="94"/>
      <c r="J535" s="94"/>
      <c r="K535" s="94"/>
    </row>
    <row r="536" spans="1:11" ht="15" customHeight="1">
      <c r="A536" s="125"/>
      <c r="B536" s="127"/>
      <c r="C536" s="125"/>
      <c r="D536" s="125"/>
      <c r="E536" s="105"/>
      <c r="F536" s="243"/>
      <c r="G536" s="109"/>
      <c r="H536" s="243"/>
      <c r="I536" s="94"/>
      <c r="J536" s="94"/>
      <c r="K536" s="94"/>
    </row>
    <row r="537" spans="1:11" ht="15" customHeight="1">
      <c r="A537" s="125"/>
      <c r="B537" s="127"/>
      <c r="C537" s="125"/>
      <c r="D537" s="125"/>
      <c r="E537" s="105"/>
      <c r="F537" s="243"/>
      <c r="G537" s="109"/>
      <c r="H537" s="243"/>
      <c r="I537" s="94"/>
      <c r="J537" s="94"/>
      <c r="K537" s="94"/>
    </row>
    <row r="538" spans="1:11" ht="15" customHeight="1">
      <c r="A538" s="125"/>
      <c r="B538" s="127"/>
      <c r="C538" s="125"/>
      <c r="D538" s="125"/>
      <c r="E538" s="105"/>
      <c r="F538" s="243"/>
      <c r="G538" s="109"/>
      <c r="H538" s="243"/>
      <c r="I538" s="94"/>
      <c r="J538" s="94"/>
      <c r="K538" s="94"/>
    </row>
    <row r="539" spans="1:11" ht="15" customHeight="1">
      <c r="A539" s="125"/>
      <c r="B539" s="127"/>
      <c r="C539" s="125"/>
      <c r="D539" s="125"/>
      <c r="E539" s="105"/>
      <c r="F539" s="243"/>
      <c r="G539" s="109"/>
      <c r="H539" s="243"/>
      <c r="I539" s="94"/>
      <c r="J539" s="94"/>
      <c r="K539" s="94"/>
    </row>
    <row r="540" spans="1:11" ht="15" customHeight="1">
      <c r="A540" s="125"/>
      <c r="B540" s="127"/>
      <c r="C540" s="125"/>
      <c r="D540" s="125"/>
      <c r="E540" s="105"/>
      <c r="F540" s="243"/>
      <c r="G540" s="109"/>
      <c r="H540" s="243"/>
      <c r="I540" s="94"/>
      <c r="J540" s="94"/>
      <c r="K540" s="94"/>
    </row>
    <row r="541" spans="1:11" ht="15" customHeight="1">
      <c r="A541" s="93"/>
      <c r="B541" s="127"/>
      <c r="C541" s="105"/>
      <c r="D541" s="105"/>
      <c r="E541" s="105"/>
      <c r="F541" s="140"/>
      <c r="G541" s="109"/>
      <c r="H541" s="140"/>
      <c r="I541" s="94"/>
      <c r="J541" s="94"/>
      <c r="K541" s="94"/>
    </row>
    <row r="542" spans="1:11" ht="15" customHeight="1">
      <c r="A542" s="93"/>
      <c r="B542" s="82"/>
      <c r="C542" s="105"/>
      <c r="D542" s="105"/>
      <c r="E542" s="105"/>
      <c r="F542" s="140"/>
      <c r="G542" s="109"/>
      <c r="H542" s="140"/>
      <c r="I542" s="94"/>
      <c r="J542" s="94"/>
      <c r="K542" s="94"/>
    </row>
    <row r="543" spans="1:11" ht="15" customHeight="1">
      <c r="A543" s="93"/>
      <c r="B543" s="82"/>
      <c r="C543" s="105"/>
      <c r="D543" s="105"/>
      <c r="E543" s="105"/>
      <c r="F543" s="140"/>
      <c r="G543" s="122"/>
      <c r="H543" s="141"/>
      <c r="I543" s="94"/>
      <c r="J543" s="94"/>
      <c r="K543" s="94"/>
    </row>
    <row r="544" spans="1:11" ht="15" customHeight="1">
      <c r="A544" s="93"/>
      <c r="B544" s="82"/>
      <c r="C544" s="105"/>
      <c r="D544" s="105"/>
      <c r="E544" s="105"/>
      <c r="F544" s="140"/>
      <c r="G544" s="109"/>
      <c r="H544" s="140"/>
      <c r="I544" s="94"/>
      <c r="J544" s="94"/>
      <c r="K544" s="94"/>
    </row>
    <row r="545" spans="1:11" ht="15" customHeight="1">
      <c r="A545" s="93"/>
      <c r="B545" s="82"/>
      <c r="C545" s="105"/>
      <c r="D545" s="105"/>
      <c r="E545" s="105"/>
      <c r="F545" s="140"/>
      <c r="G545" s="109"/>
      <c r="H545" s="140"/>
      <c r="I545" s="94"/>
      <c r="J545" s="94"/>
      <c r="K545" s="94"/>
    </row>
    <row r="546" spans="1:11" ht="15" customHeight="1">
      <c r="A546" s="93"/>
      <c r="B546" s="359"/>
      <c r="C546" s="93"/>
      <c r="D546" s="93"/>
      <c r="E546" s="105"/>
      <c r="F546" s="140"/>
      <c r="G546" s="110"/>
      <c r="H546" s="140"/>
      <c r="I546" s="94"/>
      <c r="J546" s="94"/>
      <c r="K546" s="94"/>
    </row>
    <row r="547" spans="1:11" ht="15" customHeight="1">
      <c r="A547" s="93"/>
      <c r="B547" s="82"/>
      <c r="C547" s="93"/>
      <c r="D547" s="105"/>
      <c r="E547" s="105"/>
      <c r="F547" s="140"/>
      <c r="G547" s="109"/>
      <c r="H547" s="140"/>
      <c r="I547" s="94"/>
      <c r="J547" s="94"/>
      <c r="K547" s="94"/>
    </row>
    <row r="548" spans="1:11" ht="15" customHeight="1">
      <c r="A548" s="93"/>
      <c r="B548" s="82"/>
      <c r="C548" s="93"/>
      <c r="D548" s="105"/>
      <c r="E548" s="105"/>
      <c r="F548" s="140"/>
      <c r="G548" s="109"/>
      <c r="H548" s="140"/>
      <c r="I548" s="94"/>
      <c r="J548" s="94"/>
      <c r="K548" s="94"/>
    </row>
    <row r="549" spans="1:11" ht="15" customHeight="1">
      <c r="A549" s="93"/>
      <c r="B549" s="82"/>
      <c r="C549" s="93"/>
      <c r="D549" s="105"/>
      <c r="E549" s="105"/>
      <c r="F549" s="140"/>
      <c r="G549" s="109"/>
      <c r="H549" s="140"/>
      <c r="I549" s="94"/>
      <c r="J549" s="94"/>
      <c r="K549" s="94"/>
    </row>
    <row r="550" spans="1:11" ht="15" customHeight="1">
      <c r="A550" s="93"/>
      <c r="B550" s="82"/>
      <c r="C550" s="93"/>
      <c r="D550" s="105"/>
      <c r="E550" s="105"/>
      <c r="F550" s="140"/>
      <c r="G550" s="109"/>
      <c r="H550" s="140"/>
      <c r="I550" s="94"/>
      <c r="J550" s="94"/>
      <c r="K550" s="94"/>
    </row>
    <row r="551" spans="1:11" ht="15" customHeight="1">
      <c r="A551" s="93"/>
      <c r="B551" s="82"/>
      <c r="C551" s="93"/>
      <c r="D551" s="105"/>
      <c r="E551" s="105"/>
      <c r="F551" s="140"/>
      <c r="G551" s="109"/>
      <c r="H551" s="140"/>
      <c r="I551" s="94"/>
      <c r="J551" s="94"/>
      <c r="K551" s="94"/>
    </row>
    <row r="552" spans="1:11" ht="15" customHeight="1">
      <c r="A552" s="93"/>
      <c r="B552" s="82"/>
      <c r="C552" s="105"/>
      <c r="D552" s="105"/>
      <c r="E552" s="105"/>
      <c r="F552" s="140"/>
      <c r="G552" s="109"/>
      <c r="H552" s="140"/>
      <c r="I552" s="94"/>
      <c r="J552" s="94"/>
      <c r="K552" s="94"/>
    </row>
    <row r="553" spans="1:11" ht="15" customHeight="1">
      <c r="A553" s="93"/>
      <c r="B553" s="82"/>
      <c r="C553" s="105"/>
      <c r="D553" s="105"/>
      <c r="E553" s="105"/>
      <c r="F553" s="140"/>
      <c r="G553" s="109"/>
      <c r="H553" s="140"/>
      <c r="I553" s="94"/>
      <c r="J553" s="94"/>
      <c r="K553" s="94"/>
    </row>
    <row r="554" spans="1:11" ht="15" customHeight="1">
      <c r="A554" s="93"/>
      <c r="B554" s="82"/>
      <c r="C554" s="105"/>
      <c r="D554" s="105"/>
      <c r="E554" s="105"/>
      <c r="F554" s="140"/>
      <c r="G554" s="122"/>
      <c r="H554" s="140"/>
      <c r="I554" s="94"/>
      <c r="J554" s="94"/>
      <c r="K554" s="94"/>
    </row>
    <row r="555" spans="1:11" ht="15" customHeight="1">
      <c r="A555" s="93"/>
      <c r="B555" s="82"/>
      <c r="C555" s="105"/>
      <c r="D555" s="105"/>
      <c r="E555" s="105"/>
      <c r="F555" s="140"/>
      <c r="G555" s="109"/>
      <c r="H555" s="140"/>
      <c r="I555" s="94"/>
      <c r="J555" s="94"/>
      <c r="K555" s="94"/>
    </row>
    <row r="556" spans="1:11" ht="15" customHeight="1">
      <c r="A556" s="93"/>
      <c r="B556" s="82"/>
      <c r="C556" s="105"/>
      <c r="D556" s="105"/>
      <c r="E556" s="105"/>
      <c r="F556" s="140"/>
      <c r="G556" s="109"/>
      <c r="H556" s="140"/>
      <c r="I556" s="94"/>
      <c r="J556" s="94"/>
      <c r="K556" s="94"/>
    </row>
    <row r="557" spans="1:11" ht="15" customHeight="1">
      <c r="A557" s="93"/>
      <c r="B557" s="188"/>
      <c r="C557" s="337"/>
      <c r="D557" s="105"/>
      <c r="E557" s="105"/>
      <c r="F557" s="140"/>
      <c r="G557" s="109"/>
      <c r="H557" s="140"/>
      <c r="I557" s="94"/>
      <c r="J557" s="94"/>
      <c r="K557" s="94"/>
    </row>
    <row r="558" spans="1:11" ht="15" customHeight="1">
      <c r="A558" s="93"/>
      <c r="B558" s="82"/>
      <c r="C558" s="337"/>
      <c r="D558" s="105"/>
      <c r="E558" s="105"/>
      <c r="F558" s="140"/>
      <c r="G558" s="109"/>
      <c r="H558" s="140"/>
      <c r="I558" s="94"/>
      <c r="J558" s="94"/>
      <c r="K558" s="94"/>
    </row>
    <row r="559" spans="1:11" ht="15" customHeight="1">
      <c r="A559" s="93"/>
      <c r="B559" s="82"/>
      <c r="C559" s="337"/>
      <c r="D559" s="105"/>
      <c r="E559" s="105"/>
      <c r="F559" s="140"/>
      <c r="G559" s="109"/>
      <c r="H559" s="140"/>
      <c r="I559" s="94"/>
      <c r="J559" s="94"/>
      <c r="K559" s="94"/>
    </row>
    <row r="560" spans="1:11" ht="15" customHeight="1">
      <c r="A560" s="93"/>
      <c r="B560" s="82"/>
      <c r="C560" s="337"/>
      <c r="D560" s="105"/>
      <c r="E560" s="105"/>
      <c r="F560" s="140"/>
      <c r="G560" s="109"/>
      <c r="H560" s="140"/>
      <c r="I560" s="94"/>
      <c r="J560" s="94"/>
      <c r="K560" s="94"/>
    </row>
    <row r="561" spans="1:11" ht="15" customHeight="1">
      <c r="A561" s="93"/>
      <c r="B561" s="82"/>
      <c r="C561" s="337"/>
      <c r="D561" s="105"/>
      <c r="E561" s="105"/>
      <c r="F561" s="140"/>
      <c r="G561" s="109"/>
      <c r="H561" s="140"/>
      <c r="I561" s="94"/>
      <c r="J561" s="94"/>
      <c r="K561" s="94"/>
    </row>
    <row r="562" spans="1:11" ht="15" customHeight="1">
      <c r="A562" s="93"/>
      <c r="B562" s="82"/>
      <c r="C562" s="337"/>
      <c r="D562" s="105"/>
      <c r="E562" s="105"/>
      <c r="F562" s="140"/>
      <c r="G562" s="109"/>
      <c r="H562" s="140"/>
      <c r="I562" s="94"/>
      <c r="J562" s="94"/>
      <c r="K562" s="94"/>
    </row>
    <row r="563" spans="1:11" ht="15" customHeight="1">
      <c r="A563" s="93"/>
      <c r="B563" s="82"/>
      <c r="C563" s="337"/>
      <c r="D563" s="105"/>
      <c r="E563" s="105"/>
      <c r="F563" s="140"/>
      <c r="G563" s="109"/>
      <c r="H563" s="140"/>
      <c r="I563" s="94"/>
      <c r="J563" s="94"/>
      <c r="K563" s="94"/>
    </row>
    <row r="564" spans="1:11" ht="15" customHeight="1">
      <c r="A564" s="93"/>
      <c r="B564" s="188"/>
      <c r="C564" s="337"/>
      <c r="D564" s="105"/>
      <c r="E564" s="105"/>
      <c r="F564" s="140"/>
      <c r="G564" s="109"/>
      <c r="H564" s="140"/>
      <c r="I564" s="94"/>
      <c r="J564" s="94"/>
      <c r="K564" s="94"/>
    </row>
    <row r="565" spans="1:11" ht="15" customHeight="1">
      <c r="A565" s="93"/>
      <c r="B565" s="82"/>
      <c r="C565" s="337"/>
      <c r="D565" s="105"/>
      <c r="E565" s="105"/>
      <c r="F565" s="140"/>
      <c r="G565" s="109"/>
      <c r="H565" s="140"/>
      <c r="I565" s="94"/>
      <c r="J565" s="94"/>
      <c r="K565" s="94"/>
    </row>
    <row r="566" spans="1:11" ht="15" customHeight="1">
      <c r="A566" s="93"/>
      <c r="B566" s="82"/>
      <c r="C566" s="337"/>
      <c r="D566" s="105"/>
      <c r="E566" s="105"/>
      <c r="F566" s="140"/>
      <c r="G566" s="109"/>
      <c r="H566" s="140"/>
      <c r="I566" s="94"/>
      <c r="J566" s="94"/>
      <c r="K566" s="94"/>
    </row>
    <row r="567" spans="1:11" ht="15" customHeight="1">
      <c r="A567" s="93"/>
      <c r="B567" s="82"/>
      <c r="C567" s="337"/>
      <c r="D567" s="105"/>
      <c r="E567" s="105"/>
      <c r="F567" s="140"/>
      <c r="G567" s="109"/>
      <c r="H567" s="140"/>
      <c r="I567" s="94"/>
      <c r="J567" s="94"/>
      <c r="K567" s="94"/>
    </row>
    <row r="568" spans="1:11" ht="15" customHeight="1">
      <c r="A568" s="93"/>
      <c r="B568" s="82"/>
      <c r="C568" s="337"/>
      <c r="D568" s="105"/>
      <c r="E568" s="105"/>
      <c r="F568" s="140"/>
      <c r="G568" s="122"/>
      <c r="H568" s="140"/>
      <c r="I568" s="94"/>
      <c r="J568" s="94"/>
      <c r="K568" s="94"/>
    </row>
    <row r="569" spans="1:11" ht="15" customHeight="1">
      <c r="A569" s="93"/>
      <c r="B569" s="82"/>
      <c r="C569" s="105"/>
      <c r="D569" s="105"/>
      <c r="E569" s="105"/>
      <c r="F569" s="140"/>
      <c r="G569" s="109"/>
      <c r="H569" s="140"/>
      <c r="I569" s="94"/>
      <c r="J569" s="94"/>
      <c r="K569" s="94"/>
    </row>
    <row r="570" spans="1:11" ht="15" customHeight="1">
      <c r="A570" s="93"/>
      <c r="B570" s="82"/>
      <c r="C570" s="105"/>
      <c r="D570" s="105"/>
      <c r="E570" s="105"/>
      <c r="F570" s="140"/>
      <c r="G570" s="109"/>
      <c r="H570" s="140"/>
      <c r="I570" s="94"/>
      <c r="J570" s="94"/>
      <c r="K570" s="94"/>
    </row>
    <row r="571" spans="1:11" ht="15" customHeight="1">
      <c r="A571" s="93"/>
      <c r="B571" s="82"/>
      <c r="C571" s="105"/>
      <c r="D571" s="105"/>
      <c r="E571" s="105"/>
      <c r="F571" s="140"/>
      <c r="G571" s="109"/>
      <c r="H571" s="140"/>
      <c r="I571" s="94"/>
      <c r="J571" s="94"/>
      <c r="K571" s="94"/>
    </row>
    <row r="572" spans="1:11" ht="15" customHeight="1">
      <c r="A572" s="93"/>
      <c r="B572" s="82"/>
      <c r="C572" s="93"/>
      <c r="D572" s="105"/>
      <c r="E572" s="105"/>
      <c r="F572" s="140"/>
      <c r="G572" s="109"/>
      <c r="H572" s="140"/>
      <c r="I572" s="94"/>
      <c r="J572" s="94"/>
      <c r="K572" s="94"/>
    </row>
    <row r="573" spans="1:11" ht="15" customHeight="1">
      <c r="A573" s="93"/>
      <c r="B573" s="82"/>
      <c r="C573" s="93"/>
      <c r="D573" s="105"/>
      <c r="E573" s="105"/>
      <c r="F573" s="140"/>
      <c r="G573" s="109"/>
      <c r="H573" s="140"/>
      <c r="I573" s="94"/>
      <c r="J573" s="94"/>
      <c r="K573" s="94"/>
    </row>
    <row r="574" spans="1:11" ht="15" customHeight="1">
      <c r="A574" s="93"/>
      <c r="B574" s="82"/>
      <c r="C574" s="93"/>
      <c r="D574" s="105"/>
      <c r="E574" s="105"/>
      <c r="F574" s="140"/>
      <c r="G574" s="109"/>
      <c r="H574" s="140"/>
      <c r="I574" s="94"/>
      <c r="J574" s="94"/>
      <c r="K574" s="94"/>
    </row>
    <row r="575" spans="1:11" ht="15" customHeight="1">
      <c r="A575" s="93"/>
      <c r="B575" s="82"/>
      <c r="C575" s="93"/>
      <c r="D575" s="105"/>
      <c r="E575" s="105"/>
      <c r="F575" s="140"/>
      <c r="G575" s="109"/>
      <c r="H575" s="140"/>
      <c r="I575" s="94"/>
      <c r="J575" s="94"/>
      <c r="K575" s="94"/>
    </row>
    <row r="576" spans="1:11" ht="15" customHeight="1">
      <c r="A576" s="93"/>
      <c r="B576" s="82"/>
      <c r="C576" s="93"/>
      <c r="D576" s="105"/>
      <c r="E576" s="105"/>
      <c r="F576" s="140"/>
      <c r="G576" s="109"/>
      <c r="H576" s="140"/>
      <c r="I576" s="94"/>
      <c r="J576" s="94"/>
      <c r="K576" s="94"/>
    </row>
    <row r="577" spans="1:11" ht="15" customHeight="1">
      <c r="A577" s="93"/>
      <c r="B577" s="82"/>
      <c r="C577" s="93"/>
      <c r="D577" s="105"/>
      <c r="E577" s="105"/>
      <c r="F577" s="140"/>
      <c r="G577" s="109"/>
      <c r="H577" s="140"/>
      <c r="I577" s="94"/>
      <c r="J577" s="94"/>
      <c r="K577" s="94"/>
    </row>
    <row r="578" spans="1:11" ht="15" customHeight="1">
      <c r="A578" s="93"/>
      <c r="B578" s="82"/>
      <c r="C578" s="93"/>
      <c r="D578" s="105"/>
      <c r="E578" s="105"/>
      <c r="F578" s="140"/>
      <c r="G578" s="109"/>
      <c r="H578" s="140"/>
      <c r="I578" s="94"/>
      <c r="J578" s="94"/>
      <c r="K578" s="94"/>
    </row>
    <row r="579" spans="1:11" ht="15" customHeight="1">
      <c r="A579" s="93"/>
      <c r="B579" s="82"/>
      <c r="C579" s="93"/>
      <c r="D579" s="105"/>
      <c r="E579" s="105"/>
      <c r="F579" s="140"/>
      <c r="G579" s="109"/>
      <c r="H579" s="140"/>
      <c r="I579" s="94"/>
      <c r="J579" s="94"/>
      <c r="K579" s="94"/>
    </row>
    <row r="580" spans="1:11" ht="15" customHeight="1">
      <c r="A580" s="93"/>
      <c r="B580" s="82"/>
      <c r="C580" s="93"/>
      <c r="D580" s="105"/>
      <c r="E580" s="105"/>
      <c r="F580" s="140"/>
      <c r="G580" s="109"/>
      <c r="H580" s="140"/>
      <c r="I580" s="94"/>
      <c r="J580" s="94"/>
      <c r="K580" s="94"/>
    </row>
    <row r="581" spans="1:11" ht="15" customHeight="1">
      <c r="A581" s="93"/>
      <c r="B581" s="82"/>
      <c r="C581" s="93"/>
      <c r="D581" s="105"/>
      <c r="E581" s="105"/>
      <c r="F581" s="140"/>
      <c r="G581" s="109"/>
      <c r="H581" s="140"/>
      <c r="I581" s="94"/>
      <c r="J581" s="94"/>
      <c r="K581" s="94"/>
    </row>
    <row r="582" spans="1:11" ht="15" customHeight="1">
      <c r="A582" s="93"/>
      <c r="B582" s="82"/>
      <c r="C582" s="93"/>
      <c r="D582" s="105"/>
      <c r="E582" s="105"/>
      <c r="F582" s="140"/>
      <c r="G582" s="109"/>
      <c r="H582" s="140"/>
      <c r="I582" s="94"/>
      <c r="J582" s="94"/>
      <c r="K582" s="94"/>
    </row>
    <row r="583" spans="1:11" ht="15" customHeight="1">
      <c r="A583" s="93"/>
      <c r="B583" s="82"/>
      <c r="C583" s="93"/>
      <c r="D583" s="105"/>
      <c r="E583" s="105"/>
      <c r="F583" s="140"/>
      <c r="G583" s="109"/>
      <c r="H583" s="140"/>
      <c r="I583" s="94"/>
      <c r="J583" s="94"/>
      <c r="K583" s="94"/>
    </row>
    <row r="584" spans="1:11" ht="15" customHeight="1">
      <c r="A584" s="93"/>
      <c r="B584" s="82"/>
      <c r="C584" s="93"/>
      <c r="D584" s="105"/>
      <c r="E584" s="105"/>
      <c r="F584" s="140"/>
      <c r="G584" s="109"/>
      <c r="H584" s="140"/>
      <c r="I584" s="94"/>
      <c r="J584" s="94"/>
      <c r="K584" s="94"/>
    </row>
    <row r="585" spans="1:11" ht="15" customHeight="1">
      <c r="A585" s="93"/>
      <c r="B585" s="82"/>
      <c r="C585" s="93"/>
      <c r="D585" s="105"/>
      <c r="E585" s="105"/>
      <c r="F585" s="140"/>
      <c r="G585" s="109"/>
      <c r="H585" s="140"/>
      <c r="I585" s="94"/>
      <c r="J585" s="94"/>
      <c r="K585" s="94"/>
    </row>
    <row r="586" spans="1:11" ht="15" customHeight="1">
      <c r="A586" s="93"/>
      <c r="B586" s="82"/>
      <c r="C586" s="93"/>
      <c r="D586" s="105"/>
      <c r="E586" s="105"/>
      <c r="F586" s="140"/>
      <c r="G586" s="109"/>
      <c r="H586" s="140"/>
      <c r="I586" s="94"/>
      <c r="J586" s="94"/>
      <c r="K586" s="94"/>
    </row>
    <row r="587" spans="1:11" ht="15" customHeight="1">
      <c r="A587" s="93"/>
      <c r="B587" s="82"/>
      <c r="C587" s="93"/>
      <c r="D587" s="105"/>
      <c r="E587" s="105"/>
      <c r="F587" s="140"/>
      <c r="G587" s="109"/>
      <c r="H587" s="140"/>
      <c r="I587" s="94"/>
      <c r="J587" s="94"/>
      <c r="K587" s="94"/>
    </row>
    <row r="588" spans="1:11" ht="15" customHeight="1">
      <c r="A588" s="93"/>
      <c r="B588" s="82"/>
      <c r="C588" s="93"/>
      <c r="D588" s="105"/>
      <c r="E588" s="105"/>
      <c r="F588" s="140"/>
      <c r="G588" s="109"/>
      <c r="H588" s="140"/>
      <c r="I588" s="94"/>
      <c r="J588" s="94"/>
      <c r="K588" s="94"/>
    </row>
    <row r="589" spans="1:11" ht="15" customHeight="1">
      <c r="A589" s="93"/>
      <c r="B589" s="82"/>
      <c r="C589" s="93"/>
      <c r="D589" s="105"/>
      <c r="E589" s="105"/>
      <c r="F589" s="140"/>
      <c r="G589" s="109"/>
      <c r="H589" s="140"/>
      <c r="I589" s="94"/>
      <c r="J589" s="94"/>
      <c r="K589" s="94"/>
    </row>
    <row r="590" spans="1:11" ht="15" customHeight="1">
      <c r="A590" s="93"/>
      <c r="B590" s="82"/>
      <c r="C590" s="93"/>
      <c r="D590" s="105"/>
      <c r="E590" s="105"/>
      <c r="F590" s="140"/>
      <c r="G590" s="109"/>
      <c r="H590" s="140"/>
      <c r="I590" s="94"/>
      <c r="J590" s="94"/>
      <c r="K590" s="94"/>
    </row>
    <row r="591" spans="1:11" ht="15" customHeight="1">
      <c r="A591" s="93"/>
      <c r="B591" s="188"/>
      <c r="C591" s="105"/>
      <c r="D591" s="272"/>
      <c r="E591" s="105"/>
      <c r="F591" s="140"/>
      <c r="G591" s="122"/>
      <c r="H591" s="140"/>
      <c r="I591" s="94"/>
      <c r="J591" s="94"/>
      <c r="K591" s="94"/>
    </row>
    <row r="592" spans="1:11" ht="15" customHeight="1">
      <c r="A592" s="93"/>
      <c r="B592" s="188"/>
      <c r="C592" s="272"/>
      <c r="D592" s="272"/>
      <c r="E592" s="105"/>
      <c r="F592" s="140"/>
      <c r="G592" s="109"/>
      <c r="H592" s="140"/>
      <c r="I592" s="94"/>
      <c r="J592" s="94"/>
      <c r="K592" s="94"/>
    </row>
    <row r="593" spans="1:11" ht="15" customHeight="1">
      <c r="A593" s="353"/>
      <c r="B593" s="115"/>
      <c r="C593" s="354"/>
      <c r="D593" s="355"/>
      <c r="E593" s="96"/>
      <c r="F593" s="356"/>
      <c r="G593" s="106"/>
      <c r="H593" s="356"/>
      <c r="I593" s="276"/>
      <c r="J593" s="276"/>
      <c r="K593" s="187"/>
    </row>
    <row r="594" spans="1:11" ht="15" customHeight="1">
      <c r="A594" s="84"/>
      <c r="B594" s="83"/>
      <c r="C594" s="100"/>
      <c r="D594" s="98"/>
      <c r="E594" s="96"/>
      <c r="F594" s="142"/>
      <c r="G594" s="107"/>
      <c r="H594" s="142"/>
      <c r="I594" s="94"/>
      <c r="J594" s="94"/>
    </row>
    <row r="595" spans="1:11" ht="15" customHeight="1">
      <c r="A595" s="84"/>
      <c r="B595" s="57"/>
      <c r="C595" s="84"/>
      <c r="D595" s="84"/>
      <c r="E595" s="96"/>
      <c r="I595" s="94"/>
      <c r="J595" s="94"/>
    </row>
    <row r="596" spans="1:11" ht="15" customHeight="1">
      <c r="A596" s="84"/>
      <c r="B596" s="57"/>
      <c r="C596" s="84"/>
      <c r="D596" s="84"/>
      <c r="E596" s="96"/>
      <c r="I596" s="94"/>
      <c r="J596" s="94"/>
    </row>
    <row r="597" spans="1:11" ht="15" customHeight="1">
      <c r="A597" s="84"/>
      <c r="B597" s="57"/>
      <c r="C597" s="84"/>
      <c r="D597" s="84"/>
      <c r="E597" s="96"/>
      <c r="I597" s="94"/>
      <c r="J597" s="94"/>
    </row>
    <row r="598" spans="1:11" ht="15" customHeight="1">
      <c r="A598" s="84"/>
      <c r="B598" s="57"/>
      <c r="C598" s="84"/>
      <c r="D598" s="84"/>
      <c r="E598" s="96"/>
      <c r="I598" s="94"/>
      <c r="J598" s="94"/>
    </row>
    <row r="599" spans="1:11" ht="15" customHeight="1">
      <c r="A599" s="84"/>
      <c r="B599" s="57"/>
      <c r="C599" s="84"/>
      <c r="D599" s="84"/>
      <c r="E599" s="96"/>
      <c r="I599" s="94"/>
      <c r="J599" s="94"/>
    </row>
    <row r="600" spans="1:11" ht="15" customHeight="1">
      <c r="A600" s="84"/>
      <c r="B600" s="57"/>
      <c r="C600" s="84"/>
      <c r="D600" s="84"/>
      <c r="E600" s="96"/>
      <c r="I600" s="94"/>
      <c r="J600" s="94"/>
    </row>
    <row r="601" spans="1:11" ht="15" customHeight="1">
      <c r="A601" s="128"/>
      <c r="C601" s="98"/>
      <c r="D601" s="98"/>
      <c r="E601" s="96"/>
      <c r="G601" s="122"/>
      <c r="H601" s="141"/>
    </row>
    <row r="602" spans="1:11" ht="15" customHeight="1">
      <c r="A602" s="128"/>
      <c r="C602" s="98"/>
      <c r="D602" s="98"/>
      <c r="E602" s="96"/>
      <c r="G602" s="107"/>
    </row>
    <row r="603" spans="1:11" ht="15" customHeight="1">
      <c r="A603" s="128"/>
      <c r="C603" s="98"/>
      <c r="D603" s="98"/>
      <c r="E603" s="96"/>
      <c r="G603" s="107"/>
    </row>
    <row r="604" spans="1:11" ht="15" customHeight="1">
      <c r="A604" s="84"/>
      <c r="C604" s="98"/>
      <c r="D604" s="98"/>
      <c r="E604" s="96"/>
      <c r="G604" s="107"/>
      <c r="I604" s="94"/>
      <c r="J604" s="94"/>
    </row>
    <row r="605" spans="1:11" ht="15" customHeight="1">
      <c r="A605" s="72"/>
      <c r="B605" s="82"/>
      <c r="C605" s="273"/>
      <c r="D605" s="72"/>
      <c r="E605" s="96"/>
      <c r="F605" s="140"/>
      <c r="G605" s="110"/>
      <c r="H605" s="140"/>
      <c r="I605" s="94"/>
      <c r="J605" s="94"/>
    </row>
    <row r="606" spans="1:11" ht="15" customHeight="1">
      <c r="A606" s="84"/>
      <c r="C606" s="98"/>
      <c r="D606" s="98"/>
      <c r="E606" s="96"/>
      <c r="G606" s="107"/>
    </row>
    <row r="607" spans="1:11" ht="15" customHeight="1">
      <c r="A607" s="84"/>
      <c r="B607" s="103"/>
      <c r="C607" s="84"/>
      <c r="D607" s="84"/>
      <c r="E607" s="96"/>
      <c r="G607" s="107"/>
      <c r="I607" s="94"/>
      <c r="J607" s="94"/>
    </row>
    <row r="608" spans="1:11" ht="15" customHeight="1">
      <c r="A608" s="84"/>
      <c r="B608" s="103"/>
      <c r="C608" s="84"/>
      <c r="D608" s="84"/>
      <c r="E608" s="96"/>
      <c r="G608" s="107"/>
      <c r="I608" s="94"/>
      <c r="J608" s="94"/>
    </row>
    <row r="609" spans="1:11" ht="15" customHeight="1">
      <c r="A609" s="85"/>
      <c r="B609" s="82"/>
      <c r="C609" s="99"/>
      <c r="D609" s="99"/>
      <c r="E609" s="96"/>
      <c r="F609" s="140"/>
      <c r="G609" s="109"/>
      <c r="H609" s="140"/>
      <c r="I609" s="94"/>
      <c r="J609" s="94"/>
      <c r="K609" s="129"/>
    </row>
    <row r="610" spans="1:11" ht="15" customHeight="1">
      <c r="A610" s="84"/>
      <c r="C610" s="98"/>
      <c r="D610" s="98"/>
      <c r="E610" s="96"/>
      <c r="G610" s="107"/>
      <c r="I610" s="94"/>
      <c r="J610" s="94"/>
      <c r="K610" s="94"/>
    </row>
    <row r="611" spans="1:11" ht="15" customHeight="1">
      <c r="A611" s="84"/>
      <c r="C611" s="98"/>
      <c r="D611" s="98"/>
      <c r="E611" s="96"/>
      <c r="G611" s="107"/>
      <c r="I611" s="94"/>
      <c r="J611" s="94"/>
      <c r="K611" s="94"/>
    </row>
    <row r="612" spans="1:11" ht="15" customHeight="1">
      <c r="A612" s="84"/>
      <c r="C612" s="98"/>
      <c r="D612" s="98"/>
      <c r="E612" s="96"/>
      <c r="G612" s="107"/>
      <c r="I612" s="94"/>
      <c r="J612" s="94"/>
      <c r="K612" s="94"/>
    </row>
    <row r="613" spans="1:11" ht="15" customHeight="1">
      <c r="A613" s="84"/>
      <c r="C613" s="98"/>
      <c r="D613" s="98"/>
      <c r="E613" s="96"/>
      <c r="G613" s="107"/>
      <c r="I613" s="94"/>
      <c r="J613" s="94"/>
      <c r="K613" s="94"/>
    </row>
    <row r="614" spans="1:11" ht="15" customHeight="1">
      <c r="A614" s="84"/>
      <c r="C614" s="98"/>
      <c r="D614" s="98"/>
      <c r="E614" s="96"/>
      <c r="G614" s="107"/>
      <c r="I614" s="94"/>
      <c r="J614" s="94"/>
      <c r="K614" s="94"/>
    </row>
    <row r="615" spans="1:11" ht="15" customHeight="1">
      <c r="A615" s="84"/>
      <c r="C615" s="98"/>
      <c r="D615" s="98"/>
      <c r="E615" s="96"/>
      <c r="G615" s="107"/>
      <c r="I615" s="94"/>
      <c r="J615" s="94"/>
      <c r="K615" s="94"/>
    </row>
    <row r="616" spans="1:11" ht="15" customHeight="1">
      <c r="A616" s="84"/>
      <c r="C616" s="98"/>
      <c r="D616" s="98"/>
      <c r="E616" s="96"/>
      <c r="G616" s="107"/>
      <c r="I616" s="94"/>
      <c r="J616" s="94"/>
      <c r="K616" s="94"/>
    </row>
    <row r="617" spans="1:11" ht="15" customHeight="1">
      <c r="A617" s="84"/>
      <c r="C617" s="98"/>
      <c r="D617" s="98"/>
      <c r="E617" s="96"/>
      <c r="G617" s="107"/>
      <c r="I617" s="94"/>
      <c r="J617" s="94"/>
      <c r="K617" s="94"/>
    </row>
    <row r="618" spans="1:11" ht="15" customHeight="1">
      <c r="A618" s="84"/>
      <c r="C618" s="98"/>
      <c r="D618" s="98"/>
      <c r="E618" s="96"/>
      <c r="G618" s="107"/>
      <c r="I618" s="94"/>
      <c r="J618" s="94"/>
      <c r="K618" s="94"/>
    </row>
    <row r="619" spans="1:11" ht="15" customHeight="1">
      <c r="A619" s="84"/>
      <c r="C619" s="98"/>
      <c r="D619" s="98"/>
      <c r="E619" s="96"/>
      <c r="G619" s="107"/>
      <c r="I619" s="94"/>
      <c r="J619" s="94"/>
      <c r="K619" s="94"/>
    </row>
    <row r="620" spans="1:11" ht="15" customHeight="1">
      <c r="A620" s="84"/>
      <c r="C620" s="98"/>
      <c r="D620" s="98"/>
      <c r="E620" s="96"/>
      <c r="G620" s="107"/>
      <c r="I620" s="94"/>
      <c r="J620" s="94"/>
      <c r="K620" s="94"/>
    </row>
    <row r="621" spans="1:11" ht="15" customHeight="1">
      <c r="A621" s="84"/>
      <c r="C621" s="98"/>
      <c r="D621" s="98"/>
      <c r="E621" s="96"/>
      <c r="G621" s="107"/>
      <c r="I621" s="94"/>
      <c r="J621" s="94"/>
      <c r="K621" s="94"/>
    </row>
    <row r="622" spans="1:11" ht="15" customHeight="1">
      <c r="A622" s="84"/>
      <c r="C622" s="98"/>
      <c r="D622" s="98"/>
      <c r="E622" s="96"/>
      <c r="G622" s="107"/>
      <c r="I622" s="94"/>
      <c r="J622" s="94"/>
      <c r="K622" s="94"/>
    </row>
    <row r="623" spans="1:11" ht="15" customHeight="1">
      <c r="A623" s="84"/>
      <c r="C623" s="98"/>
      <c r="D623" s="98"/>
      <c r="E623" s="96"/>
      <c r="G623" s="107"/>
      <c r="I623" s="94"/>
      <c r="J623" s="94"/>
      <c r="K623" s="94"/>
    </row>
    <row r="624" spans="1:11" ht="15" customHeight="1">
      <c r="A624" s="84"/>
      <c r="C624" s="98"/>
      <c r="D624" s="98"/>
      <c r="E624" s="96"/>
      <c r="G624" s="107"/>
      <c r="I624" s="94"/>
      <c r="J624" s="94"/>
      <c r="K624" s="94"/>
    </row>
    <row r="625" spans="1:11" ht="15" customHeight="1">
      <c r="A625" s="86"/>
      <c r="B625" s="87"/>
      <c r="C625" s="101"/>
      <c r="D625" s="101"/>
      <c r="E625" s="96"/>
      <c r="F625" s="143"/>
      <c r="G625" s="111"/>
      <c r="H625" s="143"/>
      <c r="I625" s="95"/>
      <c r="J625" s="94"/>
      <c r="K625" s="94"/>
    </row>
    <row r="626" spans="1:11" ht="15" customHeight="1">
      <c r="A626" s="81"/>
      <c r="C626" s="97"/>
      <c r="D626" s="97"/>
      <c r="E626" s="96"/>
      <c r="G626" s="107"/>
      <c r="I626" s="94"/>
      <c r="J626" s="94"/>
      <c r="K626" s="94"/>
    </row>
    <row r="627" spans="1:11" ht="15" customHeight="1">
      <c r="A627" s="88"/>
      <c r="C627" s="97"/>
      <c r="D627" s="97"/>
      <c r="E627" s="96"/>
      <c r="G627" s="106"/>
      <c r="I627" s="94"/>
      <c r="J627" s="94"/>
      <c r="K627" s="94"/>
    </row>
    <row r="628" spans="1:11" ht="15" customHeight="1">
      <c r="A628" s="88"/>
      <c r="C628" s="97"/>
      <c r="D628" s="97"/>
      <c r="E628" s="96"/>
      <c r="G628" s="106"/>
      <c r="I628" s="94"/>
      <c r="J628" s="94"/>
    </row>
    <row r="629" spans="1:11" ht="15" customHeight="1">
      <c r="A629" s="88"/>
      <c r="C629" s="97"/>
      <c r="D629" s="97"/>
      <c r="E629" s="96"/>
      <c r="G629" s="106"/>
      <c r="I629" s="94"/>
      <c r="J629" s="94"/>
    </row>
    <row r="630" spans="1:11" ht="15" customHeight="1">
      <c r="A630" s="88"/>
      <c r="C630" s="97"/>
      <c r="D630" s="97"/>
      <c r="E630" s="96"/>
      <c r="G630" s="106"/>
      <c r="I630" s="94"/>
      <c r="J630" s="94"/>
      <c r="K630" s="94"/>
    </row>
    <row r="631" spans="1:11" ht="15" customHeight="1">
      <c r="A631" s="88"/>
      <c r="C631" s="97"/>
      <c r="D631" s="97"/>
      <c r="E631" s="96"/>
      <c r="G631" s="106"/>
      <c r="I631" s="94"/>
      <c r="J631" s="94"/>
    </row>
    <row r="632" spans="1:11" ht="15" customHeight="1">
      <c r="A632" s="88"/>
      <c r="C632" s="97"/>
      <c r="D632" s="97"/>
      <c r="E632" s="96"/>
      <c r="G632" s="106"/>
      <c r="I632" s="94"/>
      <c r="J632" s="94"/>
    </row>
    <row r="633" spans="1:11" ht="15" customHeight="1">
      <c r="A633" s="88"/>
      <c r="C633" s="97"/>
      <c r="D633" s="97"/>
      <c r="E633" s="96"/>
      <c r="G633" s="106"/>
      <c r="I633" s="94"/>
      <c r="J633" s="94"/>
    </row>
    <row r="634" spans="1:11" ht="15" customHeight="1">
      <c r="A634" s="88"/>
      <c r="C634" s="97"/>
      <c r="D634" s="97"/>
      <c r="E634" s="96"/>
      <c r="G634" s="106"/>
      <c r="I634" s="94"/>
      <c r="J634" s="94"/>
    </row>
    <row r="635" spans="1:11" ht="15" customHeight="1">
      <c r="A635" s="88"/>
      <c r="C635" s="97"/>
      <c r="D635" s="97"/>
      <c r="E635" s="96"/>
      <c r="G635" s="106"/>
      <c r="I635" s="94"/>
      <c r="J635" s="94"/>
    </row>
    <row r="636" spans="1:11" ht="15" customHeight="1">
      <c r="A636" s="88"/>
      <c r="C636" s="97"/>
      <c r="D636" s="97"/>
      <c r="E636" s="96"/>
      <c r="G636" s="106"/>
      <c r="I636" s="94"/>
      <c r="J636" s="94"/>
    </row>
    <row r="637" spans="1:11" ht="15" customHeight="1">
      <c r="A637" s="88"/>
      <c r="C637" s="97"/>
      <c r="D637" s="97"/>
      <c r="E637" s="96"/>
      <c r="G637" s="106"/>
      <c r="I637" s="94"/>
      <c r="J637" s="94"/>
    </row>
    <row r="638" spans="1:11" ht="15" customHeight="1">
      <c r="A638" s="88"/>
      <c r="C638" s="97"/>
      <c r="D638" s="97"/>
      <c r="E638" s="96"/>
      <c r="G638" s="106"/>
      <c r="I638" s="94"/>
      <c r="J638" s="94"/>
    </row>
    <row r="639" spans="1:11" ht="15" customHeight="1">
      <c r="A639" s="88"/>
      <c r="C639" s="97"/>
      <c r="D639" s="97"/>
      <c r="E639" s="96"/>
      <c r="G639" s="106"/>
      <c r="I639" s="94"/>
      <c r="J639" s="94"/>
      <c r="K639" s="94"/>
    </row>
    <row r="640" spans="1:11" ht="15" customHeight="1">
      <c r="A640" s="88"/>
      <c r="C640" s="97"/>
      <c r="D640" s="97"/>
      <c r="E640" s="96"/>
      <c r="G640" s="106"/>
      <c r="I640" s="94"/>
      <c r="J640" s="94"/>
    </row>
    <row r="641" spans="1:11" ht="15" customHeight="1">
      <c r="A641" s="88"/>
      <c r="C641" s="97"/>
      <c r="D641" s="97"/>
      <c r="E641" s="96"/>
      <c r="G641" s="106"/>
      <c r="I641" s="94"/>
      <c r="J641" s="94"/>
    </row>
    <row r="642" spans="1:11" ht="15" customHeight="1">
      <c r="A642" s="88"/>
      <c r="C642" s="97"/>
      <c r="D642" s="97"/>
      <c r="E642" s="96"/>
      <c r="G642" s="106"/>
      <c r="I642" s="94"/>
      <c r="J642" s="94"/>
    </row>
    <row r="643" spans="1:11" ht="15" customHeight="1">
      <c r="A643" s="88"/>
      <c r="C643" s="97"/>
      <c r="D643" s="97"/>
      <c r="E643" s="96"/>
      <c r="G643" s="106"/>
      <c r="I643" s="94"/>
      <c r="J643" s="94"/>
      <c r="K643" s="94"/>
    </row>
    <row r="644" spans="1:11" ht="15" customHeight="1">
      <c r="A644" s="88"/>
      <c r="C644" s="97"/>
      <c r="D644" s="97"/>
      <c r="E644" s="96"/>
      <c r="G644" s="106"/>
      <c r="I644" s="94"/>
      <c r="J644" s="94"/>
    </row>
    <row r="645" spans="1:11" ht="15" customHeight="1">
      <c r="A645" s="88"/>
      <c r="C645" s="97"/>
      <c r="D645" s="97"/>
      <c r="E645" s="96"/>
      <c r="G645" s="106"/>
      <c r="I645" s="94"/>
      <c r="J645" s="94"/>
    </row>
    <row r="646" spans="1:11" ht="15" customHeight="1">
      <c r="A646" s="88"/>
      <c r="C646" s="97"/>
      <c r="D646" s="101"/>
      <c r="E646" s="96"/>
      <c r="G646" s="106"/>
      <c r="I646" s="94"/>
      <c r="J646" s="94"/>
    </row>
    <row r="647" spans="1:11" ht="15" customHeight="1">
      <c r="A647" s="88"/>
      <c r="C647" s="97"/>
      <c r="D647" s="101"/>
      <c r="E647" s="96"/>
      <c r="G647" s="106"/>
      <c r="I647" s="94"/>
      <c r="J647" s="94"/>
    </row>
    <row r="648" spans="1:11" ht="15" customHeight="1">
      <c r="A648" s="88"/>
      <c r="C648" s="97"/>
      <c r="D648" s="101"/>
      <c r="E648" s="96"/>
      <c r="G648" s="106"/>
      <c r="I648" s="94"/>
      <c r="J648" s="94"/>
    </row>
    <row r="649" spans="1:11" ht="15" customHeight="1">
      <c r="A649" s="88"/>
      <c r="C649" s="97"/>
      <c r="D649" s="101"/>
      <c r="E649" s="96"/>
      <c r="G649" s="106"/>
      <c r="I649" s="94"/>
      <c r="J649" s="94"/>
    </row>
    <row r="650" spans="1:11" ht="15" customHeight="1">
      <c r="A650" s="88"/>
      <c r="C650" s="97"/>
      <c r="D650" s="101"/>
      <c r="E650" s="96"/>
      <c r="G650" s="106"/>
      <c r="I650" s="94"/>
      <c r="J650" s="94"/>
    </row>
    <row r="651" spans="1:11" ht="15" customHeight="1">
      <c r="A651" s="88"/>
      <c r="C651" s="97"/>
      <c r="D651" s="101"/>
      <c r="E651" s="96"/>
      <c r="G651" s="106"/>
      <c r="I651" s="94"/>
      <c r="J651" s="94"/>
    </row>
    <row r="652" spans="1:11" ht="15" customHeight="1">
      <c r="A652" s="88"/>
      <c r="C652" s="97"/>
      <c r="D652" s="101"/>
      <c r="E652" s="96"/>
      <c r="G652" s="111"/>
      <c r="I652" s="94"/>
      <c r="J652" s="94"/>
    </row>
    <row r="653" spans="1:11">
      <c r="A653" s="88"/>
      <c r="C653" s="97"/>
      <c r="D653" s="101"/>
      <c r="E653" s="96"/>
      <c r="G653" s="111"/>
      <c r="I653" s="94"/>
      <c r="J653" s="94"/>
    </row>
    <row r="654" spans="1:11">
      <c r="A654" s="88"/>
      <c r="C654" s="97"/>
      <c r="D654" s="101"/>
      <c r="E654" s="96"/>
      <c r="G654" s="111"/>
      <c r="I654" s="94"/>
      <c r="J654" s="94"/>
    </row>
    <row r="655" spans="1:11">
      <c r="A655" s="88"/>
      <c r="C655" s="97"/>
      <c r="D655" s="101"/>
      <c r="E655" s="96"/>
      <c r="G655" s="111"/>
      <c r="I655" s="94"/>
      <c r="J655" s="94"/>
    </row>
    <row r="656" spans="1:11">
      <c r="A656" s="88"/>
      <c r="C656" s="97"/>
      <c r="D656" s="101"/>
      <c r="E656" s="96"/>
      <c r="G656" s="111"/>
      <c r="I656" s="94"/>
      <c r="J656" s="94"/>
    </row>
    <row r="657" spans="1:10">
      <c r="A657" s="88"/>
      <c r="C657" s="97"/>
      <c r="D657" s="101"/>
      <c r="E657" s="96"/>
      <c r="G657" s="111"/>
      <c r="I657" s="94"/>
      <c r="J657" s="94"/>
    </row>
    <row r="658" spans="1:10">
      <c r="A658" s="88"/>
      <c r="C658" s="97"/>
      <c r="D658" s="101"/>
      <c r="E658" s="96"/>
      <c r="G658" s="111"/>
      <c r="I658" s="94"/>
      <c r="J658" s="94"/>
    </row>
    <row r="659" spans="1:10">
      <c r="A659" s="88"/>
      <c r="C659" s="97"/>
      <c r="D659" s="101"/>
      <c r="E659" s="96"/>
      <c r="G659" s="107"/>
      <c r="I659" s="94"/>
      <c r="J659" s="94"/>
    </row>
    <row r="660" spans="1:10">
      <c r="A660" s="89"/>
      <c r="C660" s="96"/>
      <c r="D660" s="101"/>
      <c r="E660" s="96"/>
      <c r="F660" s="139"/>
      <c r="G660" s="107"/>
      <c r="H660" s="139"/>
      <c r="I660" s="94"/>
      <c r="J660" s="94"/>
    </row>
    <row r="661" spans="1:10">
      <c r="A661" s="90"/>
      <c r="C661" s="97"/>
      <c r="D661" s="101"/>
      <c r="E661" s="96"/>
      <c r="G661" s="107"/>
      <c r="I661" s="94"/>
      <c r="J661" s="94"/>
    </row>
    <row r="662" spans="1:10">
      <c r="A662" s="88"/>
      <c r="C662" s="97"/>
      <c r="D662" s="97"/>
      <c r="E662" s="96"/>
      <c r="G662" s="107"/>
      <c r="I662" s="94"/>
      <c r="J662" s="94"/>
    </row>
    <row r="663" spans="1:10">
      <c r="A663" s="89"/>
      <c r="C663" s="96"/>
      <c r="D663" s="96"/>
      <c r="E663" s="96"/>
      <c r="F663" s="139"/>
      <c r="G663" s="106"/>
      <c r="H663" s="139"/>
      <c r="I663" s="94"/>
      <c r="J663" s="94"/>
    </row>
    <row r="664" spans="1:10">
      <c r="A664" s="90"/>
      <c r="C664" s="97"/>
      <c r="D664" s="97"/>
      <c r="E664" s="96"/>
      <c r="G664" s="107"/>
      <c r="I664" s="94"/>
      <c r="J664" s="94"/>
    </row>
    <row r="665" spans="1:10">
      <c r="A665" s="90"/>
      <c r="C665" s="97"/>
      <c r="D665" s="97"/>
      <c r="E665" s="96"/>
      <c r="G665" s="107"/>
      <c r="I665" s="94"/>
      <c r="J665" s="94"/>
    </row>
    <row r="666" spans="1:10">
      <c r="A666" s="90"/>
      <c r="C666" s="97"/>
      <c r="D666" s="97"/>
      <c r="E666" s="96"/>
      <c r="G666" s="107"/>
      <c r="I666" s="94"/>
      <c r="J666" s="94"/>
    </row>
    <row r="667" spans="1:10">
      <c r="A667" s="90"/>
      <c r="C667" s="97"/>
      <c r="D667" s="97"/>
      <c r="E667" s="96"/>
      <c r="G667" s="107"/>
      <c r="I667" s="94"/>
      <c r="J667" s="94"/>
    </row>
    <row r="668" spans="1:10">
      <c r="A668" s="90"/>
      <c r="C668" s="97"/>
      <c r="D668" s="97"/>
      <c r="E668" s="96"/>
      <c r="G668" s="107"/>
      <c r="I668" s="94"/>
      <c r="J668" s="94"/>
    </row>
    <row r="669" spans="1:10">
      <c r="A669" s="90"/>
      <c r="C669" s="97"/>
      <c r="D669" s="97"/>
      <c r="E669" s="96"/>
      <c r="G669" s="107"/>
      <c r="I669" s="94"/>
      <c r="J669" s="94"/>
    </row>
    <row r="670" spans="1:10">
      <c r="A670" s="90"/>
      <c r="C670" s="97"/>
      <c r="D670" s="97"/>
      <c r="E670" s="96"/>
      <c r="G670" s="107"/>
      <c r="I670" s="94"/>
      <c r="J670" s="94"/>
    </row>
    <row r="671" spans="1:10">
      <c r="A671" s="90"/>
      <c r="C671" s="97"/>
      <c r="D671" s="97"/>
      <c r="E671" s="96"/>
      <c r="G671" s="107"/>
      <c r="I671" s="94"/>
      <c r="J671" s="94"/>
    </row>
    <row r="672" spans="1:10">
      <c r="A672" s="89"/>
      <c r="B672" s="79"/>
      <c r="C672" s="96"/>
      <c r="D672" s="96"/>
      <c r="E672" s="96"/>
      <c r="F672" s="139"/>
      <c r="G672" s="106"/>
      <c r="H672" s="139"/>
      <c r="I672" s="94"/>
      <c r="J672" s="94"/>
    </row>
    <row r="673" spans="1:11">
      <c r="A673" s="89"/>
      <c r="C673" s="97"/>
      <c r="D673" s="97"/>
      <c r="E673" s="96"/>
      <c r="G673" s="107"/>
      <c r="I673" s="94"/>
      <c r="J673" s="94"/>
    </row>
    <row r="674" spans="1:11">
      <c r="A674" s="90"/>
      <c r="C674" s="97"/>
      <c r="D674" s="97"/>
      <c r="E674" s="96"/>
      <c r="F674" s="144"/>
      <c r="G674" s="107"/>
      <c r="I674" s="94"/>
      <c r="J674" s="94"/>
    </row>
    <row r="675" spans="1:11">
      <c r="A675" s="81"/>
      <c r="B675" s="79"/>
      <c r="C675" s="96"/>
      <c r="D675" s="96"/>
      <c r="E675" s="96"/>
      <c r="F675" s="139"/>
      <c r="G675" s="106"/>
      <c r="H675" s="139"/>
      <c r="I675" s="94"/>
      <c r="J675" s="94"/>
    </row>
    <row r="676" spans="1:11">
      <c r="A676" s="81"/>
      <c r="C676" s="97"/>
      <c r="D676" s="97"/>
      <c r="E676" s="96"/>
      <c r="G676" s="107"/>
      <c r="I676" s="94"/>
      <c r="J676" s="94"/>
    </row>
    <row r="677" spans="1:11">
      <c r="A677" s="81"/>
      <c r="C677" s="97"/>
      <c r="D677" s="97"/>
      <c r="E677" s="96"/>
      <c r="G677" s="107"/>
      <c r="I677" s="94"/>
      <c r="J677" s="94"/>
    </row>
    <row r="678" spans="1:11">
      <c r="A678" s="91"/>
      <c r="B678" s="92"/>
      <c r="C678" s="102"/>
      <c r="D678" s="102"/>
      <c r="E678" s="96"/>
      <c r="F678" s="145"/>
      <c r="G678" s="112"/>
      <c r="H678" s="145"/>
      <c r="I678" s="95"/>
      <c r="J678" s="95"/>
      <c r="K678" s="130"/>
    </row>
    <row r="679" spans="1:11">
      <c r="A679" s="81"/>
      <c r="C679" s="97"/>
      <c r="D679" s="97"/>
      <c r="E679" s="96"/>
      <c r="G679" s="107"/>
      <c r="I679" s="94"/>
      <c r="J679" s="94"/>
    </row>
    <row r="680" spans="1:11">
      <c r="A680" s="81"/>
      <c r="C680" s="97"/>
      <c r="D680" s="97"/>
      <c r="E680" s="96"/>
      <c r="G680" s="107"/>
      <c r="I680" s="94"/>
      <c r="J680" s="94"/>
    </row>
    <row r="681" spans="1:11">
      <c r="A681" s="81"/>
      <c r="C681" s="97"/>
      <c r="D681" s="97"/>
      <c r="E681" s="96"/>
      <c r="G681" s="107"/>
      <c r="I681" s="94"/>
      <c r="J681" s="94"/>
    </row>
    <row r="682" spans="1:11">
      <c r="A682" s="81"/>
      <c r="C682" s="97"/>
      <c r="D682" s="97"/>
      <c r="E682" s="96"/>
      <c r="G682" s="107"/>
      <c r="I682" s="94"/>
      <c r="J682" s="94"/>
    </row>
    <row r="683" spans="1:11">
      <c r="A683" s="81"/>
      <c r="C683" s="97"/>
      <c r="D683" s="97"/>
      <c r="E683" s="96"/>
      <c r="G683" s="107"/>
      <c r="I683" s="94"/>
      <c r="J683" s="94"/>
    </row>
    <row r="684" spans="1:11">
      <c r="A684" s="81"/>
      <c r="C684" s="97"/>
      <c r="D684" s="97"/>
      <c r="E684" s="96"/>
      <c r="G684" s="107"/>
      <c r="I684" s="94"/>
      <c r="J684" s="94"/>
    </row>
    <row r="685" spans="1:11">
      <c r="A685" s="81"/>
      <c r="C685" s="97"/>
      <c r="D685" s="97"/>
      <c r="E685" s="96"/>
      <c r="G685" s="107"/>
      <c r="I685" s="94"/>
      <c r="J685" s="94"/>
    </row>
    <row r="686" spans="1:11">
      <c r="A686" s="81"/>
      <c r="C686" s="97"/>
      <c r="D686" s="97"/>
      <c r="E686" s="96"/>
      <c r="G686" s="107"/>
      <c r="I686" s="94"/>
      <c r="J686" s="94"/>
    </row>
    <row r="687" spans="1:11">
      <c r="A687" s="81"/>
      <c r="C687" s="97"/>
      <c r="D687" s="97"/>
      <c r="E687" s="96"/>
      <c r="G687" s="107"/>
      <c r="I687" s="94"/>
      <c r="J687" s="94"/>
    </row>
    <row r="688" spans="1:11">
      <c r="A688" s="81"/>
      <c r="C688" s="97"/>
      <c r="D688" s="97"/>
      <c r="E688" s="96"/>
      <c r="G688" s="107"/>
      <c r="I688" s="94"/>
      <c r="J688" s="94"/>
    </row>
    <row r="689" spans="1:10">
      <c r="A689" s="81"/>
      <c r="C689" s="97"/>
      <c r="D689" s="97"/>
      <c r="E689" s="96"/>
      <c r="G689" s="107"/>
      <c r="I689" s="94"/>
      <c r="J689" s="94"/>
    </row>
    <row r="690" spans="1:10">
      <c r="A690" s="81"/>
      <c r="C690" s="97"/>
      <c r="D690" s="97"/>
      <c r="E690" s="96"/>
      <c r="G690" s="107"/>
      <c r="I690" s="94"/>
      <c r="J690" s="94"/>
    </row>
    <row r="691" spans="1:10">
      <c r="A691" s="60"/>
      <c r="C691" s="97"/>
      <c r="D691" s="97"/>
      <c r="E691" s="96"/>
      <c r="G691" s="107"/>
      <c r="I691" s="94"/>
      <c r="J691" s="94"/>
    </row>
    <row r="692" spans="1:10">
      <c r="A692" s="81"/>
      <c r="C692" s="97"/>
      <c r="D692" s="97"/>
      <c r="E692" s="96"/>
      <c r="G692" s="107"/>
      <c r="I692" s="94"/>
      <c r="J692" s="94"/>
    </row>
    <row r="693" spans="1:10">
      <c r="A693" s="81"/>
      <c r="C693" s="97"/>
      <c r="D693" s="97"/>
      <c r="E693" s="96"/>
      <c r="G693" s="107"/>
      <c r="I693" s="94"/>
      <c r="J693" s="94"/>
    </row>
    <row r="694" spans="1:10">
      <c r="E694" s="96"/>
    </row>
    <row r="695" spans="1:10">
      <c r="E695" s="96"/>
    </row>
    <row r="696" spans="1:10">
      <c r="E696" s="96"/>
    </row>
    <row r="697" spans="1:10">
      <c r="E697" s="96"/>
    </row>
    <row r="698" spans="1:10">
      <c r="E698" s="96"/>
    </row>
    <row r="699" spans="1:10">
      <c r="E699" s="96"/>
    </row>
    <row r="700" spans="1:10">
      <c r="E700" s="96"/>
    </row>
    <row r="701" spans="1:10">
      <c r="E701" s="96"/>
    </row>
    <row r="702" spans="1:10">
      <c r="E702" s="96"/>
    </row>
    <row r="703" spans="1:10">
      <c r="E703" s="96"/>
    </row>
    <row r="704" spans="1:10">
      <c r="E704" s="96"/>
    </row>
    <row r="705" spans="5:5">
      <c r="E705" s="96"/>
    </row>
    <row r="706" spans="5:5">
      <c r="E706" s="96"/>
    </row>
    <row r="707" spans="5:5">
      <c r="E707" s="96"/>
    </row>
    <row r="708" spans="5:5">
      <c r="E708" s="96"/>
    </row>
    <row r="709" spans="5:5">
      <c r="E709" s="96"/>
    </row>
    <row r="710" spans="5:5">
      <c r="E710" s="96"/>
    </row>
    <row r="711" spans="5:5">
      <c r="E711" s="96"/>
    </row>
    <row r="712" spans="5:5">
      <c r="E712" s="96"/>
    </row>
    <row r="713" spans="5:5">
      <c r="E713" s="96"/>
    </row>
    <row r="714" spans="5:5">
      <c r="E714" s="96"/>
    </row>
    <row r="715" spans="5:5">
      <c r="E715" s="96"/>
    </row>
    <row r="716" spans="5:5">
      <c r="E716" s="96"/>
    </row>
    <row r="717" spans="5:5">
      <c r="E717" s="96"/>
    </row>
    <row r="718" spans="5:5">
      <c r="E718" s="96"/>
    </row>
    <row r="719" spans="5:5">
      <c r="E719" s="96"/>
    </row>
    <row r="720" spans="5:5">
      <c r="E720" s="96"/>
    </row>
    <row r="721" spans="5:5">
      <c r="E721" s="96"/>
    </row>
    <row r="722" spans="5:5">
      <c r="E722" s="96"/>
    </row>
    <row r="723" spans="5:5">
      <c r="E723" s="96"/>
    </row>
    <row r="724" spans="5:5">
      <c r="E724" s="96"/>
    </row>
    <row r="725" spans="5:5">
      <c r="E725" s="96"/>
    </row>
    <row r="726" spans="5:5">
      <c r="E726" s="96"/>
    </row>
    <row r="727" spans="5:5">
      <c r="E727" s="96"/>
    </row>
    <row r="728" spans="5:5">
      <c r="E728" s="96"/>
    </row>
    <row r="729" spans="5:5">
      <c r="E729" s="96"/>
    </row>
    <row r="730" spans="5:5">
      <c r="E730" s="96"/>
    </row>
    <row r="731" spans="5:5">
      <c r="E731" s="96"/>
    </row>
    <row r="732" spans="5:5">
      <c r="E732" s="96"/>
    </row>
    <row r="733" spans="5:5">
      <c r="E733" s="96"/>
    </row>
    <row r="734" spans="5:5">
      <c r="E734" s="96"/>
    </row>
    <row r="735" spans="5:5">
      <c r="E735" s="96"/>
    </row>
    <row r="736" spans="5:5">
      <c r="E736" s="96"/>
    </row>
    <row r="737" spans="5:5">
      <c r="E737" s="96"/>
    </row>
    <row r="738" spans="5:5">
      <c r="E738" s="96"/>
    </row>
    <row r="739" spans="5:5">
      <c r="E739" s="96"/>
    </row>
    <row r="740" spans="5:5">
      <c r="E740" s="96"/>
    </row>
    <row r="741" spans="5:5">
      <c r="E741" s="96"/>
    </row>
    <row r="742" spans="5:5">
      <c r="E742" s="96"/>
    </row>
    <row r="743" spans="5:5">
      <c r="E743" s="96"/>
    </row>
    <row r="744" spans="5:5">
      <c r="E744" s="96"/>
    </row>
    <row r="745" spans="5:5">
      <c r="E745" s="96"/>
    </row>
    <row r="746" spans="5:5">
      <c r="E746" s="96"/>
    </row>
    <row r="747" spans="5:5">
      <c r="E747" s="96"/>
    </row>
    <row r="748" spans="5:5">
      <c r="E748" s="96"/>
    </row>
    <row r="749" spans="5:5">
      <c r="E749" s="96"/>
    </row>
    <row r="750" spans="5:5">
      <c r="E750" s="96"/>
    </row>
    <row r="751" spans="5:5">
      <c r="E751" s="96"/>
    </row>
    <row r="752" spans="5:5">
      <c r="E752" s="96"/>
    </row>
    <row r="753" spans="5:5">
      <c r="E753" s="96"/>
    </row>
    <row r="754" spans="5:5">
      <c r="E754" s="96"/>
    </row>
    <row r="755" spans="5:5">
      <c r="E755" s="96"/>
    </row>
    <row r="756" spans="5:5">
      <c r="E756" s="96"/>
    </row>
    <row r="757" spans="5:5">
      <c r="E757" s="96"/>
    </row>
    <row r="758" spans="5:5">
      <c r="E758" s="96"/>
    </row>
    <row r="759" spans="5:5">
      <c r="E759" s="96"/>
    </row>
    <row r="760" spans="5:5">
      <c r="E760" s="96"/>
    </row>
    <row r="761" spans="5:5">
      <c r="E761" s="96"/>
    </row>
    <row r="762" spans="5:5">
      <c r="E762" s="96"/>
    </row>
    <row r="763" spans="5:5">
      <c r="E763" s="96"/>
    </row>
    <row r="764" spans="5:5">
      <c r="E764" s="96"/>
    </row>
    <row r="765" spans="5:5">
      <c r="E765" s="96"/>
    </row>
    <row r="766" spans="5:5">
      <c r="E766" s="96"/>
    </row>
    <row r="767" spans="5:5">
      <c r="E767" s="96"/>
    </row>
    <row r="768" spans="5:5">
      <c r="E768" s="96"/>
    </row>
    <row r="769" spans="5:5">
      <c r="E769" s="96"/>
    </row>
    <row r="770" spans="5:5">
      <c r="E770" s="96"/>
    </row>
    <row r="771" spans="5:5">
      <c r="E771" s="96"/>
    </row>
    <row r="772" spans="5:5">
      <c r="E772" s="96"/>
    </row>
    <row r="773" spans="5:5">
      <c r="E773" s="96"/>
    </row>
    <row r="774" spans="5:5">
      <c r="E774" s="96"/>
    </row>
    <row r="775" spans="5:5">
      <c r="E775" s="96"/>
    </row>
    <row r="776" spans="5:5">
      <c r="E776" s="96"/>
    </row>
    <row r="777" spans="5:5">
      <c r="E777" s="96"/>
    </row>
    <row r="778" spans="5:5">
      <c r="E778" s="96"/>
    </row>
    <row r="779" spans="5:5">
      <c r="E779" s="96"/>
    </row>
    <row r="780" spans="5:5">
      <c r="E780" s="96"/>
    </row>
    <row r="781" spans="5:5">
      <c r="E781" s="96"/>
    </row>
    <row r="782" spans="5:5">
      <c r="E782" s="96"/>
    </row>
    <row r="783" spans="5:5">
      <c r="E783" s="96"/>
    </row>
    <row r="784" spans="5:5">
      <c r="E784" s="96"/>
    </row>
    <row r="785" spans="5:5">
      <c r="E785" s="96"/>
    </row>
    <row r="786" spans="5:5">
      <c r="E786" s="96"/>
    </row>
    <row r="787" spans="5:5">
      <c r="E787" s="96"/>
    </row>
    <row r="788" spans="5:5">
      <c r="E788" s="96"/>
    </row>
    <row r="789" spans="5:5">
      <c r="E789" s="96"/>
    </row>
    <row r="790" spans="5:5">
      <c r="E790" s="96"/>
    </row>
    <row r="791" spans="5:5">
      <c r="E791" s="96"/>
    </row>
    <row r="792" spans="5:5">
      <c r="E792" s="96"/>
    </row>
    <row r="793" spans="5:5">
      <c r="E793" s="96"/>
    </row>
    <row r="794" spans="5:5">
      <c r="E794" s="96"/>
    </row>
    <row r="795" spans="5:5">
      <c r="E795" s="96"/>
    </row>
    <row r="796" spans="5:5">
      <c r="E796" s="96"/>
    </row>
    <row r="797" spans="5:5">
      <c r="E797" s="96"/>
    </row>
    <row r="798" spans="5:5">
      <c r="E798" s="96"/>
    </row>
    <row r="799" spans="5:5">
      <c r="E799" s="96"/>
    </row>
    <row r="800" spans="5:5">
      <c r="E800" s="96"/>
    </row>
    <row r="801" spans="5:5">
      <c r="E801" s="96"/>
    </row>
    <row r="802" spans="5:5">
      <c r="E802" s="96"/>
    </row>
    <row r="803" spans="5:5">
      <c r="E803" s="96"/>
    </row>
    <row r="804" spans="5:5">
      <c r="E804" s="96"/>
    </row>
    <row r="805" spans="5:5">
      <c r="E805" s="96"/>
    </row>
    <row r="806" spans="5:5">
      <c r="E806" s="96"/>
    </row>
    <row r="807" spans="5:5">
      <c r="E807" s="96"/>
    </row>
    <row r="808" spans="5:5">
      <c r="E808" s="96"/>
    </row>
    <row r="809" spans="5:5">
      <c r="E809" s="96"/>
    </row>
    <row r="810" spans="5:5">
      <c r="E810" s="96"/>
    </row>
    <row r="811" spans="5:5">
      <c r="E811" s="96"/>
    </row>
    <row r="812" spans="5:5">
      <c r="E812" s="96"/>
    </row>
    <row r="813" spans="5:5">
      <c r="E813" s="96"/>
    </row>
    <row r="814" spans="5:5">
      <c r="E814" s="96"/>
    </row>
    <row r="815" spans="5:5">
      <c r="E815" s="96"/>
    </row>
    <row r="816" spans="5:5">
      <c r="E816" s="96"/>
    </row>
    <row r="817" spans="5:5">
      <c r="E817" s="96"/>
    </row>
    <row r="818" spans="5:5">
      <c r="E818" s="96"/>
    </row>
    <row r="819" spans="5:5">
      <c r="E819" s="96"/>
    </row>
    <row r="820" spans="5:5">
      <c r="E820" s="96"/>
    </row>
    <row r="821" spans="5:5">
      <c r="E821" s="96"/>
    </row>
    <row r="822" spans="5:5">
      <c r="E822" s="96"/>
    </row>
    <row r="823" spans="5:5">
      <c r="E823" s="96"/>
    </row>
    <row r="824" spans="5:5">
      <c r="E824" s="96"/>
    </row>
    <row r="825" spans="5:5">
      <c r="E825" s="96"/>
    </row>
    <row r="826" spans="5:5">
      <c r="E826" s="96"/>
    </row>
    <row r="827" spans="5:5">
      <c r="E827" s="96"/>
    </row>
    <row r="828" spans="5:5">
      <c r="E828" s="96"/>
    </row>
    <row r="829" spans="5:5">
      <c r="E829" s="96"/>
    </row>
    <row r="830" spans="5:5">
      <c r="E830" s="96"/>
    </row>
    <row r="831" spans="5:5">
      <c r="E831" s="96"/>
    </row>
    <row r="832" spans="5:5">
      <c r="E832" s="96"/>
    </row>
    <row r="833" spans="5:5">
      <c r="E833" s="96"/>
    </row>
    <row r="834" spans="5:5">
      <c r="E834" s="96"/>
    </row>
    <row r="835" spans="5:5">
      <c r="E835" s="96"/>
    </row>
    <row r="836" spans="5:5">
      <c r="E836" s="96"/>
    </row>
    <row r="837" spans="5:5">
      <c r="E837" s="96"/>
    </row>
    <row r="838" spans="5:5">
      <c r="E838" s="96"/>
    </row>
    <row r="839" spans="5:5">
      <c r="E839" s="96"/>
    </row>
    <row r="840" spans="5:5">
      <c r="E840" s="96"/>
    </row>
    <row r="841" spans="5:5">
      <c r="E841" s="96"/>
    </row>
    <row r="842" spans="5:5">
      <c r="E842" s="96"/>
    </row>
    <row r="843" spans="5:5">
      <c r="E843" s="96"/>
    </row>
    <row r="844" spans="5:5">
      <c r="E844" s="96"/>
    </row>
    <row r="845" spans="5:5">
      <c r="E845" s="96"/>
    </row>
    <row r="846" spans="5:5">
      <c r="E846" s="96"/>
    </row>
    <row r="847" spans="5:5">
      <c r="E847" s="96"/>
    </row>
    <row r="848" spans="5:5">
      <c r="E848" s="96"/>
    </row>
    <row r="849" spans="5:5">
      <c r="E849" s="96"/>
    </row>
    <row r="850" spans="5:5">
      <c r="E850" s="96"/>
    </row>
    <row r="851" spans="5:5">
      <c r="E851" s="96"/>
    </row>
    <row r="852" spans="5:5">
      <c r="E852" s="96"/>
    </row>
    <row r="853" spans="5:5">
      <c r="E853" s="96"/>
    </row>
    <row r="854" spans="5:5">
      <c r="E854" s="96"/>
    </row>
    <row r="855" spans="5:5">
      <c r="E855" s="96"/>
    </row>
    <row r="856" spans="5:5">
      <c r="E856" s="96"/>
    </row>
    <row r="857" spans="5:5">
      <c r="E857" s="96"/>
    </row>
    <row r="858" spans="5:5">
      <c r="E858" s="96"/>
    </row>
    <row r="859" spans="5:5">
      <c r="E859" s="96"/>
    </row>
    <row r="860" spans="5:5">
      <c r="E860" s="96"/>
    </row>
    <row r="861" spans="5:5">
      <c r="E861" s="96"/>
    </row>
    <row r="862" spans="5:5">
      <c r="E862" s="96"/>
    </row>
    <row r="863" spans="5:5">
      <c r="E863" s="96"/>
    </row>
    <row r="864" spans="5:5">
      <c r="E864" s="96"/>
    </row>
    <row r="865" spans="5:5">
      <c r="E865" s="96"/>
    </row>
    <row r="866" spans="5:5">
      <c r="E866" s="96"/>
    </row>
    <row r="867" spans="5:5">
      <c r="E867" s="96"/>
    </row>
    <row r="868" spans="5:5">
      <c r="E868" s="96"/>
    </row>
    <row r="869" spans="5:5">
      <c r="E869" s="96"/>
    </row>
    <row r="870" spans="5:5">
      <c r="E870" s="96"/>
    </row>
    <row r="871" spans="5:5">
      <c r="E871" s="96"/>
    </row>
    <row r="872" spans="5:5">
      <c r="E872" s="96"/>
    </row>
    <row r="873" spans="5:5">
      <c r="E873" s="96"/>
    </row>
    <row r="874" spans="5:5">
      <c r="E874" s="96"/>
    </row>
    <row r="875" spans="5:5">
      <c r="E875" s="96"/>
    </row>
    <row r="876" spans="5:5">
      <c r="E876" s="96"/>
    </row>
    <row r="877" spans="5:5">
      <c r="E877" s="96"/>
    </row>
    <row r="878" spans="5:5">
      <c r="E878" s="96"/>
    </row>
    <row r="879" spans="5:5">
      <c r="E879" s="96"/>
    </row>
    <row r="880" spans="5:5">
      <c r="E880" s="96"/>
    </row>
    <row r="881" spans="5:5">
      <c r="E881" s="96"/>
    </row>
    <row r="882" spans="5:5">
      <c r="E882" s="96"/>
    </row>
    <row r="883" spans="5:5">
      <c r="E883" s="96"/>
    </row>
    <row r="884" spans="5:5">
      <c r="E884" s="96"/>
    </row>
    <row r="885" spans="5:5">
      <c r="E885" s="96"/>
    </row>
    <row r="886" spans="5:5">
      <c r="E886" s="96"/>
    </row>
    <row r="887" spans="5:5">
      <c r="E887" s="96"/>
    </row>
    <row r="888" spans="5:5">
      <c r="E888" s="96"/>
    </row>
    <row r="889" spans="5:5">
      <c r="E889" s="96"/>
    </row>
    <row r="890" spans="5:5">
      <c r="E890" s="96"/>
    </row>
    <row r="891" spans="5:5">
      <c r="E891" s="96"/>
    </row>
    <row r="892" spans="5:5">
      <c r="E892" s="96"/>
    </row>
    <row r="893" spans="5:5">
      <c r="E893" s="96"/>
    </row>
    <row r="894" spans="5:5">
      <c r="E894" s="96"/>
    </row>
    <row r="895" spans="5:5">
      <c r="E895" s="96"/>
    </row>
    <row r="896" spans="5:5">
      <c r="E896" s="96"/>
    </row>
    <row r="897" spans="5:5">
      <c r="E897" s="96"/>
    </row>
    <row r="898" spans="5:5">
      <c r="E898" s="96"/>
    </row>
    <row r="899" spans="5:5">
      <c r="E899" s="96"/>
    </row>
    <row r="900" spans="5:5">
      <c r="E900" s="96"/>
    </row>
    <row r="901" spans="5:5">
      <c r="E901" s="96"/>
    </row>
    <row r="902" spans="5:5">
      <c r="E902" s="96"/>
    </row>
    <row r="903" spans="5:5">
      <c r="E903" s="96"/>
    </row>
    <row r="904" spans="5:5">
      <c r="E904" s="96"/>
    </row>
    <row r="905" spans="5:5">
      <c r="E905" s="96"/>
    </row>
    <row r="906" spans="5:5">
      <c r="E906" s="96"/>
    </row>
    <row r="907" spans="5:5">
      <c r="E907" s="96"/>
    </row>
    <row r="908" spans="5:5">
      <c r="E908" s="96"/>
    </row>
    <row r="909" spans="5:5">
      <c r="E909" s="96"/>
    </row>
    <row r="910" spans="5:5">
      <c r="E910" s="96"/>
    </row>
    <row r="911" spans="5:5">
      <c r="E911" s="96"/>
    </row>
    <row r="912" spans="5:5">
      <c r="E912" s="96"/>
    </row>
    <row r="913" spans="5:5">
      <c r="E913" s="96"/>
    </row>
    <row r="914" spans="5:5">
      <c r="E914" s="96"/>
    </row>
    <row r="915" spans="5:5">
      <c r="E915" s="96"/>
    </row>
    <row r="916" spans="5:5">
      <c r="E916" s="96"/>
    </row>
    <row r="917" spans="5:5">
      <c r="E917" s="96"/>
    </row>
    <row r="918" spans="5:5">
      <c r="E918" s="96"/>
    </row>
    <row r="919" spans="5:5">
      <c r="E919" s="96"/>
    </row>
    <row r="920" spans="5:5">
      <c r="E920" s="96"/>
    </row>
    <row r="921" spans="5:5">
      <c r="E921" s="96"/>
    </row>
    <row r="922" spans="5:5">
      <c r="E922" s="96"/>
    </row>
    <row r="923" spans="5:5">
      <c r="E923" s="96"/>
    </row>
    <row r="924" spans="5:5">
      <c r="E924" s="96"/>
    </row>
    <row r="925" spans="5:5">
      <c r="E925" s="96"/>
    </row>
    <row r="926" spans="5:5">
      <c r="E926" s="96"/>
    </row>
    <row r="927" spans="5:5">
      <c r="E927" s="96"/>
    </row>
    <row r="928" spans="5:5">
      <c r="E928" s="96"/>
    </row>
    <row r="929" spans="5:5">
      <c r="E929" s="96"/>
    </row>
    <row r="930" spans="5:5">
      <c r="E930" s="96"/>
    </row>
    <row r="931" spans="5:5">
      <c r="E931" s="96"/>
    </row>
    <row r="932" spans="5:5">
      <c r="E932" s="96"/>
    </row>
    <row r="933" spans="5:5">
      <c r="E933" s="96"/>
    </row>
    <row r="934" spans="5:5">
      <c r="E934" s="96"/>
    </row>
    <row r="935" spans="5:5">
      <c r="E935" s="96"/>
    </row>
    <row r="936" spans="5:5">
      <c r="E936" s="96"/>
    </row>
    <row r="937" spans="5:5">
      <c r="E937" s="96"/>
    </row>
    <row r="938" spans="5:5">
      <c r="E938" s="96"/>
    </row>
    <row r="939" spans="5:5">
      <c r="E939" s="96"/>
    </row>
    <row r="940" spans="5:5">
      <c r="E940" s="96"/>
    </row>
    <row r="941" spans="5:5">
      <c r="E941" s="96"/>
    </row>
    <row r="942" spans="5:5">
      <c r="E942" s="96"/>
    </row>
    <row r="943" spans="5:5">
      <c r="E943" s="96"/>
    </row>
    <row r="944" spans="5:5">
      <c r="E944" s="96"/>
    </row>
    <row r="945" spans="5:5">
      <c r="E945" s="96"/>
    </row>
    <row r="946" spans="5:5">
      <c r="E946" s="96"/>
    </row>
    <row r="947" spans="5:5">
      <c r="E947" s="96"/>
    </row>
    <row r="948" spans="5:5">
      <c r="E948" s="96"/>
    </row>
    <row r="949" spans="5:5">
      <c r="E949" s="96"/>
    </row>
    <row r="950" spans="5:5">
      <c r="E950" s="96"/>
    </row>
    <row r="951" spans="5:5">
      <c r="E951" s="96"/>
    </row>
    <row r="952" spans="5:5">
      <c r="E952" s="96"/>
    </row>
    <row r="953" spans="5:5">
      <c r="E953" s="96"/>
    </row>
    <row r="954" spans="5:5">
      <c r="E954" s="96"/>
    </row>
    <row r="955" spans="5:5">
      <c r="E955" s="96"/>
    </row>
    <row r="956" spans="5:5">
      <c r="E956" s="96"/>
    </row>
    <row r="957" spans="5:5">
      <c r="E957" s="96"/>
    </row>
    <row r="958" spans="5:5">
      <c r="E958" s="96"/>
    </row>
    <row r="959" spans="5:5">
      <c r="E959" s="96"/>
    </row>
    <row r="960" spans="5:5">
      <c r="E960" s="96"/>
    </row>
    <row r="961" spans="5:5">
      <c r="E961" s="96"/>
    </row>
    <row r="962" spans="5:5">
      <c r="E962" s="96"/>
    </row>
    <row r="963" spans="5:5">
      <c r="E963" s="96"/>
    </row>
    <row r="964" spans="5:5">
      <c r="E964" s="96"/>
    </row>
    <row r="965" spans="5:5">
      <c r="E965" s="96"/>
    </row>
    <row r="966" spans="5:5">
      <c r="E966" s="96"/>
    </row>
    <row r="967" spans="5:5">
      <c r="E967" s="96"/>
    </row>
    <row r="968" spans="5:5">
      <c r="E968" s="96"/>
    </row>
    <row r="969" spans="5:5">
      <c r="E969" s="96"/>
    </row>
    <row r="970" spans="5:5">
      <c r="E970" s="96"/>
    </row>
    <row r="971" spans="5:5">
      <c r="E971" s="96"/>
    </row>
    <row r="972" spans="5:5">
      <c r="E972" s="96"/>
    </row>
    <row r="973" spans="5:5">
      <c r="E973" s="96"/>
    </row>
    <row r="974" spans="5:5">
      <c r="E974" s="96"/>
    </row>
    <row r="975" spans="5:5">
      <c r="E975" s="96"/>
    </row>
    <row r="976" spans="5:5">
      <c r="E976" s="96"/>
    </row>
    <row r="977" spans="5:5">
      <c r="E977" s="96"/>
    </row>
    <row r="978" spans="5:5">
      <c r="E978" s="96"/>
    </row>
    <row r="979" spans="5:5">
      <c r="E979" s="96"/>
    </row>
    <row r="980" spans="5:5">
      <c r="E980" s="96"/>
    </row>
    <row r="981" spans="5:5">
      <c r="E981" s="96"/>
    </row>
    <row r="982" spans="5:5">
      <c r="E982" s="96"/>
    </row>
    <row r="983" spans="5:5">
      <c r="E983" s="96"/>
    </row>
    <row r="984" spans="5:5">
      <c r="E984" s="96"/>
    </row>
    <row r="985" spans="5:5">
      <c r="E985" s="96"/>
    </row>
    <row r="986" spans="5:5">
      <c r="E986" s="96"/>
    </row>
    <row r="987" spans="5:5">
      <c r="E987" s="96"/>
    </row>
    <row r="988" spans="5:5">
      <c r="E988" s="96"/>
    </row>
    <row r="989" spans="5:5">
      <c r="E989" s="96"/>
    </row>
    <row r="990" spans="5:5">
      <c r="E990" s="96"/>
    </row>
    <row r="991" spans="5:5">
      <c r="E991" s="96"/>
    </row>
    <row r="992" spans="5:5">
      <c r="E992" s="96"/>
    </row>
    <row r="993" spans="5:5">
      <c r="E993" s="96"/>
    </row>
    <row r="994" spans="5:5">
      <c r="E994" s="96"/>
    </row>
    <row r="995" spans="5:5">
      <c r="E995" s="96"/>
    </row>
    <row r="996" spans="5:5">
      <c r="E996" s="96"/>
    </row>
    <row r="997" spans="5:5">
      <c r="E997" s="96"/>
    </row>
    <row r="998" spans="5:5">
      <c r="E998" s="96"/>
    </row>
    <row r="999" spans="5:5">
      <c r="E999" s="96"/>
    </row>
    <row r="1000" spans="5:5">
      <c r="E1000" s="96"/>
    </row>
    <row r="1001" spans="5:5">
      <c r="E1001" s="96"/>
    </row>
    <row r="1002" spans="5:5">
      <c r="E1002" s="96"/>
    </row>
    <row r="1003" spans="5:5">
      <c r="E1003" s="96"/>
    </row>
    <row r="1004" spans="5:5">
      <c r="E1004" s="96"/>
    </row>
    <row r="1005" spans="5:5">
      <c r="E1005" s="96"/>
    </row>
    <row r="1006" spans="5:5">
      <c r="E1006" s="96"/>
    </row>
    <row r="1007" spans="5:5">
      <c r="E1007" s="96"/>
    </row>
    <row r="1008" spans="5:5">
      <c r="E1008" s="96"/>
    </row>
    <row r="1009" spans="5:5">
      <c r="E1009" s="96"/>
    </row>
    <row r="1010" spans="5:5">
      <c r="E1010" s="96"/>
    </row>
    <row r="1011" spans="5:5">
      <c r="E1011" s="96"/>
    </row>
    <row r="1012" spans="5:5">
      <c r="E1012" s="96"/>
    </row>
    <row r="1013" spans="5:5">
      <c r="E1013" s="96"/>
    </row>
    <row r="1014" spans="5:5">
      <c r="E1014" s="96"/>
    </row>
    <row r="1015" spans="5:5">
      <c r="E1015" s="96"/>
    </row>
    <row r="1016" spans="5:5">
      <c r="E1016" s="96"/>
    </row>
    <row r="1017" spans="5:5">
      <c r="E1017" s="96"/>
    </row>
    <row r="1018" spans="5:5">
      <c r="E1018" s="96"/>
    </row>
    <row r="1019" spans="5:5">
      <c r="E1019" s="96"/>
    </row>
    <row r="1020" spans="5:5">
      <c r="E1020" s="96"/>
    </row>
    <row r="1021" spans="5:5">
      <c r="E1021" s="96"/>
    </row>
    <row r="1022" spans="5:5">
      <c r="E1022" s="96"/>
    </row>
    <row r="1023" spans="5:5">
      <c r="E1023" s="96"/>
    </row>
    <row r="1024" spans="5:5">
      <c r="E1024" s="96"/>
    </row>
    <row r="1025" spans="5:5">
      <c r="E1025" s="96"/>
    </row>
    <row r="1026" spans="5:5">
      <c r="E1026" s="96"/>
    </row>
    <row r="1027" spans="5:5">
      <c r="E1027" s="96"/>
    </row>
    <row r="1028" spans="5:5">
      <c r="E1028" s="96"/>
    </row>
    <row r="1029" spans="5:5">
      <c r="E1029" s="96"/>
    </row>
    <row r="1030" spans="5:5">
      <c r="E1030" s="96"/>
    </row>
    <row r="1031" spans="5:5">
      <c r="E1031" s="96"/>
    </row>
    <row r="1032" spans="5:5">
      <c r="E1032" s="96"/>
    </row>
    <row r="1033" spans="5:5">
      <c r="E1033" s="96"/>
    </row>
    <row r="1034" spans="5:5">
      <c r="E1034" s="96"/>
    </row>
    <row r="1035" spans="5:5">
      <c r="E1035" s="96"/>
    </row>
    <row r="1036" spans="5:5">
      <c r="E1036" s="96"/>
    </row>
    <row r="1037" spans="5:5">
      <c r="E1037" s="96"/>
    </row>
    <row r="1038" spans="5:5">
      <c r="E1038" s="96"/>
    </row>
    <row r="1039" spans="5:5">
      <c r="E1039" s="96"/>
    </row>
    <row r="1040" spans="5:5">
      <c r="E1040" s="96"/>
    </row>
    <row r="1041" spans="5:5">
      <c r="E1041" s="96"/>
    </row>
    <row r="1042" spans="5:5">
      <c r="E1042" s="96"/>
    </row>
    <row r="1043" spans="5:5">
      <c r="E1043" s="96"/>
    </row>
    <row r="1044" spans="5:5">
      <c r="E1044" s="96"/>
    </row>
    <row r="1045" spans="5:5">
      <c r="E1045" s="96"/>
    </row>
    <row r="1046" spans="5:5">
      <c r="E1046" s="96"/>
    </row>
    <row r="1047" spans="5:5">
      <c r="E1047" s="96"/>
    </row>
    <row r="1048" spans="5:5">
      <c r="E1048" s="96"/>
    </row>
    <row r="1049" spans="5:5">
      <c r="E1049" s="96"/>
    </row>
    <row r="1050" spans="5:5">
      <c r="E1050" s="96"/>
    </row>
    <row r="1051" spans="5:5">
      <c r="E1051" s="96"/>
    </row>
    <row r="1052" spans="5:5">
      <c r="E1052" s="96"/>
    </row>
    <row r="1053" spans="5:5">
      <c r="E1053" s="96"/>
    </row>
    <row r="1054" spans="5:5">
      <c r="E1054" s="96"/>
    </row>
    <row r="1055" spans="5:5">
      <c r="E1055" s="96"/>
    </row>
    <row r="1056" spans="5:5">
      <c r="E1056" s="96"/>
    </row>
    <row r="1057" spans="5:5">
      <c r="E1057" s="96"/>
    </row>
    <row r="1058" spans="5:5">
      <c r="E1058" s="96"/>
    </row>
    <row r="1059" spans="5:5">
      <c r="E1059" s="96"/>
    </row>
    <row r="1060" spans="5:5">
      <c r="E1060" s="96"/>
    </row>
    <row r="1061" spans="5:5">
      <c r="E1061" s="96"/>
    </row>
    <row r="1062" spans="5:5">
      <c r="E1062" s="96"/>
    </row>
    <row r="1063" spans="5:5">
      <c r="E1063" s="96"/>
    </row>
    <row r="1064" spans="5:5">
      <c r="E1064" s="96"/>
    </row>
    <row r="1065" spans="5:5">
      <c r="E1065" s="96"/>
    </row>
    <row r="1066" spans="5:5">
      <c r="E1066" s="96"/>
    </row>
    <row r="1067" spans="5:5">
      <c r="E1067" s="96"/>
    </row>
    <row r="1068" spans="5:5">
      <c r="E1068" s="96"/>
    </row>
    <row r="1069" spans="5:5">
      <c r="E1069" s="96"/>
    </row>
    <row r="1070" spans="5:5">
      <c r="E1070" s="96"/>
    </row>
    <row r="1071" spans="5:5">
      <c r="E1071" s="96"/>
    </row>
    <row r="1072" spans="5:5">
      <c r="E1072" s="96"/>
    </row>
    <row r="1073" spans="5:5">
      <c r="E1073" s="96"/>
    </row>
    <row r="1074" spans="5:5">
      <c r="E1074" s="96"/>
    </row>
    <row r="1075" spans="5:5">
      <c r="E1075" s="96"/>
    </row>
    <row r="1076" spans="5:5">
      <c r="E1076" s="96"/>
    </row>
    <row r="1077" spans="5:5">
      <c r="E1077" s="96"/>
    </row>
    <row r="1078" spans="5:5">
      <c r="E1078" s="96"/>
    </row>
    <row r="1079" spans="5:5">
      <c r="E1079" s="96"/>
    </row>
    <row r="1080" spans="5:5">
      <c r="E1080" s="96"/>
    </row>
    <row r="1081" spans="5:5">
      <c r="E1081" s="96"/>
    </row>
    <row r="1082" spans="5:5">
      <c r="E1082" s="96"/>
    </row>
    <row r="1083" spans="5:5">
      <c r="E1083" s="96"/>
    </row>
    <row r="1084" spans="5:5">
      <c r="E1084" s="96"/>
    </row>
    <row r="1085" spans="5:5">
      <c r="E1085" s="96"/>
    </row>
    <row r="1086" spans="5:5">
      <c r="E1086" s="96"/>
    </row>
    <row r="1087" spans="5:5">
      <c r="E1087" s="96"/>
    </row>
    <row r="1088" spans="5:5">
      <c r="E1088" s="96"/>
    </row>
    <row r="1089" spans="5:5">
      <c r="E1089" s="96"/>
    </row>
    <row r="1090" spans="5:5">
      <c r="E1090" s="96"/>
    </row>
    <row r="1091" spans="5:5">
      <c r="E1091" s="96"/>
    </row>
    <row r="1092" spans="5:5">
      <c r="E1092" s="96"/>
    </row>
    <row r="1093" spans="5:5">
      <c r="E1093" s="96"/>
    </row>
    <row r="1094" spans="5:5">
      <c r="E1094" s="96"/>
    </row>
    <row r="1095" spans="5:5">
      <c r="E1095" s="96"/>
    </row>
    <row r="1096" spans="5:5">
      <c r="E1096" s="96"/>
    </row>
    <row r="1097" spans="5:5">
      <c r="E1097" s="96"/>
    </row>
    <row r="1098" spans="5:5">
      <c r="E1098" s="96"/>
    </row>
    <row r="1099" spans="5:5">
      <c r="E1099" s="96"/>
    </row>
    <row r="1100" spans="5:5">
      <c r="E1100" s="96"/>
    </row>
    <row r="1101" spans="5:5">
      <c r="E1101" s="96"/>
    </row>
    <row r="1102" spans="5:5">
      <c r="E1102" s="96"/>
    </row>
    <row r="1103" spans="5:5">
      <c r="E1103" s="96"/>
    </row>
    <row r="1104" spans="5:5">
      <c r="E1104" s="96"/>
    </row>
    <row r="1105" spans="5:5">
      <c r="E1105" s="96"/>
    </row>
    <row r="1106" spans="5:5">
      <c r="E1106" s="96"/>
    </row>
    <row r="1107" spans="5:5">
      <c r="E1107" s="96"/>
    </row>
    <row r="1108" spans="5:5">
      <c r="E1108" s="96"/>
    </row>
    <row r="1109" spans="5:5">
      <c r="E1109" s="96"/>
    </row>
    <row r="1110" spans="5:5">
      <c r="E1110" s="96"/>
    </row>
    <row r="1111" spans="5:5">
      <c r="E1111" s="96"/>
    </row>
    <row r="1112" spans="5:5">
      <c r="E1112" s="96"/>
    </row>
    <row r="1113" spans="5:5">
      <c r="E1113" s="96"/>
    </row>
    <row r="1114" spans="5:5">
      <c r="E1114" s="96"/>
    </row>
    <row r="1115" spans="5:5">
      <c r="E1115" s="96"/>
    </row>
    <row r="1116" spans="5:5">
      <c r="E1116" s="96"/>
    </row>
    <row r="1117" spans="5:5">
      <c r="E1117" s="96"/>
    </row>
    <row r="1118" spans="5:5">
      <c r="E1118" s="96"/>
    </row>
    <row r="1119" spans="5:5">
      <c r="E1119" s="96"/>
    </row>
    <row r="1120" spans="5:5">
      <c r="E1120" s="96"/>
    </row>
    <row r="1121" spans="5:5">
      <c r="E1121" s="96"/>
    </row>
    <row r="1122" spans="5:5">
      <c r="E1122" s="96"/>
    </row>
    <row r="1123" spans="5:5">
      <c r="E1123" s="96"/>
    </row>
    <row r="1124" spans="5:5">
      <c r="E1124" s="96"/>
    </row>
    <row r="1125" spans="5:5">
      <c r="E1125" s="96"/>
    </row>
    <row r="1126" spans="5:5">
      <c r="E1126" s="96"/>
    </row>
    <row r="1127" spans="5:5">
      <c r="E1127" s="96"/>
    </row>
    <row r="1128" spans="5:5">
      <c r="E1128" s="96"/>
    </row>
    <row r="1129" spans="5:5">
      <c r="E1129" s="96"/>
    </row>
    <row r="1130" spans="5:5">
      <c r="E1130" s="96"/>
    </row>
    <row r="1131" spans="5:5">
      <c r="E1131" s="96"/>
    </row>
    <row r="1132" spans="5:5">
      <c r="E1132" s="96"/>
    </row>
    <row r="1133" spans="5:5">
      <c r="E1133" s="96"/>
    </row>
    <row r="1134" spans="5:5">
      <c r="E1134" s="96"/>
    </row>
    <row r="1135" spans="5:5">
      <c r="E1135" s="96"/>
    </row>
    <row r="1136" spans="5:5">
      <c r="E1136" s="96"/>
    </row>
    <row r="1137" spans="5:5">
      <c r="E1137" s="96"/>
    </row>
    <row r="1138" spans="5:5">
      <c r="E1138" s="96"/>
    </row>
    <row r="1139" spans="5:5">
      <c r="E1139" s="96"/>
    </row>
    <row r="1140" spans="5:5">
      <c r="E1140" s="96"/>
    </row>
    <row r="1141" spans="5:5">
      <c r="E1141" s="96"/>
    </row>
    <row r="1142" spans="5:5">
      <c r="E1142" s="96"/>
    </row>
    <row r="1143" spans="5:5">
      <c r="E1143" s="96"/>
    </row>
    <row r="1144" spans="5:5">
      <c r="E1144" s="96"/>
    </row>
    <row r="1145" spans="5:5">
      <c r="E1145" s="96"/>
    </row>
    <row r="1146" spans="5:5">
      <c r="E1146" s="96"/>
    </row>
    <row r="1147" spans="5:5">
      <c r="E1147" s="96"/>
    </row>
    <row r="1148" spans="5:5">
      <c r="E1148" s="96"/>
    </row>
    <row r="1149" spans="5:5">
      <c r="E1149" s="96"/>
    </row>
    <row r="1150" spans="5:5">
      <c r="E1150" s="96"/>
    </row>
    <row r="1151" spans="5:5">
      <c r="E1151" s="96"/>
    </row>
    <row r="1152" spans="5:5">
      <c r="E1152" s="96"/>
    </row>
    <row r="1153" spans="5:5">
      <c r="E1153" s="96"/>
    </row>
    <row r="1154" spans="5:5">
      <c r="E1154" s="96"/>
    </row>
    <row r="1155" spans="5:5">
      <c r="E1155" s="96"/>
    </row>
    <row r="1156" spans="5:5">
      <c r="E1156" s="96"/>
    </row>
    <row r="1157" spans="5:5">
      <c r="E1157" s="96"/>
    </row>
    <row r="1158" spans="5:5">
      <c r="E1158" s="96"/>
    </row>
    <row r="1159" spans="5:5">
      <c r="E1159" s="96"/>
    </row>
    <row r="1160" spans="5:5">
      <c r="E1160" s="96"/>
    </row>
    <row r="1161" spans="5:5">
      <c r="E1161" s="96"/>
    </row>
    <row r="1162" spans="5:5">
      <c r="E1162" s="96"/>
    </row>
    <row r="1163" spans="5:5">
      <c r="E1163" s="96"/>
    </row>
    <row r="1164" spans="5:5">
      <c r="E1164" s="96"/>
    </row>
    <row r="1165" spans="5:5">
      <c r="E1165" s="96"/>
    </row>
    <row r="1166" spans="5:5">
      <c r="E1166" s="96"/>
    </row>
    <row r="1167" spans="5:5">
      <c r="E1167" s="96"/>
    </row>
    <row r="1168" spans="5:5">
      <c r="E1168" s="96"/>
    </row>
    <row r="1169" spans="5:5">
      <c r="E1169" s="96"/>
    </row>
    <row r="1170" spans="5:5">
      <c r="E1170" s="96"/>
    </row>
    <row r="1171" spans="5:5">
      <c r="E1171" s="96"/>
    </row>
    <row r="1172" spans="5:5">
      <c r="E1172" s="96"/>
    </row>
    <row r="1173" spans="5:5">
      <c r="E1173" s="96"/>
    </row>
    <row r="1174" spans="5:5">
      <c r="E1174" s="96"/>
    </row>
    <row r="1175" spans="5:5">
      <c r="E1175" s="96"/>
    </row>
    <row r="1176" spans="5:5">
      <c r="E1176" s="96"/>
    </row>
    <row r="1177" spans="5:5">
      <c r="E1177" s="96"/>
    </row>
    <row r="1178" spans="5:5">
      <c r="E1178" s="96"/>
    </row>
    <row r="1179" spans="5:5">
      <c r="E1179" s="96"/>
    </row>
    <row r="1180" spans="5:5">
      <c r="E1180" s="96"/>
    </row>
    <row r="1181" spans="5:5">
      <c r="E1181" s="96"/>
    </row>
    <row r="1182" spans="5:5">
      <c r="E1182" s="96"/>
    </row>
    <row r="1183" spans="5:5">
      <c r="E1183" s="96"/>
    </row>
    <row r="1184" spans="5:5">
      <c r="E1184" s="96"/>
    </row>
    <row r="1185" spans="5:5">
      <c r="E1185" s="96"/>
    </row>
    <row r="1186" spans="5:5">
      <c r="E1186" s="96"/>
    </row>
    <row r="1187" spans="5:5">
      <c r="E1187" s="96"/>
    </row>
    <row r="1188" spans="5:5">
      <c r="E1188" s="96"/>
    </row>
    <row r="1189" spans="5:5">
      <c r="E1189" s="96"/>
    </row>
    <row r="1190" spans="5:5">
      <c r="E1190" s="96"/>
    </row>
    <row r="1191" spans="5:5">
      <c r="E1191" s="96"/>
    </row>
    <row r="1192" spans="5:5">
      <c r="E1192" s="96"/>
    </row>
    <row r="1193" spans="5:5">
      <c r="E1193" s="96"/>
    </row>
    <row r="1194" spans="5:5">
      <c r="E1194" s="96"/>
    </row>
    <row r="1195" spans="5:5">
      <c r="E1195" s="96"/>
    </row>
    <row r="1196" spans="5:5">
      <c r="E1196" s="96"/>
    </row>
    <row r="1197" spans="5:5">
      <c r="E1197" s="96"/>
    </row>
    <row r="1198" spans="5:5">
      <c r="E1198" s="96"/>
    </row>
    <row r="1199" spans="5:5">
      <c r="E1199" s="96"/>
    </row>
    <row r="1200" spans="5:5">
      <c r="E1200" s="96"/>
    </row>
    <row r="1201" spans="5:5">
      <c r="E1201" s="96"/>
    </row>
    <row r="1202" spans="5:5">
      <c r="E1202" s="96"/>
    </row>
    <row r="1203" spans="5:5">
      <c r="E1203" s="96"/>
    </row>
    <row r="1204" spans="5:5">
      <c r="E1204" s="96"/>
    </row>
    <row r="1205" spans="5:5">
      <c r="E1205" s="96"/>
    </row>
    <row r="1206" spans="5:5">
      <c r="E1206" s="96"/>
    </row>
    <row r="1207" spans="5:5">
      <c r="E1207" s="96"/>
    </row>
    <row r="1208" spans="5:5">
      <c r="E1208" s="96"/>
    </row>
    <row r="1209" spans="5:5">
      <c r="E1209" s="96"/>
    </row>
    <row r="1210" spans="5:5">
      <c r="E1210" s="96"/>
    </row>
    <row r="1211" spans="5:5">
      <c r="E1211" s="96"/>
    </row>
    <row r="1212" spans="5:5">
      <c r="E1212" s="96"/>
    </row>
    <row r="1213" spans="5:5">
      <c r="E1213" s="96"/>
    </row>
    <row r="1214" spans="5:5">
      <c r="E1214" s="96"/>
    </row>
    <row r="1215" spans="5:5">
      <c r="E1215" s="96"/>
    </row>
    <row r="1216" spans="5:5">
      <c r="E1216" s="96"/>
    </row>
    <row r="1217" spans="5:5">
      <c r="E1217" s="96"/>
    </row>
    <row r="1218" spans="5:5">
      <c r="E1218" s="96"/>
    </row>
    <row r="1219" spans="5:5">
      <c r="E1219" s="96"/>
    </row>
    <row r="1220" spans="5:5">
      <c r="E1220" s="96"/>
    </row>
    <row r="1221" spans="5:5">
      <c r="E1221" s="96"/>
    </row>
    <row r="1222" spans="5:5">
      <c r="E1222" s="96"/>
    </row>
    <row r="1223" spans="5:5">
      <c r="E1223" s="96"/>
    </row>
    <row r="1224" spans="5:5">
      <c r="E1224" s="96"/>
    </row>
    <row r="1225" spans="5:5">
      <c r="E1225" s="96"/>
    </row>
    <row r="1226" spans="5:5">
      <c r="E1226" s="96"/>
    </row>
    <row r="1227" spans="5:5">
      <c r="E1227" s="96"/>
    </row>
    <row r="1228" spans="5:5">
      <c r="E1228" s="96"/>
    </row>
    <row r="1229" spans="5:5">
      <c r="E1229" s="96"/>
    </row>
    <row r="1230" spans="5:5">
      <c r="E1230" s="96"/>
    </row>
    <row r="1231" spans="5:5">
      <c r="E1231" s="96"/>
    </row>
    <row r="1232" spans="5:5">
      <c r="E1232" s="96"/>
    </row>
    <row r="1233" spans="5:5">
      <c r="E1233" s="96"/>
    </row>
    <row r="1234" spans="5:5">
      <c r="E1234" s="96"/>
    </row>
    <row r="1235" spans="5:5">
      <c r="E1235" s="96"/>
    </row>
    <row r="1236" spans="5:5">
      <c r="E1236" s="96"/>
    </row>
    <row r="1237" spans="5:5">
      <c r="E1237" s="96"/>
    </row>
    <row r="1238" spans="5:5">
      <c r="E1238" s="96"/>
    </row>
    <row r="1239" spans="5:5">
      <c r="E1239" s="96"/>
    </row>
    <row r="1240" spans="5:5">
      <c r="E1240" s="96"/>
    </row>
    <row r="1241" spans="5:5">
      <c r="E1241" s="96"/>
    </row>
    <row r="1242" spans="5:5">
      <c r="E1242" s="96"/>
    </row>
    <row r="1243" spans="5:5">
      <c r="E1243" s="96"/>
    </row>
    <row r="1244" spans="5:5">
      <c r="E1244" s="96"/>
    </row>
    <row r="1245" spans="5:5">
      <c r="E1245" s="96"/>
    </row>
    <row r="1246" spans="5:5">
      <c r="E1246" s="96"/>
    </row>
    <row r="1247" spans="5:5">
      <c r="E1247" s="96"/>
    </row>
    <row r="1248" spans="5:5">
      <c r="E1248" s="96"/>
    </row>
    <row r="1249" spans="5:5">
      <c r="E1249" s="96"/>
    </row>
    <row r="1250" spans="5:5">
      <c r="E1250" s="96"/>
    </row>
    <row r="1251" spans="5:5">
      <c r="E1251" s="96"/>
    </row>
    <row r="1252" spans="5:5">
      <c r="E1252" s="96"/>
    </row>
    <row r="1253" spans="5:5">
      <c r="E1253" s="96"/>
    </row>
    <row r="1254" spans="5:5">
      <c r="E1254" s="96"/>
    </row>
    <row r="1255" spans="5:5">
      <c r="E1255" s="96"/>
    </row>
    <row r="1256" spans="5:5">
      <c r="E1256" s="96"/>
    </row>
    <row r="1257" spans="5:5">
      <c r="E1257" s="96"/>
    </row>
    <row r="1258" spans="5:5">
      <c r="E1258" s="96"/>
    </row>
    <row r="1259" spans="5:5">
      <c r="E1259" s="96"/>
    </row>
    <row r="1260" spans="5:5">
      <c r="E1260" s="96"/>
    </row>
    <row r="1261" spans="5:5">
      <c r="E1261" s="96"/>
    </row>
    <row r="1262" spans="5:5">
      <c r="E1262" s="96"/>
    </row>
    <row r="1263" spans="5:5">
      <c r="E1263" s="96"/>
    </row>
    <row r="1264" spans="5:5">
      <c r="E1264" s="96"/>
    </row>
    <row r="1265" spans="5:5">
      <c r="E1265" s="96"/>
    </row>
    <row r="1266" spans="5:5">
      <c r="E1266" s="96"/>
    </row>
    <row r="1267" spans="5:5">
      <c r="E1267" s="96"/>
    </row>
    <row r="1268" spans="5:5">
      <c r="E1268" s="96"/>
    </row>
    <row r="1269" spans="5:5">
      <c r="E1269" s="96"/>
    </row>
    <row r="1270" spans="5:5">
      <c r="E1270" s="96"/>
    </row>
    <row r="1271" spans="5:5">
      <c r="E1271" s="96"/>
    </row>
    <row r="1272" spans="5:5">
      <c r="E1272" s="96"/>
    </row>
    <row r="1273" spans="5:5">
      <c r="E1273" s="96"/>
    </row>
    <row r="1274" spans="5:5">
      <c r="E1274" s="96"/>
    </row>
    <row r="1275" spans="5:5">
      <c r="E1275" s="96"/>
    </row>
    <row r="1276" spans="5:5">
      <c r="E1276" s="96"/>
    </row>
    <row r="1277" spans="5:5">
      <c r="E1277" s="96"/>
    </row>
    <row r="1278" spans="5:5">
      <c r="E1278" s="96"/>
    </row>
    <row r="1279" spans="5:5">
      <c r="E1279" s="96"/>
    </row>
    <row r="1280" spans="5:5">
      <c r="E1280" s="96"/>
    </row>
    <row r="1281" spans="5:5">
      <c r="E1281" s="96"/>
    </row>
    <row r="1282" spans="5:5">
      <c r="E1282" s="96"/>
    </row>
    <row r="1283" spans="5:5">
      <c r="E1283" s="96"/>
    </row>
    <row r="1284" spans="5:5">
      <c r="E1284" s="96"/>
    </row>
    <row r="1285" spans="5:5">
      <c r="E1285" s="96"/>
    </row>
    <row r="1286" spans="5:5">
      <c r="E1286" s="96"/>
    </row>
    <row r="1287" spans="5:5">
      <c r="E1287" s="96"/>
    </row>
    <row r="1288" spans="5:5">
      <c r="E1288" s="96"/>
    </row>
    <row r="1289" spans="5:5">
      <c r="E1289" s="96"/>
    </row>
    <row r="1290" spans="5:5">
      <c r="E1290" s="96"/>
    </row>
    <row r="1291" spans="5:5">
      <c r="E1291" s="96"/>
    </row>
    <row r="1292" spans="5:5">
      <c r="E1292" s="96"/>
    </row>
    <row r="1293" spans="5:5">
      <c r="E1293" s="96"/>
    </row>
    <row r="1294" spans="5:5">
      <c r="E1294" s="96"/>
    </row>
    <row r="1295" spans="5:5">
      <c r="E1295" s="96"/>
    </row>
    <row r="1296" spans="5:5">
      <c r="E1296" s="96"/>
    </row>
    <row r="1297" spans="5:5">
      <c r="E1297" s="96"/>
    </row>
    <row r="1298" spans="5:5">
      <c r="E1298" s="96"/>
    </row>
    <row r="1299" spans="5:5">
      <c r="E1299" s="96"/>
    </row>
    <row r="1300" spans="5:5">
      <c r="E1300" s="96"/>
    </row>
    <row r="1301" spans="5:5">
      <c r="E1301" s="96"/>
    </row>
    <row r="1302" spans="5:5">
      <c r="E1302" s="96"/>
    </row>
    <row r="1303" spans="5:5">
      <c r="E1303" s="96"/>
    </row>
    <row r="1304" spans="5:5">
      <c r="E1304" s="96"/>
    </row>
    <row r="1305" spans="5:5">
      <c r="E1305" s="96"/>
    </row>
    <row r="1306" spans="5:5">
      <c r="E1306" s="96"/>
    </row>
    <row r="1307" spans="5:5">
      <c r="E1307" s="96"/>
    </row>
    <row r="1308" spans="5:5">
      <c r="E1308" s="96"/>
    </row>
    <row r="1309" spans="5:5">
      <c r="E1309" s="96"/>
    </row>
    <row r="1310" spans="5:5">
      <c r="E1310" s="96"/>
    </row>
    <row r="1311" spans="5:5">
      <c r="E1311" s="96"/>
    </row>
    <row r="1312" spans="5:5">
      <c r="E1312" s="96"/>
    </row>
    <row r="1313" spans="5:5">
      <c r="E1313" s="96"/>
    </row>
    <row r="1314" spans="5:5">
      <c r="E1314" s="96"/>
    </row>
    <row r="1315" spans="5:5">
      <c r="E1315" s="96"/>
    </row>
    <row r="1316" spans="5:5">
      <c r="E1316" s="96"/>
    </row>
    <row r="1317" spans="5:5">
      <c r="E1317" s="96"/>
    </row>
    <row r="1318" spans="5:5">
      <c r="E1318" s="96"/>
    </row>
    <row r="1319" spans="5:5">
      <c r="E1319" s="96"/>
    </row>
    <row r="1320" spans="5:5">
      <c r="E1320" s="96"/>
    </row>
    <row r="1321" spans="5:5">
      <c r="E1321" s="96"/>
    </row>
    <row r="1322" spans="5:5">
      <c r="E1322" s="96"/>
    </row>
    <row r="1323" spans="5:5">
      <c r="E1323" s="96"/>
    </row>
    <row r="1324" spans="5:5">
      <c r="E1324" s="96"/>
    </row>
    <row r="1325" spans="5:5">
      <c r="E1325" s="96"/>
    </row>
    <row r="1326" spans="5:5">
      <c r="E1326" s="96"/>
    </row>
    <row r="1327" spans="5:5">
      <c r="E1327" s="96"/>
    </row>
    <row r="1328" spans="5:5">
      <c r="E1328" s="96"/>
    </row>
    <row r="1329" spans="5:5">
      <c r="E1329" s="96"/>
    </row>
    <row r="1330" spans="5:5">
      <c r="E1330" s="96"/>
    </row>
    <row r="1331" spans="5:5">
      <c r="E1331" s="96"/>
    </row>
    <row r="1332" spans="5:5">
      <c r="E1332" s="96"/>
    </row>
    <row r="1333" spans="5:5">
      <c r="E1333" s="96"/>
    </row>
    <row r="1334" spans="5:5">
      <c r="E1334" s="96"/>
    </row>
    <row r="1335" spans="5:5">
      <c r="E1335" s="96"/>
    </row>
    <row r="1336" spans="5:5">
      <c r="E1336" s="96"/>
    </row>
    <row r="1337" spans="5:5">
      <c r="E1337" s="96"/>
    </row>
    <row r="1338" spans="5:5">
      <c r="E1338" s="96"/>
    </row>
    <row r="1339" spans="5:5">
      <c r="E1339" s="96"/>
    </row>
    <row r="1340" spans="5:5">
      <c r="E1340" s="96"/>
    </row>
    <row r="1341" spans="5:5">
      <c r="E1341" s="96"/>
    </row>
    <row r="1342" spans="5:5">
      <c r="E1342" s="96"/>
    </row>
    <row r="1343" spans="5:5">
      <c r="E1343" s="96"/>
    </row>
    <row r="1344" spans="5:5">
      <c r="E1344" s="96"/>
    </row>
    <row r="1345" spans="5:5">
      <c r="E1345" s="96"/>
    </row>
    <row r="1346" spans="5:5">
      <c r="E1346" s="96"/>
    </row>
    <row r="1347" spans="5:5">
      <c r="E1347" s="96"/>
    </row>
    <row r="1348" spans="5:5">
      <c r="E1348" s="96"/>
    </row>
    <row r="1349" spans="5:5">
      <c r="E1349" s="96"/>
    </row>
    <row r="1350" spans="5:5">
      <c r="E1350" s="96"/>
    </row>
    <row r="1351" spans="5:5">
      <c r="E1351" s="96"/>
    </row>
    <row r="1352" spans="5:5">
      <c r="E1352" s="96"/>
    </row>
    <row r="1353" spans="5:5">
      <c r="E1353" s="96"/>
    </row>
    <row r="1354" spans="5:5">
      <c r="E1354" s="96"/>
    </row>
    <row r="1355" spans="5:5">
      <c r="E1355" s="96"/>
    </row>
    <row r="1356" spans="5:5">
      <c r="E1356" s="96"/>
    </row>
    <row r="1357" spans="5:5">
      <c r="E1357" s="96"/>
    </row>
    <row r="1358" spans="5:5">
      <c r="E1358" s="96"/>
    </row>
    <row r="1359" spans="5:5">
      <c r="E1359" s="96"/>
    </row>
    <row r="1360" spans="5:5">
      <c r="E1360" s="96"/>
    </row>
    <row r="1361" spans="5:5">
      <c r="E1361" s="96"/>
    </row>
    <row r="1362" spans="5:5">
      <c r="E1362" s="96"/>
    </row>
    <row r="1363" spans="5:5">
      <c r="E1363" s="96"/>
    </row>
    <row r="1364" spans="5:5">
      <c r="E1364" s="96"/>
    </row>
    <row r="1365" spans="5:5">
      <c r="E1365" s="96"/>
    </row>
    <row r="1366" spans="5:5">
      <c r="E1366" s="96"/>
    </row>
    <row r="1367" spans="5:5">
      <c r="E1367" s="96"/>
    </row>
    <row r="1368" spans="5:5">
      <c r="E1368" s="96"/>
    </row>
    <row r="1369" spans="5:5">
      <c r="E1369" s="96"/>
    </row>
    <row r="1370" spans="5:5">
      <c r="E1370" s="96"/>
    </row>
    <row r="1371" spans="5:5">
      <c r="E1371" s="96"/>
    </row>
    <row r="1372" spans="5:5">
      <c r="E1372" s="96"/>
    </row>
    <row r="1373" spans="5:5">
      <c r="E1373" s="96"/>
    </row>
    <row r="1374" spans="5:5">
      <c r="E1374" s="96"/>
    </row>
    <row r="1375" spans="5:5">
      <c r="E1375" s="96"/>
    </row>
    <row r="1376" spans="5:5">
      <c r="E1376" s="96"/>
    </row>
    <row r="1377" spans="5:5">
      <c r="E1377" s="96"/>
    </row>
    <row r="1378" spans="5:5">
      <c r="E1378" s="96"/>
    </row>
    <row r="1379" spans="5:5">
      <c r="E1379" s="96"/>
    </row>
    <row r="1380" spans="5:5">
      <c r="E1380" s="96"/>
    </row>
    <row r="1381" spans="5:5">
      <c r="E1381" s="96"/>
    </row>
    <row r="1382" spans="5:5">
      <c r="E1382" s="96"/>
    </row>
    <row r="1383" spans="5:5">
      <c r="E1383" s="96"/>
    </row>
    <row r="1384" spans="5:5">
      <c r="E1384" s="96"/>
    </row>
    <row r="1385" spans="5:5">
      <c r="E1385" s="96"/>
    </row>
    <row r="1386" spans="5:5">
      <c r="E1386" s="96"/>
    </row>
    <row r="1387" spans="5:5">
      <c r="E1387" s="96"/>
    </row>
    <row r="1388" spans="5:5">
      <c r="E1388" s="96"/>
    </row>
    <row r="1389" spans="5:5">
      <c r="E1389" s="96"/>
    </row>
    <row r="1390" spans="5:5">
      <c r="E1390" s="96"/>
    </row>
    <row r="1391" spans="5:5">
      <c r="E1391" s="96"/>
    </row>
    <row r="1392" spans="5:5">
      <c r="E1392" s="96"/>
    </row>
    <row r="1393" spans="5:5">
      <c r="E1393" s="96"/>
    </row>
    <row r="1394" spans="5:5">
      <c r="E1394" s="96"/>
    </row>
    <row r="1395" spans="5:5">
      <c r="E1395" s="96"/>
    </row>
    <row r="1396" spans="5:5">
      <c r="E1396" s="96"/>
    </row>
    <row r="1397" spans="5:5">
      <c r="E1397" s="96"/>
    </row>
    <row r="1398" spans="5:5">
      <c r="E1398" s="96"/>
    </row>
    <row r="1399" spans="5:5">
      <c r="E1399" s="96"/>
    </row>
    <row r="1400" spans="5:5">
      <c r="E1400" s="96"/>
    </row>
    <row r="1401" spans="5:5">
      <c r="E1401" s="96"/>
    </row>
    <row r="1402" spans="5:5">
      <c r="E1402" s="96"/>
    </row>
    <row r="1403" spans="5:5">
      <c r="E1403" s="96"/>
    </row>
    <row r="1404" spans="5:5">
      <c r="E1404" s="96"/>
    </row>
    <row r="1405" spans="5:5">
      <c r="E1405" s="96"/>
    </row>
    <row r="1406" spans="5:5">
      <c r="E1406" s="96"/>
    </row>
    <row r="1407" spans="5:5">
      <c r="E1407" s="96"/>
    </row>
    <row r="1408" spans="5:5">
      <c r="E1408" s="96"/>
    </row>
    <row r="1409" spans="5:5">
      <c r="E1409" s="96"/>
    </row>
    <row r="1410" spans="5:5">
      <c r="E1410" s="96"/>
    </row>
    <row r="1411" spans="5:5">
      <c r="E1411" s="96"/>
    </row>
    <row r="1412" spans="5:5">
      <c r="E1412" s="96"/>
    </row>
    <row r="1413" spans="5:5">
      <c r="E1413" s="96"/>
    </row>
    <row r="1414" spans="5:5">
      <c r="E1414" s="96"/>
    </row>
    <row r="1415" spans="5:5">
      <c r="E1415" s="96"/>
    </row>
    <row r="1416" spans="5:5">
      <c r="E1416" s="96"/>
    </row>
    <row r="1417" spans="5:5">
      <c r="E1417" s="96"/>
    </row>
    <row r="1418" spans="5:5">
      <c r="E1418" s="96"/>
    </row>
    <row r="1419" spans="5:5">
      <c r="E1419" s="96"/>
    </row>
    <row r="1420" spans="5:5">
      <c r="E1420" s="96"/>
    </row>
    <row r="1421" spans="5:5">
      <c r="E1421" s="96"/>
    </row>
    <row r="1422" spans="5:5">
      <c r="E1422" s="96"/>
    </row>
    <row r="1423" spans="5:5">
      <c r="E1423" s="96"/>
    </row>
    <row r="1424" spans="5:5">
      <c r="E1424" s="96"/>
    </row>
    <row r="1425" spans="5:5">
      <c r="E1425" s="96"/>
    </row>
    <row r="1426" spans="5:5">
      <c r="E1426" s="96"/>
    </row>
    <row r="1427" spans="5:5">
      <c r="E1427" s="96"/>
    </row>
    <row r="1428" spans="5:5">
      <c r="E1428" s="96"/>
    </row>
    <row r="1429" spans="5:5">
      <c r="E1429" s="96"/>
    </row>
    <row r="1430" spans="5:5">
      <c r="E1430" s="96"/>
    </row>
    <row r="1431" spans="5:5">
      <c r="E1431" s="96"/>
    </row>
    <row r="1432" spans="5:5">
      <c r="E1432" s="96"/>
    </row>
    <row r="1433" spans="5:5">
      <c r="E1433" s="96"/>
    </row>
    <row r="1434" spans="5:5">
      <c r="E1434" s="96"/>
    </row>
    <row r="1435" spans="5:5">
      <c r="E1435" s="96"/>
    </row>
    <row r="1436" spans="5:5">
      <c r="E1436" s="96"/>
    </row>
    <row r="1437" spans="5:5">
      <c r="E1437" s="96"/>
    </row>
    <row r="1438" spans="5:5">
      <c r="E1438" s="96"/>
    </row>
    <row r="1439" spans="5:5">
      <c r="E1439" s="96"/>
    </row>
    <row r="1440" spans="5:5">
      <c r="E1440" s="96"/>
    </row>
    <row r="1441" spans="5:5">
      <c r="E1441" s="96"/>
    </row>
    <row r="1442" spans="5:5">
      <c r="E1442" s="96"/>
    </row>
    <row r="1443" spans="5:5">
      <c r="E1443" s="96"/>
    </row>
    <row r="1444" spans="5:5">
      <c r="E1444" s="96"/>
    </row>
    <row r="1445" spans="5:5">
      <c r="E1445" s="96"/>
    </row>
    <row r="1446" spans="5:5">
      <c r="E1446" s="96"/>
    </row>
    <row r="1447" spans="5:5">
      <c r="E1447" s="96"/>
    </row>
    <row r="1448" spans="5:5">
      <c r="E1448" s="96"/>
    </row>
    <row r="1449" spans="5:5">
      <c r="E1449" s="96"/>
    </row>
    <row r="1450" spans="5:5">
      <c r="E1450" s="96"/>
    </row>
    <row r="1451" spans="5:5">
      <c r="E1451" s="96"/>
    </row>
    <row r="1452" spans="5:5">
      <c r="E1452" s="96"/>
    </row>
    <row r="1453" spans="5:5">
      <c r="E1453" s="96"/>
    </row>
    <row r="1454" spans="5:5">
      <c r="E1454" s="96"/>
    </row>
    <row r="1455" spans="5:5">
      <c r="E1455" s="96"/>
    </row>
    <row r="1456" spans="5:5">
      <c r="E1456" s="96"/>
    </row>
    <row r="1457" spans="5:5">
      <c r="E1457" s="96"/>
    </row>
    <row r="1458" spans="5:5">
      <c r="E1458" s="96"/>
    </row>
    <row r="1459" spans="5:5">
      <c r="E1459" s="96"/>
    </row>
    <row r="1460" spans="5:5">
      <c r="E1460" s="96"/>
    </row>
    <row r="1461" spans="5:5">
      <c r="E1461" s="96"/>
    </row>
    <row r="1462" spans="5:5">
      <c r="E1462" s="96"/>
    </row>
    <row r="1463" spans="5:5">
      <c r="E1463" s="96"/>
    </row>
    <row r="1464" spans="5:5">
      <c r="E1464" s="96"/>
    </row>
    <row r="1465" spans="5:5">
      <c r="E1465" s="96"/>
    </row>
    <row r="1466" spans="5:5">
      <c r="E1466" s="96"/>
    </row>
    <row r="1467" spans="5:5">
      <c r="E1467" s="96"/>
    </row>
    <row r="1468" spans="5:5">
      <c r="E1468" s="96"/>
    </row>
    <row r="1469" spans="5:5">
      <c r="E1469" s="96"/>
    </row>
    <row r="1470" spans="5:5">
      <c r="E1470" s="96"/>
    </row>
    <row r="1471" spans="5:5">
      <c r="E1471" s="96"/>
    </row>
    <row r="1472" spans="5:5">
      <c r="E1472" s="96"/>
    </row>
    <row r="1473" spans="5:5">
      <c r="E1473" s="96"/>
    </row>
    <row r="1474" spans="5:5">
      <c r="E1474" s="96"/>
    </row>
    <row r="1475" spans="5:5">
      <c r="E1475" s="96"/>
    </row>
    <row r="1476" spans="5:5">
      <c r="E1476" s="96"/>
    </row>
    <row r="1477" spans="5:5">
      <c r="E1477" s="96"/>
    </row>
    <row r="1478" spans="5:5">
      <c r="E1478" s="96"/>
    </row>
    <row r="1479" spans="5:5">
      <c r="E1479" s="96"/>
    </row>
    <row r="1480" spans="5:5">
      <c r="E1480" s="96"/>
    </row>
    <row r="1481" spans="5:5">
      <c r="E1481" s="96"/>
    </row>
    <row r="1482" spans="5:5">
      <c r="E1482" s="96"/>
    </row>
    <row r="1483" spans="5:5">
      <c r="E1483" s="96"/>
    </row>
    <row r="1484" spans="5:5">
      <c r="E1484" s="96"/>
    </row>
    <row r="1485" spans="5:5">
      <c r="E1485" s="96"/>
    </row>
    <row r="1486" spans="5:5">
      <c r="E1486" s="96"/>
    </row>
    <row r="1487" spans="5:5">
      <c r="E1487" s="96"/>
    </row>
    <row r="1488" spans="5:5">
      <c r="E1488" s="96"/>
    </row>
    <row r="1489" spans="5:5">
      <c r="E1489" s="96"/>
    </row>
    <row r="1490" spans="5:5">
      <c r="E1490" s="96"/>
    </row>
    <row r="1491" spans="5:5">
      <c r="E1491" s="96"/>
    </row>
    <row r="1492" spans="5:5">
      <c r="E1492" s="96"/>
    </row>
    <row r="1493" spans="5:5">
      <c r="E1493" s="96"/>
    </row>
    <row r="1494" spans="5:5">
      <c r="E1494" s="96"/>
    </row>
    <row r="1495" spans="5:5">
      <c r="E1495" s="96"/>
    </row>
    <row r="1496" spans="5:5">
      <c r="E1496" s="96"/>
    </row>
    <row r="1497" spans="5:5">
      <c r="E1497" s="96"/>
    </row>
    <row r="1498" spans="5:5">
      <c r="E1498" s="96"/>
    </row>
    <row r="1499" spans="5:5">
      <c r="E1499" s="96"/>
    </row>
    <row r="1500" spans="5:5">
      <c r="E1500" s="96"/>
    </row>
    <row r="1501" spans="5:5">
      <c r="E1501" s="96"/>
    </row>
    <row r="1502" spans="5:5">
      <c r="E1502" s="96"/>
    </row>
    <row r="1503" spans="5:5">
      <c r="E1503" s="96"/>
    </row>
    <row r="1504" spans="5:5">
      <c r="E1504" s="96"/>
    </row>
    <row r="1505" spans="5:5">
      <c r="E1505" s="96"/>
    </row>
    <row r="1506" spans="5:5">
      <c r="E1506" s="96"/>
    </row>
    <row r="1507" spans="5:5">
      <c r="E1507" s="96"/>
    </row>
    <row r="1508" spans="5:5">
      <c r="E1508" s="96"/>
    </row>
    <row r="1509" spans="5:5">
      <c r="E1509" s="96"/>
    </row>
    <row r="1510" spans="5:5">
      <c r="E1510" s="96"/>
    </row>
    <row r="1511" spans="5:5">
      <c r="E1511" s="96"/>
    </row>
    <row r="1512" spans="5:5">
      <c r="E1512" s="96"/>
    </row>
    <row r="1513" spans="5:5">
      <c r="E1513" s="96"/>
    </row>
    <row r="1514" spans="5:5">
      <c r="E1514" s="96"/>
    </row>
    <row r="1515" spans="5:5">
      <c r="E1515" s="96"/>
    </row>
    <row r="1516" spans="5:5">
      <c r="E1516" s="96"/>
    </row>
    <row r="1517" spans="5:5">
      <c r="E1517" s="96"/>
    </row>
    <row r="1518" spans="5:5">
      <c r="E1518" s="96"/>
    </row>
    <row r="1519" spans="5:5">
      <c r="E1519" s="96"/>
    </row>
    <row r="1520" spans="5:5">
      <c r="E1520" s="96"/>
    </row>
    <row r="1521" spans="5:5">
      <c r="E1521" s="96"/>
    </row>
    <row r="1522" spans="5:5">
      <c r="E1522" s="96"/>
    </row>
    <row r="1523" spans="5:5">
      <c r="E1523" s="96"/>
    </row>
    <row r="1524" spans="5:5">
      <c r="E1524" s="96"/>
    </row>
    <row r="1525" spans="5:5">
      <c r="E1525" s="96"/>
    </row>
    <row r="1526" spans="5:5">
      <c r="E1526" s="96"/>
    </row>
    <row r="1527" spans="5:5">
      <c r="E1527" s="96"/>
    </row>
    <row r="1528" spans="5:5">
      <c r="E1528" s="96"/>
    </row>
    <row r="1529" spans="5:5">
      <c r="E1529" s="96"/>
    </row>
    <row r="1530" spans="5:5">
      <c r="E1530" s="96"/>
    </row>
    <row r="1531" spans="5:5">
      <c r="E1531" s="96"/>
    </row>
    <row r="1532" spans="5:5">
      <c r="E1532" s="96"/>
    </row>
    <row r="1533" spans="5:5">
      <c r="E1533" s="96"/>
    </row>
    <row r="1534" spans="5:5">
      <c r="E1534" s="96"/>
    </row>
    <row r="1535" spans="5:5">
      <c r="E1535" s="96"/>
    </row>
    <row r="1536" spans="5:5">
      <c r="E1536" s="96"/>
    </row>
    <row r="1537" spans="5:5">
      <c r="E1537" s="96"/>
    </row>
    <row r="1538" spans="5:5">
      <c r="E1538" s="96"/>
    </row>
    <row r="1539" spans="5:5">
      <c r="E1539" s="96"/>
    </row>
    <row r="1540" spans="5:5">
      <c r="E1540" s="96"/>
    </row>
    <row r="1541" spans="5:5">
      <c r="E1541" s="96"/>
    </row>
    <row r="1542" spans="5:5">
      <c r="E1542" s="96"/>
    </row>
    <row r="1543" spans="5:5">
      <c r="E1543" s="96"/>
    </row>
    <row r="1544" spans="5:5">
      <c r="E1544" s="96"/>
    </row>
    <row r="1545" spans="5:5">
      <c r="E1545" s="96"/>
    </row>
    <row r="1546" spans="5:5">
      <c r="E1546" s="96"/>
    </row>
    <row r="1547" spans="5:5">
      <c r="E1547" s="96"/>
    </row>
    <row r="1548" spans="5:5">
      <c r="E1548" s="96"/>
    </row>
    <row r="1549" spans="5:5">
      <c r="E1549" s="96"/>
    </row>
    <row r="1550" spans="5:5">
      <c r="E1550" s="96"/>
    </row>
    <row r="1551" spans="5:5">
      <c r="E1551" s="96"/>
    </row>
    <row r="1552" spans="5:5">
      <c r="E1552" s="96"/>
    </row>
    <row r="1553" spans="5:5">
      <c r="E1553" s="96"/>
    </row>
    <row r="1554" spans="5:5">
      <c r="E1554" s="96"/>
    </row>
    <row r="1555" spans="5:5">
      <c r="E1555" s="96"/>
    </row>
    <row r="1556" spans="5:5">
      <c r="E1556" s="96"/>
    </row>
    <row r="1557" spans="5:5">
      <c r="E1557" s="96"/>
    </row>
    <row r="1558" spans="5:5">
      <c r="E1558" s="96"/>
    </row>
    <row r="1559" spans="5:5">
      <c r="E1559" s="96"/>
    </row>
    <row r="1560" spans="5:5">
      <c r="E1560" s="96"/>
    </row>
    <row r="1561" spans="5:5">
      <c r="E1561" s="96"/>
    </row>
    <row r="1562" spans="5:5">
      <c r="E1562" s="96"/>
    </row>
    <row r="1563" spans="5:5">
      <c r="E1563" s="96"/>
    </row>
    <row r="1564" spans="5:5">
      <c r="E1564" s="96"/>
    </row>
    <row r="1565" spans="5:5">
      <c r="E1565" s="96"/>
    </row>
    <row r="1566" spans="5:5">
      <c r="E1566" s="96"/>
    </row>
    <row r="1567" spans="5:5">
      <c r="E1567" s="96"/>
    </row>
    <row r="1568" spans="5:5">
      <c r="E1568" s="96"/>
    </row>
    <row r="1569" spans="5:5">
      <c r="E1569" s="96"/>
    </row>
    <row r="1570" spans="5:5">
      <c r="E1570" s="96"/>
    </row>
    <row r="1571" spans="5:5">
      <c r="E1571" s="96"/>
    </row>
    <row r="1572" spans="5:5">
      <c r="E1572" s="96"/>
    </row>
    <row r="1573" spans="5:5">
      <c r="E1573" s="96"/>
    </row>
    <row r="1574" spans="5:5">
      <c r="E1574" s="96"/>
    </row>
    <row r="1575" spans="5:5">
      <c r="E1575" s="96"/>
    </row>
    <row r="1576" spans="5:5">
      <c r="E1576" s="96"/>
    </row>
    <row r="1577" spans="5:5">
      <c r="E1577" s="96"/>
    </row>
    <row r="1578" spans="5:5">
      <c r="E1578" s="96"/>
    </row>
    <row r="1579" spans="5:5">
      <c r="E1579" s="96"/>
    </row>
    <row r="1580" spans="5:5">
      <c r="E1580" s="96"/>
    </row>
    <row r="1581" spans="5:5">
      <c r="E1581" s="96"/>
    </row>
    <row r="1582" spans="5:5">
      <c r="E1582" s="96"/>
    </row>
    <row r="1583" spans="5:5">
      <c r="E1583" s="96"/>
    </row>
    <row r="1584" spans="5:5">
      <c r="E1584" s="96"/>
    </row>
    <row r="1585" spans="5:5">
      <c r="E1585" s="96"/>
    </row>
    <row r="1586" spans="5:5">
      <c r="E1586" s="96"/>
    </row>
    <row r="1587" spans="5:5">
      <c r="E1587" s="96"/>
    </row>
    <row r="1588" spans="5:5">
      <c r="E1588" s="96"/>
    </row>
    <row r="1589" spans="5:5">
      <c r="E1589" s="96"/>
    </row>
    <row r="1590" spans="5:5">
      <c r="E1590" s="96"/>
    </row>
    <row r="1591" spans="5:5">
      <c r="E1591" s="96"/>
    </row>
    <row r="1592" spans="5:5">
      <c r="E1592" s="96"/>
    </row>
    <row r="1593" spans="5:5">
      <c r="E1593" s="96"/>
    </row>
    <row r="1594" spans="5:5">
      <c r="E1594" s="96"/>
    </row>
    <row r="1595" spans="5:5">
      <c r="E1595" s="96"/>
    </row>
    <row r="1596" spans="5:5">
      <c r="E1596" s="96"/>
    </row>
    <row r="1597" spans="5:5">
      <c r="E1597" s="96"/>
    </row>
    <row r="1598" spans="5:5">
      <c r="E1598" s="96"/>
    </row>
    <row r="1599" spans="5:5">
      <c r="E1599" s="96"/>
    </row>
    <row r="1600" spans="5:5">
      <c r="E1600" s="96"/>
    </row>
    <row r="1601" spans="5:5">
      <c r="E1601" s="96"/>
    </row>
    <row r="1602" spans="5:5">
      <c r="E1602" s="96"/>
    </row>
    <row r="1603" spans="5:5">
      <c r="E1603" s="96"/>
    </row>
    <row r="1604" spans="5:5">
      <c r="E1604" s="96"/>
    </row>
    <row r="1605" spans="5:5">
      <c r="E1605" s="96"/>
    </row>
    <row r="1606" spans="5:5">
      <c r="E1606" s="96"/>
    </row>
    <row r="1607" spans="5:5">
      <c r="E1607" s="96"/>
    </row>
    <row r="1608" spans="5:5">
      <c r="E1608" s="96"/>
    </row>
    <row r="1609" spans="5:5">
      <c r="E1609" s="96"/>
    </row>
    <row r="1610" spans="5:5">
      <c r="E1610" s="96"/>
    </row>
    <row r="1611" spans="5:5">
      <c r="E1611" s="96"/>
    </row>
    <row r="1612" spans="5:5">
      <c r="E1612" s="96"/>
    </row>
    <row r="1613" spans="5:5">
      <c r="E1613" s="96"/>
    </row>
    <row r="1614" spans="5:5">
      <c r="E1614" s="96"/>
    </row>
    <row r="1615" spans="5:5">
      <c r="E1615" s="96"/>
    </row>
    <row r="1616" spans="5:5">
      <c r="E1616" s="96"/>
    </row>
    <row r="1617" spans="5:5">
      <c r="E1617" s="96"/>
    </row>
    <row r="1618" spans="5:5">
      <c r="E1618" s="96"/>
    </row>
    <row r="1619" spans="5:5">
      <c r="E1619" s="96"/>
    </row>
    <row r="1620" spans="5:5">
      <c r="E1620" s="96"/>
    </row>
    <row r="1621" spans="5:5">
      <c r="E1621" s="96"/>
    </row>
    <row r="1622" spans="5:5">
      <c r="E1622" s="96"/>
    </row>
    <row r="1623" spans="5:5">
      <c r="E1623" s="96"/>
    </row>
    <row r="1624" spans="5:5">
      <c r="E1624" s="96"/>
    </row>
    <row r="1625" spans="5:5">
      <c r="E1625" s="96"/>
    </row>
    <row r="1626" spans="5:5">
      <c r="E1626" s="96"/>
    </row>
    <row r="1627" spans="5:5">
      <c r="E1627" s="96"/>
    </row>
    <row r="1628" spans="5:5">
      <c r="E1628" s="96"/>
    </row>
    <row r="1629" spans="5:5">
      <c r="E1629" s="96"/>
    </row>
    <row r="1630" spans="5:5">
      <c r="E1630" s="96"/>
    </row>
    <row r="1631" spans="5:5">
      <c r="E1631" s="96"/>
    </row>
    <row r="1632" spans="5:5">
      <c r="E1632" s="96"/>
    </row>
    <row r="1633" spans="5:5">
      <c r="E1633" s="96"/>
    </row>
    <row r="1634" spans="5:5">
      <c r="E1634" s="96"/>
    </row>
    <row r="1635" spans="5:5">
      <c r="E1635" s="96"/>
    </row>
    <row r="1636" spans="5:5">
      <c r="E1636" s="96"/>
    </row>
    <row r="1637" spans="5:5">
      <c r="E1637" s="96"/>
    </row>
    <row r="1638" spans="5:5">
      <c r="E1638" s="96"/>
    </row>
    <row r="1639" spans="5:5">
      <c r="E1639" s="96"/>
    </row>
    <row r="1640" spans="5:5">
      <c r="E1640" s="96"/>
    </row>
    <row r="1641" spans="5:5">
      <c r="E1641" s="96"/>
    </row>
    <row r="1642" spans="5:5">
      <c r="E1642" s="96"/>
    </row>
    <row r="1643" spans="5:5">
      <c r="E1643" s="96"/>
    </row>
    <row r="1644" spans="5:5">
      <c r="E1644" s="96"/>
    </row>
    <row r="1645" spans="5:5">
      <c r="E1645" s="96"/>
    </row>
    <row r="1646" spans="5:5">
      <c r="E1646" s="96"/>
    </row>
    <row r="1647" spans="5:5">
      <c r="E1647" s="96"/>
    </row>
    <row r="1648" spans="5:5">
      <c r="E1648" s="96"/>
    </row>
    <row r="1649" spans="5:5">
      <c r="E1649" s="96"/>
    </row>
    <row r="1650" spans="5:5">
      <c r="E1650" s="96"/>
    </row>
    <row r="1651" spans="5:5">
      <c r="E1651" s="96"/>
    </row>
    <row r="1652" spans="5:5">
      <c r="E1652" s="96"/>
    </row>
    <row r="1653" spans="5:5">
      <c r="E1653" s="96"/>
    </row>
    <row r="1654" spans="5:5">
      <c r="E1654" s="96"/>
    </row>
    <row r="1655" spans="5:5">
      <c r="E1655" s="96"/>
    </row>
    <row r="1656" spans="5:5">
      <c r="E1656" s="96"/>
    </row>
    <row r="1657" spans="5:5">
      <c r="E1657" s="96"/>
    </row>
    <row r="1658" spans="5:5">
      <c r="E1658" s="96"/>
    </row>
    <row r="1659" spans="5:5">
      <c r="E1659" s="96"/>
    </row>
    <row r="1660" spans="5:5">
      <c r="E1660" s="96"/>
    </row>
    <row r="1661" spans="5:5">
      <c r="E1661" s="96"/>
    </row>
    <row r="1662" spans="5:5">
      <c r="E1662" s="96"/>
    </row>
    <row r="1663" spans="5:5">
      <c r="E1663" s="96"/>
    </row>
    <row r="1664" spans="5:5">
      <c r="E1664" s="96"/>
    </row>
    <row r="1665" spans="5:5">
      <c r="E1665" s="96"/>
    </row>
    <row r="1666" spans="5:5">
      <c r="E1666" s="96"/>
    </row>
    <row r="1667" spans="5:5">
      <c r="E1667" s="96"/>
    </row>
    <row r="1668" spans="5:5">
      <c r="E1668" s="96"/>
    </row>
    <row r="1669" spans="5:5">
      <c r="E1669" s="96"/>
    </row>
    <row r="1670" spans="5:5">
      <c r="E1670" s="96"/>
    </row>
    <row r="1671" spans="5:5">
      <c r="E1671" s="96"/>
    </row>
    <row r="1672" spans="5:5">
      <c r="E1672" s="96"/>
    </row>
    <row r="1673" spans="5:5">
      <c r="E1673" s="96"/>
    </row>
    <row r="1674" spans="5:5">
      <c r="E1674" s="96"/>
    </row>
    <row r="1675" spans="5:5">
      <c r="E1675" s="96"/>
    </row>
    <row r="1676" spans="5:5">
      <c r="E1676" s="96"/>
    </row>
    <row r="1677" spans="5:5">
      <c r="E1677" s="96"/>
    </row>
    <row r="1678" spans="5:5">
      <c r="E1678" s="96"/>
    </row>
    <row r="1679" spans="5:5">
      <c r="E1679" s="96"/>
    </row>
    <row r="1680" spans="5:5">
      <c r="E1680" s="96"/>
    </row>
    <row r="1681" spans="5:5">
      <c r="E1681" s="96"/>
    </row>
    <row r="1682" spans="5:5">
      <c r="E1682" s="96"/>
    </row>
    <row r="1683" spans="5:5">
      <c r="E1683" s="96"/>
    </row>
    <row r="1684" spans="5:5">
      <c r="E1684" s="96"/>
    </row>
    <row r="1685" spans="5:5">
      <c r="E1685" s="96"/>
    </row>
    <row r="1686" spans="5:5">
      <c r="E1686" s="96"/>
    </row>
    <row r="1687" spans="5:5">
      <c r="E1687" s="96"/>
    </row>
    <row r="1688" spans="5:5">
      <c r="E1688" s="96"/>
    </row>
    <row r="1689" spans="5:5">
      <c r="E1689" s="96"/>
    </row>
    <row r="1690" spans="5:5">
      <c r="E1690" s="96"/>
    </row>
    <row r="1691" spans="5:5">
      <c r="E1691" s="96"/>
    </row>
    <row r="1692" spans="5:5">
      <c r="E1692" s="96"/>
    </row>
    <row r="1693" spans="5:5">
      <c r="E1693" s="96"/>
    </row>
    <row r="1694" spans="5:5">
      <c r="E1694" s="96"/>
    </row>
    <row r="1695" spans="5:5">
      <c r="E1695" s="96"/>
    </row>
    <row r="1696" spans="5:5">
      <c r="E1696" s="96"/>
    </row>
    <row r="1697" spans="5:5">
      <c r="E1697" s="96"/>
    </row>
    <row r="1698" spans="5:5">
      <c r="E1698" s="96"/>
    </row>
    <row r="1699" spans="5:5">
      <c r="E1699" s="96"/>
    </row>
    <row r="1700" spans="5:5">
      <c r="E1700" s="96"/>
    </row>
    <row r="1701" spans="5:5">
      <c r="E1701" s="96"/>
    </row>
    <row r="1702" spans="5:5">
      <c r="E1702" s="96"/>
    </row>
    <row r="1703" spans="5:5">
      <c r="E1703" s="96"/>
    </row>
    <row r="1704" spans="5:5">
      <c r="E1704" s="96"/>
    </row>
    <row r="1705" spans="5:5">
      <c r="E1705" s="96"/>
    </row>
    <row r="1706" spans="5:5">
      <c r="E1706" s="96"/>
    </row>
    <row r="1707" spans="5:5">
      <c r="E1707" s="96"/>
    </row>
    <row r="1708" spans="5:5">
      <c r="E1708" s="96"/>
    </row>
    <row r="1709" spans="5:5">
      <c r="E1709" s="96"/>
    </row>
    <row r="1710" spans="5:5">
      <c r="E1710" s="96"/>
    </row>
    <row r="1711" spans="5:5">
      <c r="E1711" s="96"/>
    </row>
    <row r="1712" spans="5:5">
      <c r="E1712" s="96"/>
    </row>
    <row r="1713" spans="5:5">
      <c r="E1713" s="96"/>
    </row>
    <row r="1714" spans="5:5">
      <c r="E1714" s="96"/>
    </row>
    <row r="1715" spans="5:5">
      <c r="E1715" s="96"/>
    </row>
    <row r="1716" spans="5:5">
      <c r="E1716" s="96"/>
    </row>
    <row r="1717" spans="5:5">
      <c r="E1717" s="96"/>
    </row>
    <row r="1718" spans="5:5">
      <c r="E1718" s="96"/>
    </row>
    <row r="1719" spans="5:5">
      <c r="E1719" s="96"/>
    </row>
    <row r="1720" spans="5:5">
      <c r="E1720" s="96"/>
    </row>
    <row r="1721" spans="5:5">
      <c r="E1721" s="96"/>
    </row>
    <row r="1722" spans="5:5">
      <c r="E1722" s="96"/>
    </row>
    <row r="1723" spans="5:5">
      <c r="E1723" s="96"/>
    </row>
    <row r="1724" spans="5:5">
      <c r="E1724" s="96"/>
    </row>
    <row r="1725" spans="5:5">
      <c r="E1725" s="96"/>
    </row>
    <row r="1726" spans="5:5">
      <c r="E1726" s="96"/>
    </row>
    <row r="1727" spans="5:5">
      <c r="E1727" s="96"/>
    </row>
    <row r="1728" spans="5:5">
      <c r="E1728" s="96"/>
    </row>
    <row r="1729" spans="5:5">
      <c r="E1729" s="96"/>
    </row>
    <row r="1730" spans="5:5">
      <c r="E1730" s="96"/>
    </row>
    <row r="1731" spans="5:5">
      <c r="E1731" s="96"/>
    </row>
    <row r="1732" spans="5:5">
      <c r="E1732" s="96"/>
    </row>
    <row r="1733" spans="5:5">
      <c r="E1733" s="96"/>
    </row>
    <row r="1734" spans="5:5">
      <c r="E1734" s="96"/>
    </row>
    <row r="1735" spans="5:5">
      <c r="E1735" s="96"/>
    </row>
    <row r="1736" spans="5:5">
      <c r="E1736" s="96"/>
    </row>
    <row r="1737" spans="5:5">
      <c r="E1737" s="96"/>
    </row>
    <row r="1738" spans="5:5">
      <c r="E1738" s="96"/>
    </row>
    <row r="1739" spans="5:5">
      <c r="E1739" s="96"/>
    </row>
    <row r="1740" spans="5:5">
      <c r="E1740" s="96"/>
    </row>
    <row r="1741" spans="5:5">
      <c r="E1741" s="96"/>
    </row>
    <row r="1742" spans="5:5">
      <c r="E1742" s="96"/>
    </row>
    <row r="1743" spans="5:5">
      <c r="E1743" s="96"/>
    </row>
    <row r="1744" spans="5:5">
      <c r="E1744" s="96"/>
    </row>
    <row r="1745" spans="5:5">
      <c r="E1745" s="96"/>
    </row>
    <row r="1746" spans="5:5">
      <c r="E1746" s="96"/>
    </row>
    <row r="1747" spans="5:5">
      <c r="E1747" s="96"/>
    </row>
    <row r="1748" spans="5:5">
      <c r="E1748" s="96"/>
    </row>
    <row r="1749" spans="5:5">
      <c r="E1749" s="96"/>
    </row>
    <row r="1750" spans="5:5">
      <c r="E1750" s="96"/>
    </row>
    <row r="1751" spans="5:5">
      <c r="E1751" s="96"/>
    </row>
    <row r="1752" spans="5:5">
      <c r="E1752" s="96"/>
    </row>
    <row r="1753" spans="5:5">
      <c r="E1753" s="96"/>
    </row>
    <row r="1754" spans="5:5">
      <c r="E1754" s="96"/>
    </row>
    <row r="1755" spans="5:5">
      <c r="E1755" s="96"/>
    </row>
    <row r="1756" spans="5:5">
      <c r="E1756" s="96"/>
    </row>
    <row r="1757" spans="5:5">
      <c r="E1757" s="96"/>
    </row>
    <row r="1758" spans="5:5">
      <c r="E1758" s="96"/>
    </row>
    <row r="1759" spans="5:5">
      <c r="E1759" s="96"/>
    </row>
    <row r="1760" spans="5:5">
      <c r="E1760" s="96"/>
    </row>
    <row r="1761" spans="5:5">
      <c r="E1761" s="96"/>
    </row>
    <row r="1762" spans="5:5">
      <c r="E1762" s="96"/>
    </row>
    <row r="1763" spans="5:5">
      <c r="E1763" s="96"/>
    </row>
    <row r="1764" spans="5:5">
      <c r="E1764" s="96"/>
    </row>
    <row r="1765" spans="5:5">
      <c r="E1765" s="96"/>
    </row>
    <row r="1766" spans="5:5">
      <c r="E1766" s="96"/>
    </row>
    <row r="1767" spans="5:5">
      <c r="E1767" s="96"/>
    </row>
    <row r="1768" spans="5:5">
      <c r="E1768" s="96"/>
    </row>
    <row r="1769" spans="5:5">
      <c r="E1769" s="96"/>
    </row>
    <row r="1770" spans="5:5">
      <c r="E1770" s="96"/>
    </row>
    <row r="1771" spans="5:5">
      <c r="E1771" s="96"/>
    </row>
    <row r="1772" spans="5:5">
      <c r="E1772" s="96"/>
    </row>
    <row r="1773" spans="5:5">
      <c r="E1773" s="96"/>
    </row>
    <row r="1774" spans="5:5">
      <c r="E1774" s="96"/>
    </row>
    <row r="1775" spans="5:5">
      <c r="E1775" s="96"/>
    </row>
    <row r="1776" spans="5:5">
      <c r="E1776" s="96"/>
    </row>
    <row r="1777" spans="5:5">
      <c r="E1777" s="96"/>
    </row>
    <row r="1778" spans="5:5">
      <c r="E1778" s="96"/>
    </row>
    <row r="1779" spans="5:5">
      <c r="E1779" s="96"/>
    </row>
    <row r="1780" spans="5:5">
      <c r="E1780" s="96"/>
    </row>
    <row r="1781" spans="5:5">
      <c r="E1781" s="96"/>
    </row>
    <row r="1782" spans="5:5">
      <c r="E1782" s="96"/>
    </row>
    <row r="1783" spans="5:5">
      <c r="E1783" s="96"/>
    </row>
    <row r="1784" spans="5:5">
      <c r="E1784" s="96"/>
    </row>
    <row r="1785" spans="5:5">
      <c r="E1785" s="96"/>
    </row>
    <row r="1786" spans="5:5">
      <c r="E1786" s="96"/>
    </row>
    <row r="1787" spans="5:5">
      <c r="E1787" s="96"/>
    </row>
    <row r="1788" spans="5:5">
      <c r="E1788" s="96"/>
    </row>
    <row r="1789" spans="5:5">
      <c r="E1789" s="96"/>
    </row>
    <row r="1790" spans="5:5">
      <c r="E1790" s="96"/>
    </row>
    <row r="1791" spans="5:5">
      <c r="E1791" s="96"/>
    </row>
    <row r="1792" spans="5:5">
      <c r="E1792" s="96"/>
    </row>
    <row r="1793" spans="5:5">
      <c r="E1793" s="96"/>
    </row>
    <row r="1794" spans="5:5">
      <c r="E1794" s="96"/>
    </row>
    <row r="1795" spans="5:5">
      <c r="E1795" s="96"/>
    </row>
    <row r="1796" spans="5:5">
      <c r="E1796" s="96"/>
    </row>
    <row r="1797" spans="5:5">
      <c r="E1797" s="96"/>
    </row>
    <row r="1798" spans="5:5">
      <c r="E1798" s="96"/>
    </row>
    <row r="1799" spans="5:5">
      <c r="E1799" s="96"/>
    </row>
    <row r="1800" spans="5:5">
      <c r="E1800" s="96"/>
    </row>
    <row r="1801" spans="5:5">
      <c r="E1801" s="96"/>
    </row>
    <row r="1802" spans="5:5">
      <c r="E1802" s="96"/>
    </row>
    <row r="1803" spans="5:5">
      <c r="E1803" s="96"/>
    </row>
    <row r="1804" spans="5:5">
      <c r="E1804" s="96"/>
    </row>
    <row r="1805" spans="5:5">
      <c r="E1805" s="96"/>
    </row>
    <row r="1806" spans="5:5">
      <c r="E1806" s="96"/>
    </row>
    <row r="1807" spans="5:5">
      <c r="E1807" s="96"/>
    </row>
    <row r="1808" spans="5:5">
      <c r="E1808" s="96"/>
    </row>
    <row r="1809" spans="5:5">
      <c r="E1809" s="96"/>
    </row>
    <row r="1810" spans="5:5">
      <c r="E1810" s="96"/>
    </row>
    <row r="1811" spans="5:5">
      <c r="E1811" s="96"/>
    </row>
    <row r="1812" spans="5:5">
      <c r="E1812" s="96"/>
    </row>
    <row r="1813" spans="5:5">
      <c r="E1813" s="96"/>
    </row>
    <row r="1814" spans="5:5">
      <c r="E1814" s="96"/>
    </row>
    <row r="1815" spans="5:5">
      <c r="E1815" s="96"/>
    </row>
    <row r="1816" spans="5:5">
      <c r="E1816" s="96"/>
    </row>
    <row r="1817" spans="5:5">
      <c r="E1817" s="96"/>
    </row>
    <row r="1818" spans="5:5">
      <c r="E1818" s="96"/>
    </row>
    <row r="1819" spans="5:5">
      <c r="E1819" s="96"/>
    </row>
    <row r="1820" spans="5:5">
      <c r="E1820" s="96"/>
    </row>
    <row r="1821" spans="5:5">
      <c r="E1821" s="96"/>
    </row>
    <row r="1822" spans="5:5">
      <c r="E1822" s="96"/>
    </row>
    <row r="1823" spans="5:5">
      <c r="E1823" s="96"/>
    </row>
    <row r="1824" spans="5:5">
      <c r="E1824" s="96"/>
    </row>
    <row r="1825" spans="5:5">
      <c r="E1825" s="96"/>
    </row>
    <row r="1826" spans="5:5">
      <c r="E1826" s="96"/>
    </row>
    <row r="1827" spans="5:5">
      <c r="E1827" s="96"/>
    </row>
    <row r="1828" spans="5:5">
      <c r="E1828" s="96"/>
    </row>
    <row r="1829" spans="5:5">
      <c r="E1829" s="96"/>
    </row>
    <row r="1830" spans="5:5">
      <c r="E1830" s="96"/>
    </row>
    <row r="1831" spans="5:5">
      <c r="E1831" s="96"/>
    </row>
    <row r="1832" spans="5:5">
      <c r="E1832" s="96"/>
    </row>
    <row r="1833" spans="5:5">
      <c r="E1833" s="96"/>
    </row>
    <row r="1834" spans="5:5">
      <c r="E1834" s="96"/>
    </row>
    <row r="1835" spans="5:5">
      <c r="E1835" s="96"/>
    </row>
    <row r="1836" spans="5:5">
      <c r="E1836" s="96"/>
    </row>
    <row r="1837" spans="5:5">
      <c r="E1837" s="96"/>
    </row>
    <row r="1838" spans="5:5">
      <c r="E1838" s="96"/>
    </row>
    <row r="1839" spans="5:5">
      <c r="E1839" s="96"/>
    </row>
    <row r="1840" spans="5:5">
      <c r="E1840" s="96"/>
    </row>
    <row r="1841" spans="5:5">
      <c r="E1841" s="96"/>
    </row>
    <row r="1842" spans="5:5">
      <c r="E1842" s="96"/>
    </row>
    <row r="1843" spans="5:5">
      <c r="E1843" s="96"/>
    </row>
    <row r="1844" spans="5:5">
      <c r="E1844" s="96"/>
    </row>
    <row r="1845" spans="5:5">
      <c r="E1845" s="96"/>
    </row>
    <row r="1846" spans="5:5">
      <c r="E1846" s="96"/>
    </row>
    <row r="1847" spans="5:5">
      <c r="E1847" s="96"/>
    </row>
    <row r="1848" spans="5:5">
      <c r="E1848" s="96"/>
    </row>
    <row r="1849" spans="5:5">
      <c r="E1849" s="96"/>
    </row>
    <row r="1850" spans="5:5">
      <c r="E1850" s="96"/>
    </row>
    <row r="1851" spans="5:5">
      <c r="E1851" s="96"/>
    </row>
    <row r="1852" spans="5:5">
      <c r="E1852" s="96"/>
    </row>
    <row r="1853" spans="5:5">
      <c r="E1853" s="96"/>
    </row>
    <row r="1854" spans="5:5">
      <c r="E1854" s="96"/>
    </row>
    <row r="1855" spans="5:5">
      <c r="E1855" s="96"/>
    </row>
    <row r="1856" spans="5:5">
      <c r="E1856" s="96"/>
    </row>
    <row r="1857" spans="5:5">
      <c r="E1857" s="96"/>
    </row>
    <row r="1858" spans="5:5">
      <c r="E1858" s="96"/>
    </row>
    <row r="1859" spans="5:5">
      <c r="E1859" s="96"/>
    </row>
    <row r="1860" spans="5:5">
      <c r="E1860" s="96"/>
    </row>
    <row r="1861" spans="5:5">
      <c r="E1861" s="96"/>
    </row>
    <row r="1862" spans="5:5">
      <c r="E1862" s="96"/>
    </row>
    <row r="1863" spans="5:5">
      <c r="E1863" s="96"/>
    </row>
    <row r="1864" spans="5:5">
      <c r="E1864" s="96"/>
    </row>
    <row r="1865" spans="5:5">
      <c r="E1865" s="96"/>
    </row>
    <row r="1866" spans="5:5">
      <c r="E1866" s="96"/>
    </row>
    <row r="1867" spans="5:5">
      <c r="E1867" s="96"/>
    </row>
    <row r="1868" spans="5:5">
      <c r="E1868" s="96"/>
    </row>
    <row r="1869" spans="5:5">
      <c r="E1869" s="96"/>
    </row>
    <row r="1870" spans="5:5">
      <c r="E1870" s="96"/>
    </row>
    <row r="1871" spans="5:5">
      <c r="E1871" s="96"/>
    </row>
    <row r="1872" spans="5:5">
      <c r="E1872" s="96"/>
    </row>
    <row r="1873" spans="5:5">
      <c r="E1873" s="96"/>
    </row>
    <row r="1874" spans="5:5">
      <c r="E1874" s="96"/>
    </row>
    <row r="1875" spans="5:5">
      <c r="E1875" s="96"/>
    </row>
    <row r="1876" spans="5:5">
      <c r="E1876" s="96"/>
    </row>
    <row r="1877" spans="5:5">
      <c r="E1877" s="96"/>
    </row>
    <row r="1878" spans="5:5">
      <c r="E1878" s="96"/>
    </row>
    <row r="1879" spans="5:5">
      <c r="E1879" s="96"/>
    </row>
    <row r="1880" spans="5:5">
      <c r="E1880" s="96"/>
    </row>
    <row r="1881" spans="5:5">
      <c r="E1881" s="96"/>
    </row>
    <row r="1882" spans="5:5">
      <c r="E1882" s="96"/>
    </row>
    <row r="1883" spans="5:5">
      <c r="E1883" s="96"/>
    </row>
    <row r="1884" spans="5:5">
      <c r="E1884" s="96"/>
    </row>
    <row r="1885" spans="5:5">
      <c r="E1885" s="96"/>
    </row>
    <row r="1886" spans="5:5">
      <c r="E1886" s="96"/>
    </row>
    <row r="1887" spans="5:5">
      <c r="E1887" s="96"/>
    </row>
    <row r="1888" spans="5:5">
      <c r="E1888" s="96"/>
    </row>
    <row r="1889" spans="5:5">
      <c r="E1889" s="96"/>
    </row>
    <row r="1890" spans="5:5">
      <c r="E1890" s="96"/>
    </row>
    <row r="1891" spans="5:5">
      <c r="E1891" s="96"/>
    </row>
    <row r="1892" spans="5:5">
      <c r="E1892" s="96"/>
    </row>
    <row r="1893" spans="5:5">
      <c r="E1893" s="96"/>
    </row>
    <row r="1894" spans="5:5">
      <c r="E1894" s="96"/>
    </row>
    <row r="1895" spans="5:5">
      <c r="E1895" s="96"/>
    </row>
    <row r="1896" spans="5:5">
      <c r="E1896" s="96"/>
    </row>
    <row r="1897" spans="5:5">
      <c r="E1897" s="96"/>
    </row>
    <row r="1898" spans="5:5">
      <c r="E1898" s="96"/>
    </row>
    <row r="1899" spans="5:5">
      <c r="E1899" s="96"/>
    </row>
    <row r="1900" spans="5:5">
      <c r="E1900" s="96"/>
    </row>
    <row r="1901" spans="5:5">
      <c r="E1901" s="96"/>
    </row>
    <row r="1902" spans="5:5">
      <c r="E1902" s="96"/>
    </row>
    <row r="1903" spans="5:5">
      <c r="E1903" s="96"/>
    </row>
    <row r="1904" spans="5:5">
      <c r="E1904" s="96"/>
    </row>
    <row r="1905" spans="5:5">
      <c r="E1905" s="96"/>
    </row>
    <row r="1906" spans="5:5">
      <c r="E1906" s="96"/>
    </row>
    <row r="1907" spans="5:5">
      <c r="E1907" s="96"/>
    </row>
    <row r="1908" spans="5:5">
      <c r="E1908" s="96"/>
    </row>
    <row r="1909" spans="5:5">
      <c r="E1909" s="96"/>
    </row>
    <row r="1910" spans="5:5">
      <c r="E1910" s="96"/>
    </row>
    <row r="1911" spans="5:5">
      <c r="E1911" s="96"/>
    </row>
    <row r="1912" spans="5:5">
      <c r="E1912" s="96"/>
    </row>
    <row r="1913" spans="5:5">
      <c r="E1913" s="96"/>
    </row>
    <row r="1914" spans="5:5">
      <c r="E1914" s="96"/>
    </row>
    <row r="1915" spans="5:5">
      <c r="E1915" s="96"/>
    </row>
    <row r="1916" spans="5:5">
      <c r="E1916" s="96"/>
    </row>
    <row r="1917" spans="5:5">
      <c r="E1917" s="96"/>
    </row>
    <row r="1918" spans="5:5">
      <c r="E1918" s="96"/>
    </row>
    <row r="1919" spans="5:5">
      <c r="E1919" s="96"/>
    </row>
    <row r="1920" spans="5:5">
      <c r="E1920" s="96"/>
    </row>
    <row r="1921" spans="5:5">
      <c r="E1921" s="96"/>
    </row>
    <row r="1922" spans="5:5">
      <c r="E1922" s="96"/>
    </row>
    <row r="1923" spans="5:5">
      <c r="E1923" s="96"/>
    </row>
    <row r="1924" spans="5:5">
      <c r="E1924" s="96"/>
    </row>
    <row r="1925" spans="5:5">
      <c r="E1925" s="96"/>
    </row>
    <row r="1926" spans="5:5">
      <c r="E1926" s="96"/>
    </row>
    <row r="1927" spans="5:5">
      <c r="E1927" s="96"/>
    </row>
    <row r="1928" spans="5:5">
      <c r="E1928" s="96"/>
    </row>
    <row r="1929" spans="5:5">
      <c r="E1929" s="96"/>
    </row>
    <row r="1930" spans="5:5">
      <c r="E1930" s="96"/>
    </row>
    <row r="1931" spans="5:5">
      <c r="E1931" s="96"/>
    </row>
    <row r="1932" spans="5:5">
      <c r="E1932" s="96"/>
    </row>
    <row r="1933" spans="5:5">
      <c r="E1933" s="96"/>
    </row>
    <row r="1934" spans="5:5">
      <c r="E1934" s="96"/>
    </row>
    <row r="1935" spans="5:5">
      <c r="E1935" s="96"/>
    </row>
    <row r="1936" spans="5:5">
      <c r="E1936" s="96"/>
    </row>
    <row r="1937" spans="5:5">
      <c r="E1937" s="96"/>
    </row>
    <row r="1938" spans="5:5">
      <c r="E1938" s="96"/>
    </row>
    <row r="1939" spans="5:5">
      <c r="E1939" s="96"/>
    </row>
    <row r="1940" spans="5:5">
      <c r="E1940" s="96"/>
    </row>
    <row r="1941" spans="5:5">
      <c r="E1941" s="96"/>
    </row>
    <row r="1942" spans="5:5">
      <c r="E1942" s="96"/>
    </row>
    <row r="1943" spans="5:5">
      <c r="E1943" s="96"/>
    </row>
    <row r="1944" spans="5:5">
      <c r="E1944" s="96"/>
    </row>
    <row r="1945" spans="5:5">
      <c r="E1945" s="96"/>
    </row>
    <row r="1946" spans="5:5">
      <c r="E1946" s="96"/>
    </row>
    <row r="1947" spans="5:5">
      <c r="E1947" s="96"/>
    </row>
    <row r="1948" spans="5:5">
      <c r="E1948" s="96"/>
    </row>
    <row r="1949" spans="5:5">
      <c r="E1949" s="96"/>
    </row>
    <row r="1950" spans="5:5">
      <c r="E1950" s="96"/>
    </row>
    <row r="1951" spans="5:5">
      <c r="E1951" s="96"/>
    </row>
    <row r="1952" spans="5:5">
      <c r="E1952" s="96"/>
    </row>
    <row r="1953" spans="5:5">
      <c r="E1953" s="96"/>
    </row>
    <row r="1954" spans="5:5">
      <c r="E1954" s="96"/>
    </row>
    <row r="1955" spans="5:5">
      <c r="E1955" s="96"/>
    </row>
    <row r="1956" spans="5:5">
      <c r="E1956" s="96"/>
    </row>
    <row r="1957" spans="5:5">
      <c r="E1957" s="96"/>
    </row>
    <row r="1958" spans="5:5">
      <c r="E1958" s="96"/>
    </row>
    <row r="1959" spans="5:5">
      <c r="E1959" s="96"/>
    </row>
    <row r="1960" spans="5:5">
      <c r="E1960" s="96"/>
    </row>
    <row r="1961" spans="5:5">
      <c r="E1961" s="96"/>
    </row>
    <row r="1962" spans="5:5">
      <c r="E1962" s="96"/>
    </row>
    <row r="1963" spans="5:5">
      <c r="E1963" s="96"/>
    </row>
    <row r="1964" spans="5:5">
      <c r="E1964" s="96"/>
    </row>
    <row r="1965" spans="5:5">
      <c r="E1965" s="96"/>
    </row>
    <row r="1966" spans="5:5">
      <c r="E1966" s="96"/>
    </row>
    <row r="1967" spans="5:5">
      <c r="E1967" s="96"/>
    </row>
    <row r="1968" spans="5:5">
      <c r="E1968" s="96"/>
    </row>
    <row r="1969" spans="5:5">
      <c r="E1969" s="96"/>
    </row>
    <row r="1970" spans="5:5">
      <c r="E1970" s="96"/>
    </row>
    <row r="1971" spans="5:5">
      <c r="E1971" s="96"/>
    </row>
    <row r="1972" spans="5:5">
      <c r="E1972" s="96"/>
    </row>
    <row r="1973" spans="5:5">
      <c r="E1973" s="96"/>
    </row>
    <row r="1974" spans="5:5">
      <c r="E1974" s="96"/>
    </row>
    <row r="1975" spans="5:5">
      <c r="E1975" s="96"/>
    </row>
    <row r="1976" spans="5:5">
      <c r="E1976" s="96"/>
    </row>
    <row r="1977" spans="5:5">
      <c r="E1977" s="96"/>
    </row>
    <row r="1978" spans="5:5">
      <c r="E1978" s="96"/>
    </row>
    <row r="1979" spans="5:5">
      <c r="E1979" s="96"/>
    </row>
    <row r="1980" spans="5:5">
      <c r="E1980" s="96"/>
    </row>
    <row r="1981" spans="5:5">
      <c r="E1981" s="96"/>
    </row>
    <row r="1982" spans="5:5">
      <c r="E1982" s="96"/>
    </row>
    <row r="1983" spans="5:5">
      <c r="E1983" s="96"/>
    </row>
    <row r="1984" spans="5:5">
      <c r="E1984" s="96"/>
    </row>
    <row r="1985" spans="5:5">
      <c r="E1985" s="96"/>
    </row>
    <row r="1986" spans="5:5">
      <c r="E1986" s="96"/>
    </row>
    <row r="1987" spans="5:5">
      <c r="E1987" s="96"/>
    </row>
    <row r="1988" spans="5:5">
      <c r="E1988" s="96"/>
    </row>
    <row r="1989" spans="5:5">
      <c r="E1989" s="96"/>
    </row>
    <row r="1990" spans="5:5">
      <c r="E1990" s="96"/>
    </row>
    <row r="1991" spans="5:5">
      <c r="E1991" s="96"/>
    </row>
    <row r="1992" spans="5:5">
      <c r="E1992" s="96"/>
    </row>
    <row r="1993" spans="5:5">
      <c r="E1993" s="96"/>
    </row>
    <row r="1994" spans="5:5">
      <c r="E1994" s="96"/>
    </row>
    <row r="1995" spans="5:5">
      <c r="E1995" s="96"/>
    </row>
    <row r="1996" spans="5:5">
      <c r="E1996" s="96"/>
    </row>
    <row r="1997" spans="5:5">
      <c r="E1997" s="96"/>
    </row>
    <row r="1998" spans="5:5">
      <c r="E1998" s="96"/>
    </row>
    <row r="1999" spans="5:5">
      <c r="E1999" s="96"/>
    </row>
    <row r="2000" spans="5:5">
      <c r="E2000" s="96"/>
    </row>
    <row r="2001" spans="5:5">
      <c r="E2001" s="96"/>
    </row>
    <row r="2002" spans="5:5">
      <c r="E2002" s="96"/>
    </row>
    <row r="2003" spans="5:5">
      <c r="E2003" s="96"/>
    </row>
    <row r="2004" spans="5:5">
      <c r="E2004" s="96"/>
    </row>
    <row r="2005" spans="5:5">
      <c r="E2005" s="96"/>
    </row>
    <row r="2006" spans="5:5">
      <c r="E2006" s="96"/>
    </row>
    <row r="2007" spans="5:5">
      <c r="E2007" s="96"/>
    </row>
    <row r="2008" spans="5:5">
      <c r="E2008" s="96"/>
    </row>
    <row r="2009" spans="5:5">
      <c r="E2009" s="96"/>
    </row>
    <row r="2010" spans="5:5">
      <c r="E2010" s="96"/>
    </row>
    <row r="2011" spans="5:5">
      <c r="E2011" s="96"/>
    </row>
    <row r="2012" spans="5:5">
      <c r="E2012" s="96"/>
    </row>
    <row r="2013" spans="5:5">
      <c r="E2013" s="96"/>
    </row>
    <row r="2014" spans="5:5">
      <c r="E2014" s="96"/>
    </row>
    <row r="2015" spans="5:5">
      <c r="E2015" s="96"/>
    </row>
    <row r="2016" spans="5:5">
      <c r="E2016" s="96"/>
    </row>
    <row r="2017" spans="5:5">
      <c r="E2017" s="96"/>
    </row>
    <row r="2018" spans="5:5">
      <c r="E2018" s="96"/>
    </row>
    <row r="2019" spans="5:5">
      <c r="E2019" s="96"/>
    </row>
    <row r="2020" spans="5:5">
      <c r="E2020" s="96"/>
    </row>
    <row r="2021" spans="5:5">
      <c r="E2021" s="96"/>
    </row>
    <row r="2022" spans="5:5">
      <c r="E2022" s="96"/>
    </row>
    <row r="2023" spans="5:5">
      <c r="E2023" s="96"/>
    </row>
    <row r="2024" spans="5:5">
      <c r="E2024" s="96"/>
    </row>
    <row r="2025" spans="5:5">
      <c r="E2025" s="96"/>
    </row>
    <row r="2026" spans="5:5">
      <c r="E2026" s="96"/>
    </row>
    <row r="2027" spans="5:5">
      <c r="E2027" s="96"/>
    </row>
    <row r="2028" spans="5:5">
      <c r="E2028" s="96"/>
    </row>
    <row r="2029" spans="5:5">
      <c r="E2029" s="96"/>
    </row>
    <row r="2030" spans="5:5">
      <c r="E2030" s="96"/>
    </row>
    <row r="2031" spans="5:5">
      <c r="E2031" s="96"/>
    </row>
    <row r="2032" spans="5:5">
      <c r="E2032" s="96"/>
    </row>
    <row r="2033" spans="5:5">
      <c r="E2033" s="96"/>
    </row>
    <row r="2034" spans="5:5">
      <c r="E2034" s="96"/>
    </row>
    <row r="2035" spans="5:5">
      <c r="E2035" s="96"/>
    </row>
    <row r="2036" spans="5:5">
      <c r="E2036" s="96"/>
    </row>
    <row r="2037" spans="5:5">
      <c r="E2037" s="96"/>
    </row>
    <row r="2038" spans="5:5">
      <c r="E2038" s="96"/>
    </row>
    <row r="2039" spans="5:5">
      <c r="E2039" s="96"/>
    </row>
    <row r="2040" spans="5:5">
      <c r="E2040" s="96"/>
    </row>
    <row r="2041" spans="5:5">
      <c r="E2041" s="96"/>
    </row>
    <row r="2042" spans="5:5">
      <c r="E2042" s="96"/>
    </row>
    <row r="2043" spans="5:5">
      <c r="E2043" s="96"/>
    </row>
    <row r="2044" spans="5:5">
      <c r="E2044" s="96"/>
    </row>
    <row r="2045" spans="5:5">
      <c r="E2045" s="96"/>
    </row>
    <row r="2046" spans="5:5">
      <c r="E2046" s="96"/>
    </row>
    <row r="2047" spans="5:5">
      <c r="E2047" s="96"/>
    </row>
    <row r="2048" spans="5:5">
      <c r="E2048" s="96"/>
    </row>
    <row r="2049" spans="5:5">
      <c r="E2049" s="96"/>
    </row>
    <row r="2050" spans="5:5">
      <c r="E2050" s="96"/>
    </row>
    <row r="2051" spans="5:5">
      <c r="E2051" s="96"/>
    </row>
    <row r="2052" spans="5:5">
      <c r="E2052" s="96"/>
    </row>
    <row r="2053" spans="5:5">
      <c r="E2053" s="96"/>
    </row>
    <row r="2054" spans="5:5">
      <c r="E2054" s="96"/>
    </row>
    <row r="2055" spans="5:5">
      <c r="E2055" s="96"/>
    </row>
    <row r="2056" spans="5:5">
      <c r="E2056" s="96"/>
    </row>
    <row r="2057" spans="5:5">
      <c r="E2057" s="96"/>
    </row>
    <row r="2058" spans="5:5">
      <c r="E2058" s="96"/>
    </row>
    <row r="2059" spans="5:5">
      <c r="E2059" s="96"/>
    </row>
    <row r="2060" spans="5:5">
      <c r="E2060" s="96"/>
    </row>
    <row r="2061" spans="5:5">
      <c r="E2061" s="96"/>
    </row>
    <row r="2062" spans="5:5">
      <c r="E2062" s="96"/>
    </row>
    <row r="2063" spans="5:5">
      <c r="E2063" s="96"/>
    </row>
    <row r="2064" spans="5:5">
      <c r="E2064" s="96"/>
    </row>
    <row r="2065" spans="5:5">
      <c r="E2065" s="96"/>
    </row>
    <row r="2066" spans="5:5">
      <c r="E2066" s="96"/>
    </row>
    <row r="2067" spans="5:5">
      <c r="E2067" s="96"/>
    </row>
    <row r="2068" spans="5:5">
      <c r="E2068" s="96"/>
    </row>
    <row r="2069" spans="5:5">
      <c r="E2069" s="96"/>
    </row>
    <row r="2070" spans="5:5">
      <c r="E2070" s="96"/>
    </row>
    <row r="2071" spans="5:5">
      <c r="E2071" s="96"/>
    </row>
    <row r="2072" spans="5:5">
      <c r="E2072" s="96"/>
    </row>
    <row r="2073" spans="5:5">
      <c r="E2073" s="96"/>
    </row>
    <row r="2074" spans="5:5">
      <c r="E2074" s="96"/>
    </row>
    <row r="2075" spans="5:5">
      <c r="E2075" s="96"/>
    </row>
    <row r="2076" spans="5:5">
      <c r="E2076" s="96"/>
    </row>
    <row r="2077" spans="5:5">
      <c r="E2077" s="96"/>
    </row>
    <row r="2078" spans="5:5">
      <c r="E2078" s="96"/>
    </row>
    <row r="2079" spans="5:5">
      <c r="E2079" s="96"/>
    </row>
    <row r="2080" spans="5:5">
      <c r="E2080" s="96"/>
    </row>
    <row r="2081" spans="5:5">
      <c r="E2081" s="96"/>
    </row>
    <row r="2082" spans="5:5">
      <c r="E2082" s="96"/>
    </row>
    <row r="2083" spans="5:5">
      <c r="E2083" s="96"/>
    </row>
    <row r="2084" spans="5:5">
      <c r="E2084" s="96"/>
    </row>
    <row r="2085" spans="5:5">
      <c r="E2085" s="96"/>
    </row>
    <row r="2086" spans="5:5">
      <c r="E2086" s="96"/>
    </row>
    <row r="2087" spans="5:5">
      <c r="E2087" s="96"/>
    </row>
    <row r="2088" spans="5:5">
      <c r="E2088" s="96"/>
    </row>
    <row r="2089" spans="5:5">
      <c r="E2089" s="96"/>
    </row>
    <row r="2090" spans="5:5">
      <c r="E2090" s="96"/>
    </row>
    <row r="2091" spans="5:5">
      <c r="E2091" s="96"/>
    </row>
    <row r="2092" spans="5:5">
      <c r="E2092" s="96"/>
    </row>
    <row r="2093" spans="5:5">
      <c r="E2093" s="96"/>
    </row>
    <row r="2094" spans="5:5">
      <c r="E2094" s="96"/>
    </row>
    <row r="2095" spans="5:5">
      <c r="E2095" s="96"/>
    </row>
    <row r="2096" spans="5:5">
      <c r="E2096" s="96"/>
    </row>
    <row r="2097" spans="5:5">
      <c r="E2097" s="96"/>
    </row>
    <row r="2098" spans="5:5">
      <c r="E2098" s="96"/>
    </row>
    <row r="2099" spans="5:5">
      <c r="E2099" s="96"/>
    </row>
    <row r="2100" spans="5:5">
      <c r="E2100" s="96"/>
    </row>
    <row r="2101" spans="5:5">
      <c r="E2101" s="96"/>
    </row>
    <row r="2102" spans="5:5">
      <c r="E2102" s="96"/>
    </row>
    <row r="2103" spans="5:5">
      <c r="E2103" s="96"/>
    </row>
    <row r="2104" spans="5:5">
      <c r="E2104" s="96"/>
    </row>
    <row r="2105" spans="5:5">
      <c r="E2105" s="96"/>
    </row>
    <row r="2106" spans="5:5">
      <c r="E2106" s="96"/>
    </row>
    <row r="2107" spans="5:5">
      <c r="E2107" s="96"/>
    </row>
    <row r="2108" spans="5:5">
      <c r="E2108" s="96"/>
    </row>
    <row r="2109" spans="5:5">
      <c r="E2109" s="96"/>
    </row>
    <row r="2110" spans="5:5">
      <c r="E2110" s="96"/>
    </row>
    <row r="2111" spans="5:5">
      <c r="E2111" s="96"/>
    </row>
    <row r="2112" spans="5:5">
      <c r="E2112" s="96"/>
    </row>
    <row r="2113" spans="5:5">
      <c r="E2113" s="96"/>
    </row>
    <row r="2114" spans="5:5">
      <c r="E2114" s="96"/>
    </row>
    <row r="2115" spans="5:5">
      <c r="E2115" s="96"/>
    </row>
    <row r="2116" spans="5:5">
      <c r="E2116" s="96"/>
    </row>
    <row r="2117" spans="5:5">
      <c r="E2117" s="96"/>
    </row>
    <row r="2118" spans="5:5">
      <c r="E2118" s="96"/>
    </row>
    <row r="2119" spans="5:5">
      <c r="E2119" s="96"/>
    </row>
    <row r="2120" spans="5:5">
      <c r="E2120" s="96"/>
    </row>
    <row r="2121" spans="5:5">
      <c r="E2121" s="96"/>
    </row>
    <row r="2122" spans="5:5">
      <c r="E2122" s="96"/>
    </row>
    <row r="2123" spans="5:5">
      <c r="E2123" s="96"/>
    </row>
    <row r="2124" spans="5:5">
      <c r="E2124" s="96"/>
    </row>
    <row r="2125" spans="5:5">
      <c r="E2125" s="96"/>
    </row>
    <row r="2126" spans="5:5">
      <c r="E2126" s="96"/>
    </row>
    <row r="2127" spans="5:5">
      <c r="E2127" s="96"/>
    </row>
    <row r="2128" spans="5:5">
      <c r="E2128" s="96"/>
    </row>
    <row r="2129" spans="5:5">
      <c r="E2129" s="96"/>
    </row>
    <row r="2130" spans="5:5">
      <c r="E2130" s="96"/>
    </row>
    <row r="2131" spans="5:5">
      <c r="E2131" s="96"/>
    </row>
    <row r="2132" spans="5:5">
      <c r="E2132" s="96"/>
    </row>
    <row r="2133" spans="5:5">
      <c r="E2133" s="96"/>
    </row>
    <row r="2134" spans="5:5">
      <c r="E2134" s="96"/>
    </row>
    <row r="2135" spans="5:5">
      <c r="E2135" s="96"/>
    </row>
    <row r="2136" spans="5:5">
      <c r="E2136" s="96"/>
    </row>
    <row r="2137" spans="5:5">
      <c r="E2137" s="96"/>
    </row>
    <row r="2138" spans="5:5">
      <c r="E2138" s="96"/>
    </row>
    <row r="2139" spans="5:5">
      <c r="E2139" s="96"/>
    </row>
    <row r="2140" spans="5:5">
      <c r="E2140" s="96"/>
    </row>
    <row r="2141" spans="5:5">
      <c r="E2141" s="96"/>
    </row>
    <row r="2142" spans="5:5">
      <c r="E2142" s="96"/>
    </row>
    <row r="2143" spans="5:5">
      <c r="E2143" s="96"/>
    </row>
    <row r="2144" spans="5:5">
      <c r="E2144" s="96"/>
    </row>
    <row r="2145" spans="5:5">
      <c r="E2145" s="96"/>
    </row>
    <row r="2146" spans="5:5">
      <c r="E2146" s="96"/>
    </row>
    <row r="2147" spans="5:5">
      <c r="E2147" s="96"/>
    </row>
    <row r="2148" spans="5:5">
      <c r="E2148" s="96"/>
    </row>
    <row r="2149" spans="5:5">
      <c r="E2149" s="96"/>
    </row>
    <row r="2150" spans="5:5">
      <c r="E2150" s="96"/>
    </row>
    <row r="2151" spans="5:5">
      <c r="E2151" s="96"/>
    </row>
    <row r="2152" spans="5:5">
      <c r="E2152" s="96"/>
    </row>
    <row r="2153" spans="5:5">
      <c r="E2153" s="96"/>
    </row>
    <row r="2154" spans="5:5">
      <c r="E2154" s="96"/>
    </row>
    <row r="2155" spans="5:5">
      <c r="E2155" s="96"/>
    </row>
    <row r="2156" spans="5:5">
      <c r="E2156" s="96"/>
    </row>
    <row r="2157" spans="5:5">
      <c r="E2157" s="96"/>
    </row>
    <row r="2158" spans="5:5">
      <c r="E2158" s="96"/>
    </row>
    <row r="2159" spans="5:5">
      <c r="E2159" s="96"/>
    </row>
    <row r="2160" spans="5:5">
      <c r="E2160" s="96"/>
    </row>
    <row r="2161" spans="5:5">
      <c r="E2161" s="96"/>
    </row>
    <row r="2162" spans="5:5">
      <c r="E2162" s="96"/>
    </row>
    <row r="2163" spans="5:5">
      <c r="E2163" s="96"/>
    </row>
    <row r="2164" spans="5:5">
      <c r="E2164" s="96"/>
    </row>
    <row r="2165" spans="5:5">
      <c r="E2165" s="96"/>
    </row>
    <row r="2166" spans="5:5">
      <c r="E2166" s="96"/>
    </row>
    <row r="2167" spans="5:5">
      <c r="E2167" s="96"/>
    </row>
    <row r="2168" spans="5:5">
      <c r="E2168" s="96"/>
    </row>
    <row r="2169" spans="5:5">
      <c r="E2169" s="96"/>
    </row>
    <row r="2170" spans="5:5">
      <c r="E2170" s="96"/>
    </row>
    <row r="2171" spans="5:5">
      <c r="E2171" s="96"/>
    </row>
    <row r="2172" spans="5:5">
      <c r="E2172" s="96"/>
    </row>
    <row r="2173" spans="5:5">
      <c r="E2173" s="96"/>
    </row>
    <row r="2174" spans="5:5">
      <c r="E2174" s="96"/>
    </row>
    <row r="2175" spans="5:5">
      <c r="E2175" s="96"/>
    </row>
    <row r="2176" spans="5:5">
      <c r="E2176" s="96"/>
    </row>
    <row r="2177" spans="5:5">
      <c r="E2177" s="96"/>
    </row>
    <row r="2178" spans="5:5">
      <c r="E2178" s="96"/>
    </row>
    <row r="2179" spans="5:5">
      <c r="E2179" s="96"/>
    </row>
    <row r="2180" spans="5:5">
      <c r="E2180" s="96"/>
    </row>
    <row r="2181" spans="5:5">
      <c r="E2181" s="96"/>
    </row>
    <row r="2182" spans="5:5">
      <c r="E2182" s="96"/>
    </row>
    <row r="2183" spans="5:5">
      <c r="E2183" s="96"/>
    </row>
    <row r="2184" spans="5:5">
      <c r="E2184" s="96"/>
    </row>
    <row r="2185" spans="5:5">
      <c r="E2185" s="96"/>
    </row>
    <row r="2186" spans="5:5">
      <c r="E2186" s="96"/>
    </row>
    <row r="2187" spans="5:5">
      <c r="E2187" s="96"/>
    </row>
    <row r="2188" spans="5:5">
      <c r="E2188" s="96"/>
    </row>
    <row r="2189" spans="5:5">
      <c r="E2189" s="96"/>
    </row>
    <row r="2190" spans="5:5">
      <c r="E2190" s="96"/>
    </row>
    <row r="2191" spans="5:5">
      <c r="E2191" s="96"/>
    </row>
    <row r="2192" spans="5:5">
      <c r="E2192" s="96"/>
    </row>
    <row r="2193" spans="5:5">
      <c r="E2193" s="96"/>
    </row>
    <row r="2194" spans="5:5">
      <c r="E2194" s="96"/>
    </row>
    <row r="2195" spans="5:5">
      <c r="E2195" s="96"/>
    </row>
    <row r="2196" spans="5:5">
      <c r="E2196" s="96"/>
    </row>
    <row r="2197" spans="5:5">
      <c r="E2197" s="96"/>
    </row>
    <row r="2198" spans="5:5">
      <c r="E2198" s="96"/>
    </row>
    <row r="2199" spans="5:5">
      <c r="E2199" s="96"/>
    </row>
    <row r="2200" spans="5:5">
      <c r="E2200" s="96"/>
    </row>
    <row r="2201" spans="5:5">
      <c r="E2201" s="96"/>
    </row>
    <row r="2202" spans="5:5">
      <c r="E2202" s="96"/>
    </row>
    <row r="2203" spans="5:5">
      <c r="E2203" s="96"/>
    </row>
    <row r="2204" spans="5:5">
      <c r="E2204" s="96"/>
    </row>
    <row r="2205" spans="5:5">
      <c r="E2205" s="96"/>
    </row>
    <row r="2206" spans="5:5">
      <c r="E2206" s="96"/>
    </row>
    <row r="2207" spans="5:5">
      <c r="E2207" s="96"/>
    </row>
    <row r="2208" spans="5:5">
      <c r="E2208" s="96"/>
    </row>
    <row r="2209" spans="5:5">
      <c r="E2209" s="96"/>
    </row>
    <row r="2210" spans="5:5">
      <c r="E2210" s="96"/>
    </row>
    <row r="2211" spans="5:5">
      <c r="E2211" s="96"/>
    </row>
    <row r="2212" spans="5:5">
      <c r="E2212" s="96"/>
    </row>
    <row r="2213" spans="5:5">
      <c r="E2213" s="96"/>
    </row>
    <row r="2214" spans="5:5">
      <c r="E2214" s="96"/>
    </row>
    <row r="2215" spans="5:5">
      <c r="E2215" s="96"/>
    </row>
    <row r="2216" spans="5:5">
      <c r="E2216" s="96"/>
    </row>
    <row r="2217" spans="5:5">
      <c r="E2217" s="96"/>
    </row>
    <row r="2218" spans="5:5">
      <c r="E2218" s="96"/>
    </row>
    <row r="2219" spans="5:5">
      <c r="E2219" s="96"/>
    </row>
    <row r="2220" spans="5:5">
      <c r="E2220" s="96"/>
    </row>
    <row r="2221" spans="5:5">
      <c r="E2221" s="96"/>
    </row>
    <row r="2222" spans="5:5">
      <c r="E2222" s="96"/>
    </row>
    <row r="2223" spans="5:5">
      <c r="E2223" s="96"/>
    </row>
    <row r="2224" spans="5:5">
      <c r="E2224" s="96"/>
    </row>
    <row r="2225" spans="5:5">
      <c r="E2225" s="96"/>
    </row>
    <row r="2226" spans="5:5">
      <c r="E2226" s="96"/>
    </row>
    <row r="2227" spans="5:5">
      <c r="E2227" s="96"/>
    </row>
    <row r="2228" spans="5:5">
      <c r="E2228" s="96"/>
    </row>
    <row r="2229" spans="5:5">
      <c r="E2229" s="96"/>
    </row>
    <row r="2230" spans="5:5">
      <c r="E2230" s="96"/>
    </row>
    <row r="2231" spans="5:5">
      <c r="E2231" s="96"/>
    </row>
    <row r="2232" spans="5:5">
      <c r="E2232" s="96"/>
    </row>
    <row r="2233" spans="5:5">
      <c r="E2233" s="96"/>
    </row>
    <row r="2234" spans="5:5">
      <c r="E2234" s="96"/>
    </row>
    <row r="2235" spans="5:5">
      <c r="E2235" s="96"/>
    </row>
    <row r="2236" spans="5:5">
      <c r="E2236" s="96"/>
    </row>
    <row r="2237" spans="5:5">
      <c r="E2237" s="96"/>
    </row>
    <row r="2238" spans="5:5">
      <c r="E2238" s="96"/>
    </row>
    <row r="2239" spans="5:5">
      <c r="E2239" s="96"/>
    </row>
    <row r="2240" spans="5:5">
      <c r="E2240" s="96"/>
    </row>
    <row r="2241" spans="5:5">
      <c r="E2241" s="96"/>
    </row>
    <row r="2242" spans="5:5">
      <c r="E2242" s="96"/>
    </row>
    <row r="2243" spans="5:5">
      <c r="E2243" s="96"/>
    </row>
    <row r="2244" spans="5:5">
      <c r="E2244" s="96"/>
    </row>
    <row r="2245" spans="5:5">
      <c r="E2245" s="96"/>
    </row>
    <row r="2246" spans="5:5">
      <c r="E2246" s="96"/>
    </row>
    <row r="2247" spans="5:5">
      <c r="E2247" s="96"/>
    </row>
    <row r="2248" spans="5:5">
      <c r="E2248" s="96"/>
    </row>
    <row r="2249" spans="5:5">
      <c r="E2249" s="96"/>
    </row>
    <row r="2250" spans="5:5">
      <c r="E2250" s="96"/>
    </row>
    <row r="2251" spans="5:5">
      <c r="E2251" s="96"/>
    </row>
    <row r="2252" spans="5:5">
      <c r="E2252" s="96"/>
    </row>
    <row r="2253" spans="5:5">
      <c r="E2253" s="96"/>
    </row>
    <row r="2254" spans="5:5">
      <c r="E2254" s="96"/>
    </row>
    <row r="2255" spans="5:5">
      <c r="E2255" s="96"/>
    </row>
    <row r="2256" spans="5:5">
      <c r="E2256" s="96"/>
    </row>
    <row r="2257" spans="5:5">
      <c r="E2257" s="96"/>
    </row>
    <row r="2258" spans="5:5">
      <c r="E2258" s="96"/>
    </row>
    <row r="2259" spans="5:5">
      <c r="E2259" s="96"/>
    </row>
    <row r="2260" spans="5:5">
      <c r="E2260" s="96"/>
    </row>
    <row r="2261" spans="5:5">
      <c r="E2261" s="96"/>
    </row>
    <row r="2262" spans="5:5">
      <c r="E2262" s="96"/>
    </row>
    <row r="2263" spans="5:5">
      <c r="E2263" s="96"/>
    </row>
    <row r="2264" spans="5:5">
      <c r="E2264" s="96"/>
    </row>
    <row r="2265" spans="5:5">
      <c r="E2265" s="96"/>
    </row>
    <row r="2266" spans="5:5">
      <c r="E2266" s="96"/>
    </row>
    <row r="2267" spans="5:5">
      <c r="E2267" s="96"/>
    </row>
    <row r="2268" spans="5:5">
      <c r="E2268" s="96"/>
    </row>
    <row r="2269" spans="5:5">
      <c r="E2269" s="96"/>
    </row>
    <row r="2270" spans="5:5">
      <c r="E2270" s="96"/>
    </row>
    <row r="2271" spans="5:5">
      <c r="E2271" s="96"/>
    </row>
    <row r="2272" spans="5:5">
      <c r="E2272" s="96"/>
    </row>
    <row r="2273" spans="5:5">
      <c r="E2273" s="96"/>
    </row>
    <row r="2274" spans="5:5">
      <c r="E2274" s="96"/>
    </row>
    <row r="2275" spans="5:5">
      <c r="E2275" s="96"/>
    </row>
    <row r="2276" spans="5:5">
      <c r="E2276" s="96"/>
    </row>
    <row r="2277" spans="5:5">
      <c r="E2277" s="96"/>
    </row>
    <row r="2278" spans="5:5">
      <c r="E2278" s="96"/>
    </row>
    <row r="2279" spans="5:5">
      <c r="E2279" s="96"/>
    </row>
    <row r="2280" spans="5:5">
      <c r="E2280" s="96"/>
    </row>
    <row r="2281" spans="5:5">
      <c r="E2281" s="96"/>
    </row>
    <row r="2282" spans="5:5">
      <c r="E2282" s="96"/>
    </row>
    <row r="2283" spans="5:5">
      <c r="E2283" s="96"/>
    </row>
    <row r="2284" spans="5:5">
      <c r="E2284" s="96"/>
    </row>
    <row r="2285" spans="5:5">
      <c r="E2285" s="96"/>
    </row>
    <row r="2286" spans="5:5">
      <c r="E2286" s="96"/>
    </row>
    <row r="2287" spans="5:5">
      <c r="E2287" s="96"/>
    </row>
    <row r="2288" spans="5:5">
      <c r="E2288" s="96"/>
    </row>
    <row r="2289" spans="5:5">
      <c r="E2289" s="96"/>
    </row>
    <row r="2290" spans="5:5">
      <c r="E2290" s="96"/>
    </row>
    <row r="2291" spans="5:5">
      <c r="E2291" s="96"/>
    </row>
    <row r="2292" spans="5:5">
      <c r="E2292" s="96"/>
    </row>
    <row r="2293" spans="5:5">
      <c r="E2293" s="96"/>
    </row>
    <row r="2294" spans="5:5">
      <c r="E2294" s="96"/>
    </row>
    <row r="2295" spans="5:5">
      <c r="E2295" s="96"/>
    </row>
    <row r="2296" spans="5:5">
      <c r="E2296" s="96"/>
    </row>
    <row r="2297" spans="5:5">
      <c r="E2297" s="96"/>
    </row>
    <row r="2298" spans="5:5">
      <c r="E2298" s="96"/>
    </row>
    <row r="2299" spans="5:5">
      <c r="E2299" s="96"/>
    </row>
    <row r="2300" spans="5:5">
      <c r="E2300" s="96"/>
    </row>
    <row r="2301" spans="5:5">
      <c r="E2301" s="96"/>
    </row>
    <row r="2302" spans="5:5">
      <c r="E2302" s="96"/>
    </row>
    <row r="2303" spans="5:5">
      <c r="E2303" s="96"/>
    </row>
    <row r="2304" spans="5:5">
      <c r="E2304" s="96"/>
    </row>
    <row r="2305" spans="5:5">
      <c r="E2305" s="96"/>
    </row>
    <row r="2306" spans="5:5">
      <c r="E2306" s="96"/>
    </row>
    <row r="2307" spans="5:5">
      <c r="E2307" s="96"/>
    </row>
    <row r="2308" spans="5:5">
      <c r="E2308" s="96"/>
    </row>
    <row r="2309" spans="5:5">
      <c r="E2309" s="96"/>
    </row>
    <row r="2310" spans="5:5">
      <c r="E2310" s="96"/>
    </row>
    <row r="2311" spans="5:5">
      <c r="E2311" s="96"/>
    </row>
    <row r="2312" spans="5:5">
      <c r="E2312" s="96"/>
    </row>
    <row r="2313" spans="5:5">
      <c r="E2313" s="96"/>
    </row>
    <row r="2314" spans="5:5">
      <c r="E2314" s="96"/>
    </row>
    <row r="2315" spans="5:5">
      <c r="E2315" s="96"/>
    </row>
    <row r="2316" spans="5:5">
      <c r="E2316" s="96"/>
    </row>
    <row r="2317" spans="5:5">
      <c r="E2317" s="96"/>
    </row>
    <row r="2318" spans="5:5">
      <c r="E2318" s="96"/>
    </row>
    <row r="2319" spans="5:5">
      <c r="E2319" s="96"/>
    </row>
    <row r="2320" spans="5:5">
      <c r="E2320" s="96"/>
    </row>
    <row r="2321" spans="5:5">
      <c r="E2321" s="96"/>
    </row>
    <row r="2322" spans="5:5">
      <c r="E2322" s="96"/>
    </row>
    <row r="2323" spans="5:5">
      <c r="E2323" s="96"/>
    </row>
    <row r="2324" spans="5:5">
      <c r="E2324" s="96"/>
    </row>
    <row r="2325" spans="5:5">
      <c r="E2325" s="96"/>
    </row>
    <row r="2326" spans="5:5">
      <c r="E2326" s="96"/>
    </row>
    <row r="2327" spans="5:5">
      <c r="E2327" s="96"/>
    </row>
    <row r="2328" spans="5:5">
      <c r="E2328" s="96"/>
    </row>
    <row r="2329" spans="5:5">
      <c r="E2329" s="96"/>
    </row>
    <row r="2330" spans="5:5">
      <c r="E2330" s="96"/>
    </row>
    <row r="2331" spans="5:5">
      <c r="E2331" s="96"/>
    </row>
    <row r="2332" spans="5:5">
      <c r="E2332" s="96"/>
    </row>
    <row r="2333" spans="5:5">
      <c r="E2333" s="96"/>
    </row>
    <row r="2334" spans="5:5">
      <c r="E2334" s="96"/>
    </row>
    <row r="2335" spans="5:5">
      <c r="E2335" s="96"/>
    </row>
    <row r="2336" spans="5:5">
      <c r="E2336" s="96"/>
    </row>
    <row r="2337" spans="5:5">
      <c r="E2337" s="96"/>
    </row>
    <row r="2338" spans="5:5">
      <c r="E2338" s="96"/>
    </row>
    <row r="2339" spans="5:5">
      <c r="E2339" s="96"/>
    </row>
    <row r="2340" spans="5:5">
      <c r="E2340" s="96"/>
    </row>
    <row r="2341" spans="5:5">
      <c r="E2341" s="96"/>
    </row>
    <row r="2342" spans="5:5">
      <c r="E2342" s="96"/>
    </row>
    <row r="2343" spans="5:5">
      <c r="E2343" s="96"/>
    </row>
    <row r="2344" spans="5:5">
      <c r="E2344" s="96"/>
    </row>
    <row r="2345" spans="5:5">
      <c r="E2345" s="96"/>
    </row>
    <row r="2346" spans="5:5">
      <c r="E2346" s="96"/>
    </row>
    <row r="2347" spans="5:5">
      <c r="E2347" s="96"/>
    </row>
    <row r="2348" spans="5:5">
      <c r="E2348" s="96"/>
    </row>
    <row r="2349" spans="5:5">
      <c r="E2349" s="96"/>
    </row>
    <row r="2350" spans="5:5">
      <c r="E2350" s="96"/>
    </row>
    <row r="2351" spans="5:5">
      <c r="E2351" s="96"/>
    </row>
    <row r="2352" spans="5:5">
      <c r="E2352" s="96"/>
    </row>
    <row r="2353" spans="5:5">
      <c r="E2353" s="96"/>
    </row>
    <row r="2354" spans="5:5">
      <c r="E2354" s="96"/>
    </row>
    <row r="2355" spans="5:5">
      <c r="E2355" s="96"/>
    </row>
    <row r="2356" spans="5:5">
      <c r="E2356" s="96"/>
    </row>
    <row r="2357" spans="5:5">
      <c r="E2357" s="96"/>
    </row>
    <row r="2358" spans="5:5">
      <c r="E2358" s="96"/>
    </row>
    <row r="2359" spans="5:5">
      <c r="E2359" s="96"/>
    </row>
    <row r="2360" spans="5:5">
      <c r="E2360" s="96"/>
    </row>
    <row r="2361" spans="5:5">
      <c r="E2361" s="96"/>
    </row>
    <row r="2362" spans="5:5">
      <c r="E2362" s="96"/>
    </row>
    <row r="2363" spans="5:5">
      <c r="E2363" s="96"/>
    </row>
    <row r="2364" spans="5:5">
      <c r="E2364" s="96"/>
    </row>
    <row r="2365" spans="5:5">
      <c r="E2365" s="96"/>
    </row>
    <row r="2366" spans="5:5">
      <c r="E2366" s="96"/>
    </row>
    <row r="2367" spans="5:5">
      <c r="E2367" s="96"/>
    </row>
    <row r="2368" spans="5:5">
      <c r="E2368" s="96"/>
    </row>
    <row r="2369" spans="5:5">
      <c r="E2369" s="96"/>
    </row>
    <row r="2370" spans="5:5">
      <c r="E2370" s="96"/>
    </row>
    <row r="2371" spans="5:5">
      <c r="E2371" s="96"/>
    </row>
    <row r="2372" spans="5:5">
      <c r="E2372" s="96"/>
    </row>
    <row r="2373" spans="5:5">
      <c r="E2373" s="96"/>
    </row>
    <row r="2374" spans="5:5">
      <c r="E2374" s="96"/>
    </row>
    <row r="2375" spans="5:5">
      <c r="E2375" s="96"/>
    </row>
    <row r="2376" spans="5:5">
      <c r="E2376" s="96"/>
    </row>
    <row r="2377" spans="5:5">
      <c r="E2377" s="96"/>
    </row>
    <row r="2378" spans="5:5">
      <c r="E2378" s="96"/>
    </row>
    <row r="2379" spans="5:5">
      <c r="E2379" s="96"/>
    </row>
    <row r="2380" spans="5:5">
      <c r="E2380" s="96"/>
    </row>
    <row r="2381" spans="5:5">
      <c r="E2381" s="96"/>
    </row>
    <row r="2382" spans="5:5">
      <c r="E2382" s="96"/>
    </row>
    <row r="2383" spans="5:5">
      <c r="E2383" s="96"/>
    </row>
    <row r="2384" spans="5:5">
      <c r="E2384" s="96"/>
    </row>
    <row r="2385" spans="5:5">
      <c r="E2385" s="96"/>
    </row>
    <row r="2386" spans="5:5">
      <c r="E2386" s="96"/>
    </row>
    <row r="2387" spans="5:5">
      <c r="E2387" s="96"/>
    </row>
    <row r="2388" spans="5:5">
      <c r="E2388" s="96"/>
    </row>
    <row r="2389" spans="5:5">
      <c r="E2389" s="96"/>
    </row>
    <row r="2390" spans="5:5">
      <c r="E2390" s="96"/>
    </row>
    <row r="2391" spans="5:5">
      <c r="E2391" s="96"/>
    </row>
    <row r="2392" spans="5:5">
      <c r="E2392" s="96"/>
    </row>
    <row r="2393" spans="5:5">
      <c r="E2393" s="96"/>
    </row>
    <row r="2394" spans="5:5">
      <c r="E2394" s="96"/>
    </row>
    <row r="2395" spans="5:5">
      <c r="E2395" s="96"/>
    </row>
    <row r="2396" spans="5:5">
      <c r="E2396" s="96"/>
    </row>
    <row r="2397" spans="5:5">
      <c r="E2397" s="96"/>
    </row>
    <row r="2398" spans="5:5">
      <c r="E2398" s="96"/>
    </row>
    <row r="2399" spans="5:5">
      <c r="E2399" s="96"/>
    </row>
    <row r="2400" spans="5:5">
      <c r="E2400" s="96"/>
    </row>
    <row r="2401" spans="5:5">
      <c r="E2401" s="96"/>
    </row>
    <row r="2402" spans="5:5">
      <c r="E2402" s="96"/>
    </row>
    <row r="2403" spans="5:5">
      <c r="E2403" s="96"/>
    </row>
    <row r="2404" spans="5:5">
      <c r="E2404" s="96"/>
    </row>
    <row r="2405" spans="5:5">
      <c r="E2405" s="96"/>
    </row>
    <row r="2406" spans="5:5">
      <c r="E2406" s="96"/>
    </row>
    <row r="2407" spans="5:5">
      <c r="E2407" s="96"/>
    </row>
    <row r="2408" spans="5:5">
      <c r="E2408" s="96"/>
    </row>
    <row r="2409" spans="5:5">
      <c r="E2409" s="96"/>
    </row>
    <row r="2410" spans="5:5">
      <c r="E2410" s="96"/>
    </row>
    <row r="2411" spans="5:5">
      <c r="E2411" s="96"/>
    </row>
    <row r="2412" spans="5:5">
      <c r="E2412" s="96"/>
    </row>
    <row r="2413" spans="5:5">
      <c r="E2413" s="96"/>
    </row>
    <row r="2414" spans="5:5">
      <c r="E2414" s="96"/>
    </row>
    <row r="2415" spans="5:5">
      <c r="E2415" s="96"/>
    </row>
    <row r="2416" spans="5:5">
      <c r="E2416" s="96"/>
    </row>
    <row r="2417" spans="5:5">
      <c r="E2417" s="96"/>
    </row>
    <row r="2418" spans="5:5">
      <c r="E2418" s="96"/>
    </row>
    <row r="2419" spans="5:5">
      <c r="E2419" s="96"/>
    </row>
    <row r="2420" spans="5:5">
      <c r="E2420" s="96"/>
    </row>
    <row r="2421" spans="5:5">
      <c r="E2421" s="96"/>
    </row>
    <row r="2422" spans="5:5">
      <c r="E2422" s="96"/>
    </row>
    <row r="2423" spans="5:5">
      <c r="E2423" s="96"/>
    </row>
    <row r="2424" spans="5:5">
      <c r="E2424" s="96"/>
    </row>
    <row r="2425" spans="5:5">
      <c r="E2425" s="96"/>
    </row>
    <row r="2426" spans="5:5">
      <c r="E2426" s="96"/>
    </row>
    <row r="2427" spans="5:5">
      <c r="E2427" s="96"/>
    </row>
    <row r="2428" spans="5:5">
      <c r="E2428" s="96"/>
    </row>
    <row r="2429" spans="5:5">
      <c r="E2429" s="96"/>
    </row>
    <row r="2430" spans="5:5">
      <c r="E2430" s="96"/>
    </row>
    <row r="2431" spans="5:5">
      <c r="E2431" s="96"/>
    </row>
    <row r="2432" spans="5:5">
      <c r="E2432" s="96"/>
    </row>
    <row r="2433" spans="5:5">
      <c r="E2433" s="96"/>
    </row>
    <row r="2434" spans="5:5">
      <c r="E2434" s="96"/>
    </row>
    <row r="2435" spans="5:5">
      <c r="E2435" s="96"/>
    </row>
    <row r="2436" spans="5:5">
      <c r="E2436" s="96"/>
    </row>
    <row r="2437" spans="5:5">
      <c r="E2437" s="96"/>
    </row>
    <row r="2438" spans="5:5">
      <c r="E2438" s="96"/>
    </row>
    <row r="2439" spans="5:5">
      <c r="E2439" s="96"/>
    </row>
    <row r="2440" spans="5:5">
      <c r="E2440" s="96"/>
    </row>
    <row r="2441" spans="5:5">
      <c r="E2441" s="96"/>
    </row>
    <row r="2442" spans="5:5">
      <c r="E2442" s="96"/>
    </row>
    <row r="2443" spans="5:5">
      <c r="E2443" s="96"/>
    </row>
    <row r="2444" spans="5:5">
      <c r="E2444" s="96"/>
    </row>
    <row r="2445" spans="5:5">
      <c r="E2445" s="96"/>
    </row>
    <row r="2446" spans="5:5">
      <c r="E2446" s="96"/>
    </row>
    <row r="2447" spans="5:5">
      <c r="E2447" s="96"/>
    </row>
    <row r="2448" spans="5:5">
      <c r="E2448" s="96"/>
    </row>
    <row r="2449" spans="5:5">
      <c r="E2449" s="96"/>
    </row>
    <row r="2450" spans="5:5">
      <c r="E2450" s="96"/>
    </row>
    <row r="2451" spans="5:5">
      <c r="E2451" s="96"/>
    </row>
    <row r="2452" spans="5:5">
      <c r="E2452" s="96"/>
    </row>
    <row r="2453" spans="5:5">
      <c r="E2453" s="96"/>
    </row>
    <row r="2454" spans="5:5">
      <c r="E2454" s="96"/>
    </row>
    <row r="2455" spans="5:5">
      <c r="E2455" s="96"/>
    </row>
    <row r="2456" spans="5:5">
      <c r="E2456" s="96"/>
    </row>
    <row r="2457" spans="5:5">
      <c r="E2457" s="96"/>
    </row>
    <row r="2458" spans="5:5">
      <c r="E2458" s="96"/>
    </row>
    <row r="2459" spans="5:5">
      <c r="E2459" s="96"/>
    </row>
    <row r="2460" spans="5:5">
      <c r="E2460" s="96"/>
    </row>
    <row r="2461" spans="5:5">
      <c r="E2461" s="96"/>
    </row>
    <row r="2462" spans="5:5">
      <c r="E2462" s="96"/>
    </row>
    <row r="2463" spans="5:5">
      <c r="E2463" s="96"/>
    </row>
    <row r="2464" spans="5:5">
      <c r="E2464" s="96"/>
    </row>
    <row r="2465" spans="5:5">
      <c r="E2465" s="96"/>
    </row>
    <row r="2466" spans="5:5">
      <c r="E2466" s="96"/>
    </row>
    <row r="2467" spans="5:5">
      <c r="E2467" s="96"/>
    </row>
    <row r="2468" spans="5:5">
      <c r="E2468" s="96"/>
    </row>
    <row r="2469" spans="5:5">
      <c r="E2469" s="96"/>
    </row>
    <row r="2470" spans="5:5">
      <c r="E2470" s="96"/>
    </row>
    <row r="2471" spans="5:5">
      <c r="E2471" s="96"/>
    </row>
    <row r="2472" spans="5:5">
      <c r="E2472" s="96"/>
    </row>
    <row r="2473" spans="5:5">
      <c r="E2473" s="96"/>
    </row>
    <row r="2474" spans="5:5">
      <c r="E2474" s="96"/>
    </row>
    <row r="2475" spans="5:5">
      <c r="E2475" s="96"/>
    </row>
    <row r="2476" spans="5:5">
      <c r="E2476" s="96"/>
    </row>
    <row r="2477" spans="5:5">
      <c r="E2477" s="96"/>
    </row>
    <row r="2478" spans="5:5">
      <c r="E2478" s="96"/>
    </row>
    <row r="2479" spans="5:5">
      <c r="E2479" s="96"/>
    </row>
    <row r="2480" spans="5:5">
      <c r="E2480" s="96"/>
    </row>
    <row r="2481" spans="5:5">
      <c r="E2481" s="96"/>
    </row>
    <row r="2482" spans="5:5">
      <c r="E2482" s="96"/>
    </row>
    <row r="2483" spans="5:5">
      <c r="E2483" s="96"/>
    </row>
    <row r="2484" spans="5:5">
      <c r="E2484" s="96"/>
    </row>
    <row r="2485" spans="5:5">
      <c r="E2485" s="96"/>
    </row>
    <row r="2486" spans="5:5">
      <c r="E2486" s="96"/>
    </row>
    <row r="2487" spans="5:5">
      <c r="E2487" s="96"/>
    </row>
    <row r="2488" spans="5:5">
      <c r="E2488" s="96"/>
    </row>
    <row r="2489" spans="5:5">
      <c r="E2489" s="96"/>
    </row>
    <row r="2490" spans="5:5">
      <c r="E2490" s="96"/>
    </row>
    <row r="2491" spans="5:5">
      <c r="E2491" s="96"/>
    </row>
    <row r="2492" spans="5:5">
      <c r="E2492" s="96"/>
    </row>
    <row r="2493" spans="5:5">
      <c r="E2493" s="96"/>
    </row>
    <row r="2494" spans="5:5">
      <c r="E2494" s="96"/>
    </row>
    <row r="2495" spans="5:5">
      <c r="E2495" s="96"/>
    </row>
    <row r="2496" spans="5:5">
      <c r="E2496" s="96"/>
    </row>
    <row r="2497" spans="5:5">
      <c r="E2497" s="96"/>
    </row>
    <row r="2498" spans="5:5">
      <c r="E2498" s="96"/>
    </row>
    <row r="2499" spans="5:5">
      <c r="E2499" s="96"/>
    </row>
    <row r="2500" spans="5:5">
      <c r="E2500" s="96"/>
    </row>
    <row r="2501" spans="5:5">
      <c r="E2501" s="96"/>
    </row>
    <row r="2502" spans="5:5">
      <c r="E2502" s="96"/>
    </row>
    <row r="2503" spans="5:5">
      <c r="E2503" s="96"/>
    </row>
    <row r="2504" spans="5:5">
      <c r="E2504" s="96"/>
    </row>
    <row r="2505" spans="5:5">
      <c r="E2505" s="96"/>
    </row>
    <row r="2506" spans="5:5">
      <c r="E2506" s="96"/>
    </row>
    <row r="2507" spans="5:5">
      <c r="E2507" s="96"/>
    </row>
    <row r="2508" spans="5:5">
      <c r="E2508" s="96"/>
    </row>
    <row r="2509" spans="5:5">
      <c r="E2509" s="96"/>
    </row>
    <row r="2510" spans="5:5">
      <c r="E2510" s="96"/>
    </row>
    <row r="2511" spans="5:5">
      <c r="E2511" s="96"/>
    </row>
    <row r="2512" spans="5:5">
      <c r="E2512" s="96"/>
    </row>
    <row r="2513" spans="5:5">
      <c r="E2513" s="96"/>
    </row>
    <row r="2514" spans="5:5">
      <c r="E2514" s="96"/>
    </row>
    <row r="2515" spans="5:5">
      <c r="E2515" s="96"/>
    </row>
    <row r="2516" spans="5:5">
      <c r="E2516" s="96"/>
    </row>
    <row r="2517" spans="5:5">
      <c r="E2517" s="96"/>
    </row>
    <row r="2518" spans="5:5">
      <c r="E2518" s="96"/>
    </row>
    <row r="2519" spans="5:5">
      <c r="E2519" s="96"/>
    </row>
    <row r="2520" spans="5:5">
      <c r="E2520" s="96"/>
    </row>
    <row r="2521" spans="5:5">
      <c r="E2521" s="96"/>
    </row>
    <row r="2522" spans="5:5">
      <c r="E2522" s="96"/>
    </row>
    <row r="2523" spans="5:5">
      <c r="E2523" s="96"/>
    </row>
    <row r="2524" spans="5:5">
      <c r="E2524" s="96"/>
    </row>
    <row r="2525" spans="5:5">
      <c r="E2525" s="96"/>
    </row>
    <row r="2526" spans="5:5">
      <c r="E2526" s="96"/>
    </row>
    <row r="2527" spans="5:5">
      <c r="E2527" s="96"/>
    </row>
    <row r="2528" spans="5:5">
      <c r="E2528" s="96"/>
    </row>
    <row r="2529" spans="5:5">
      <c r="E2529" s="96"/>
    </row>
    <row r="2530" spans="5:5">
      <c r="E2530" s="96"/>
    </row>
    <row r="2531" spans="5:5">
      <c r="E2531" s="96"/>
    </row>
    <row r="2532" spans="5:5">
      <c r="E2532" s="96"/>
    </row>
    <row r="2533" spans="5:5">
      <c r="E2533" s="96"/>
    </row>
    <row r="2534" spans="5:5">
      <c r="E2534" s="96"/>
    </row>
    <row r="2535" spans="5:5">
      <c r="E2535" s="96"/>
    </row>
    <row r="2536" spans="5:5">
      <c r="E2536" s="96"/>
    </row>
    <row r="2537" spans="5:5">
      <c r="E2537" s="96"/>
    </row>
    <row r="2538" spans="5:5">
      <c r="E2538" s="96"/>
    </row>
    <row r="2539" spans="5:5">
      <c r="E2539" s="96"/>
    </row>
    <row r="2540" spans="5:5">
      <c r="E2540" s="96"/>
    </row>
    <row r="2541" spans="5:5">
      <c r="E2541" s="96"/>
    </row>
    <row r="2542" spans="5:5">
      <c r="E2542" s="96"/>
    </row>
    <row r="2543" spans="5:5">
      <c r="E2543" s="96"/>
    </row>
    <row r="2544" spans="5:5">
      <c r="E2544" s="96"/>
    </row>
    <row r="2545" spans="5:5">
      <c r="E2545" s="96"/>
    </row>
    <row r="2546" spans="5:5">
      <c r="E2546" s="96"/>
    </row>
    <row r="2547" spans="5:5">
      <c r="E2547" s="96"/>
    </row>
    <row r="2548" spans="5:5">
      <c r="E2548" s="96"/>
    </row>
    <row r="2549" spans="5:5">
      <c r="E2549" s="96"/>
    </row>
    <row r="2550" spans="5:5">
      <c r="E2550" s="96"/>
    </row>
    <row r="2551" spans="5:5">
      <c r="E2551" s="96"/>
    </row>
    <row r="2552" spans="5:5">
      <c r="E2552" s="96"/>
    </row>
    <row r="2553" spans="5:5">
      <c r="E2553" s="96"/>
    </row>
    <row r="2554" spans="5:5">
      <c r="E2554" s="96"/>
    </row>
    <row r="2555" spans="5:5">
      <c r="E2555" s="96"/>
    </row>
    <row r="2556" spans="5:5">
      <c r="E2556" s="96"/>
    </row>
    <row r="2557" spans="5:5">
      <c r="E2557" s="96"/>
    </row>
    <row r="2558" spans="5:5">
      <c r="E2558" s="96"/>
    </row>
    <row r="2559" spans="5:5">
      <c r="E2559" s="96"/>
    </row>
    <row r="2560" spans="5:5">
      <c r="E2560" s="96"/>
    </row>
    <row r="2561" spans="5:5">
      <c r="E2561" s="96"/>
    </row>
    <row r="2562" spans="5:5">
      <c r="E2562" s="96"/>
    </row>
    <row r="2563" spans="5:5">
      <c r="E2563" s="96"/>
    </row>
    <row r="2564" spans="5:5">
      <c r="E2564" s="96"/>
    </row>
    <row r="2565" spans="5:5">
      <c r="E2565" s="96"/>
    </row>
    <row r="2566" spans="5:5">
      <c r="E2566" s="96"/>
    </row>
    <row r="2567" spans="5:5">
      <c r="E2567" s="96"/>
    </row>
    <row r="2568" spans="5:5">
      <c r="E2568" s="96"/>
    </row>
    <row r="2569" spans="5:5">
      <c r="E2569" s="96"/>
    </row>
    <row r="2570" spans="5:5">
      <c r="E2570" s="96"/>
    </row>
    <row r="2571" spans="5:5">
      <c r="E2571" s="96"/>
    </row>
    <row r="2572" spans="5:5">
      <c r="E2572" s="96"/>
    </row>
    <row r="2573" spans="5:5">
      <c r="E2573" s="96"/>
    </row>
    <row r="2574" spans="5:5">
      <c r="E2574" s="96"/>
    </row>
    <row r="2575" spans="5:5">
      <c r="E2575" s="96"/>
    </row>
    <row r="2576" spans="5:5">
      <c r="E2576" s="96"/>
    </row>
    <row r="2577" spans="5:5">
      <c r="E2577" s="96"/>
    </row>
    <row r="2578" spans="5:5">
      <c r="E2578" s="96"/>
    </row>
    <row r="2579" spans="5:5">
      <c r="E2579" s="96"/>
    </row>
    <row r="2580" spans="5:5">
      <c r="E2580" s="96"/>
    </row>
    <row r="2581" spans="5:5">
      <c r="E2581" s="96"/>
    </row>
    <row r="2582" spans="5:5">
      <c r="E2582" s="96"/>
    </row>
    <row r="2583" spans="5:5">
      <c r="E2583" s="96"/>
    </row>
    <row r="2584" spans="5:5">
      <c r="E2584" s="96"/>
    </row>
    <row r="2585" spans="5:5">
      <c r="E2585" s="96"/>
    </row>
    <row r="2586" spans="5:5">
      <c r="E2586" s="96"/>
    </row>
    <row r="2587" spans="5:5">
      <c r="E2587" s="96"/>
    </row>
    <row r="2588" spans="5:5">
      <c r="E2588" s="96"/>
    </row>
    <row r="2589" spans="5:5">
      <c r="E2589" s="96"/>
    </row>
    <row r="2590" spans="5:5">
      <c r="E2590" s="96"/>
    </row>
    <row r="2591" spans="5:5">
      <c r="E2591" s="96"/>
    </row>
    <row r="2592" spans="5:5">
      <c r="E2592" s="96"/>
    </row>
    <row r="2593" spans="5:5">
      <c r="E2593" s="96"/>
    </row>
    <row r="2594" spans="5:5">
      <c r="E2594" s="96"/>
    </row>
    <row r="2595" spans="5:5">
      <c r="E2595" s="96"/>
    </row>
    <row r="2596" spans="5:5">
      <c r="E2596" s="96"/>
    </row>
    <row r="2597" spans="5:5">
      <c r="E2597" s="96"/>
    </row>
    <row r="2598" spans="5:5">
      <c r="E2598" s="96"/>
    </row>
    <row r="2599" spans="5:5">
      <c r="E2599" s="96"/>
    </row>
    <row r="2600" spans="5:5">
      <c r="E2600" s="96"/>
    </row>
    <row r="2601" spans="5:5">
      <c r="E2601" s="96"/>
    </row>
    <row r="2602" spans="5:5">
      <c r="E2602" s="96"/>
    </row>
    <row r="2603" spans="5:5">
      <c r="E2603" s="96"/>
    </row>
    <row r="2604" spans="5:5">
      <c r="E2604" s="96"/>
    </row>
    <row r="2605" spans="5:5">
      <c r="E2605" s="96"/>
    </row>
    <row r="2606" spans="5:5">
      <c r="E2606" s="96"/>
    </row>
    <row r="2607" spans="5:5">
      <c r="E2607" s="96"/>
    </row>
    <row r="2608" spans="5:5">
      <c r="E2608" s="96"/>
    </row>
    <row r="2609" spans="5:5">
      <c r="E2609" s="96"/>
    </row>
    <row r="2610" spans="5:5">
      <c r="E2610" s="96"/>
    </row>
    <row r="2611" spans="5:5">
      <c r="E2611" s="96"/>
    </row>
    <row r="2612" spans="5:5">
      <c r="E2612" s="96"/>
    </row>
    <row r="2613" spans="5:5">
      <c r="E2613" s="96"/>
    </row>
    <row r="2614" spans="5:5">
      <c r="E2614" s="96"/>
    </row>
    <row r="2615" spans="5:5">
      <c r="E2615" s="96"/>
    </row>
    <row r="2616" spans="5:5">
      <c r="E2616" s="96"/>
    </row>
    <row r="2617" spans="5:5">
      <c r="E2617" s="96"/>
    </row>
    <row r="2618" spans="5:5">
      <c r="E2618" s="96"/>
    </row>
    <row r="2619" spans="5:5">
      <c r="E2619" s="96"/>
    </row>
    <row r="2620" spans="5:5">
      <c r="E2620" s="96"/>
    </row>
    <row r="2621" spans="5:5">
      <c r="E2621" s="96"/>
    </row>
    <row r="2622" spans="5:5">
      <c r="E2622" s="96"/>
    </row>
    <row r="2623" spans="5:5">
      <c r="E2623" s="96"/>
    </row>
    <row r="2624" spans="5:5">
      <c r="E2624" s="96"/>
    </row>
    <row r="2625" spans="5:5">
      <c r="E2625" s="96"/>
    </row>
    <row r="2626" spans="5:5">
      <c r="E2626" s="96"/>
    </row>
    <row r="2627" spans="5:5">
      <c r="E2627" s="96"/>
    </row>
    <row r="2628" spans="5:5">
      <c r="E2628" s="96"/>
    </row>
    <row r="2629" spans="5:5">
      <c r="E2629" s="96"/>
    </row>
    <row r="2630" spans="5:5">
      <c r="E2630" s="96"/>
    </row>
    <row r="2631" spans="5:5">
      <c r="E2631" s="96"/>
    </row>
    <row r="2632" spans="5:5">
      <c r="E2632" s="96"/>
    </row>
    <row r="2633" spans="5:5">
      <c r="E2633" s="96"/>
    </row>
    <row r="2634" spans="5:5">
      <c r="E2634" s="96"/>
    </row>
    <row r="2635" spans="5:5">
      <c r="E2635" s="96"/>
    </row>
    <row r="2636" spans="5:5">
      <c r="E2636" s="96"/>
    </row>
    <row r="2637" spans="5:5">
      <c r="E2637" s="96"/>
    </row>
    <row r="2638" spans="5:5">
      <c r="E2638" s="96"/>
    </row>
    <row r="2639" spans="5:5">
      <c r="E2639" s="96"/>
    </row>
    <row r="2640" spans="5:5">
      <c r="E2640" s="96"/>
    </row>
    <row r="2641" spans="5:5">
      <c r="E2641" s="96"/>
    </row>
    <row r="2642" spans="5:5">
      <c r="E2642" s="96"/>
    </row>
    <row r="2643" spans="5:5">
      <c r="E2643" s="96"/>
    </row>
    <row r="2644" spans="5:5">
      <c r="E2644" s="96"/>
    </row>
    <row r="2645" spans="5:5">
      <c r="E2645" s="96"/>
    </row>
    <row r="2646" spans="5:5">
      <c r="E2646" s="96"/>
    </row>
    <row r="2647" spans="5:5">
      <c r="E2647" s="96"/>
    </row>
    <row r="2648" spans="5:5">
      <c r="E2648" s="96"/>
    </row>
    <row r="2649" spans="5:5">
      <c r="E2649" s="96"/>
    </row>
    <row r="2650" spans="5:5">
      <c r="E2650" s="96"/>
    </row>
    <row r="2651" spans="5:5">
      <c r="E2651" s="96"/>
    </row>
    <row r="2652" spans="5:5">
      <c r="E2652" s="96"/>
    </row>
    <row r="2653" spans="5:5">
      <c r="E2653" s="96"/>
    </row>
    <row r="2654" spans="5:5">
      <c r="E2654" s="96"/>
    </row>
    <row r="2655" spans="5:5">
      <c r="E2655" s="96"/>
    </row>
    <row r="2656" spans="5:5">
      <c r="E2656" s="96"/>
    </row>
    <row r="2657" spans="5:5">
      <c r="E2657" s="96"/>
    </row>
    <row r="2658" spans="5:5">
      <c r="E2658" s="96"/>
    </row>
    <row r="2659" spans="5:5">
      <c r="E2659" s="96"/>
    </row>
    <row r="2660" spans="5:5">
      <c r="E2660" s="96"/>
    </row>
    <row r="2661" spans="5:5">
      <c r="E2661" s="96"/>
    </row>
    <row r="2662" spans="5:5">
      <c r="E2662" s="96"/>
    </row>
    <row r="2663" spans="5:5">
      <c r="E2663" s="96"/>
    </row>
    <row r="2664" spans="5:5">
      <c r="E2664" s="96"/>
    </row>
    <row r="2665" spans="5:5">
      <c r="E2665" s="96"/>
    </row>
    <row r="2666" spans="5:5">
      <c r="E2666" s="96"/>
    </row>
    <row r="2667" spans="5:5">
      <c r="E2667" s="96"/>
    </row>
    <row r="2668" spans="5:5">
      <c r="E2668" s="96"/>
    </row>
    <row r="2669" spans="5:5">
      <c r="E2669" s="96"/>
    </row>
    <row r="2670" spans="5:5">
      <c r="E2670" s="96"/>
    </row>
    <row r="2671" spans="5:5">
      <c r="E2671" s="96"/>
    </row>
    <row r="2672" spans="5:5">
      <c r="E2672" s="96"/>
    </row>
    <row r="2673" spans="5:5">
      <c r="E2673" s="96"/>
    </row>
    <row r="2674" spans="5:5">
      <c r="E2674" s="96"/>
    </row>
    <row r="2675" spans="5:5">
      <c r="E2675" s="96"/>
    </row>
    <row r="2676" spans="5:5">
      <c r="E2676" s="96"/>
    </row>
    <row r="2677" spans="5:5">
      <c r="E2677" s="96"/>
    </row>
    <row r="2678" spans="5:5">
      <c r="E2678" s="96"/>
    </row>
    <row r="2679" spans="5:5">
      <c r="E2679" s="96"/>
    </row>
    <row r="2680" spans="5:5">
      <c r="E2680" s="96"/>
    </row>
    <row r="2681" spans="5:5">
      <c r="E2681" s="96"/>
    </row>
    <row r="2682" spans="5:5">
      <c r="E2682" s="96"/>
    </row>
    <row r="2683" spans="5:5">
      <c r="E2683" s="96"/>
    </row>
    <row r="2684" spans="5:5">
      <c r="E2684" s="96"/>
    </row>
    <row r="2685" spans="5:5">
      <c r="E2685" s="96"/>
    </row>
    <row r="2686" spans="5:5">
      <c r="E2686" s="96"/>
    </row>
    <row r="2687" spans="5:5">
      <c r="E2687" s="96"/>
    </row>
    <row r="2688" spans="5:5">
      <c r="E2688" s="96"/>
    </row>
    <row r="2689" spans="5:5">
      <c r="E2689" s="96"/>
    </row>
    <row r="2690" spans="5:5">
      <c r="E2690" s="96"/>
    </row>
    <row r="2691" spans="5:5">
      <c r="E2691" s="96"/>
    </row>
    <row r="2692" spans="5:5">
      <c r="E2692" s="96"/>
    </row>
    <row r="2693" spans="5:5">
      <c r="E2693" s="96"/>
    </row>
    <row r="2694" spans="5:5">
      <c r="E2694" s="96"/>
    </row>
    <row r="2695" spans="5:5">
      <c r="E2695" s="96"/>
    </row>
    <row r="2696" spans="5:5">
      <c r="E2696" s="96"/>
    </row>
    <row r="2697" spans="5:5">
      <c r="E2697" s="96"/>
    </row>
    <row r="2698" spans="5:5">
      <c r="E2698" s="96"/>
    </row>
    <row r="2699" spans="5:5">
      <c r="E2699" s="96"/>
    </row>
    <row r="2700" spans="5:5">
      <c r="E2700" s="96"/>
    </row>
    <row r="2701" spans="5:5">
      <c r="E2701" s="96"/>
    </row>
    <row r="2702" spans="5:5">
      <c r="E2702" s="96"/>
    </row>
    <row r="2703" spans="5:5">
      <c r="E2703" s="96"/>
    </row>
    <row r="2704" spans="5:5">
      <c r="E2704" s="96"/>
    </row>
    <row r="2705" spans="5:5">
      <c r="E2705" s="96"/>
    </row>
    <row r="2706" spans="5:5">
      <c r="E2706" s="96"/>
    </row>
    <row r="2707" spans="5:5">
      <c r="E2707" s="96"/>
    </row>
    <row r="2708" spans="5:5">
      <c r="E2708" s="96"/>
    </row>
    <row r="2709" spans="5:5">
      <c r="E2709" s="96"/>
    </row>
    <row r="2710" spans="5:5">
      <c r="E2710" s="96"/>
    </row>
    <row r="2711" spans="5:5">
      <c r="E2711" s="96"/>
    </row>
    <row r="2712" spans="5:5">
      <c r="E2712" s="96"/>
    </row>
    <row r="2713" spans="5:5">
      <c r="E2713" s="96"/>
    </row>
    <row r="2714" spans="5:5">
      <c r="E2714" s="96"/>
    </row>
    <row r="2715" spans="5:5">
      <c r="E2715" s="96"/>
    </row>
    <row r="2716" spans="5:5">
      <c r="E2716" s="96"/>
    </row>
    <row r="2717" spans="5:5">
      <c r="E2717" s="96"/>
    </row>
    <row r="2718" spans="5:5">
      <c r="E2718" s="96"/>
    </row>
    <row r="2719" spans="5:5">
      <c r="E2719" s="96"/>
    </row>
    <row r="2720" spans="5:5">
      <c r="E2720" s="96"/>
    </row>
    <row r="2721" spans="5:5">
      <c r="E2721" s="96"/>
    </row>
    <row r="2722" spans="5:5">
      <c r="E2722" s="96"/>
    </row>
    <row r="2723" spans="5:5">
      <c r="E2723" s="96"/>
    </row>
    <row r="2724" spans="5:5">
      <c r="E2724" s="96"/>
    </row>
    <row r="2725" spans="5:5">
      <c r="E2725" s="96"/>
    </row>
    <row r="2726" spans="5:5">
      <c r="E2726" s="96"/>
    </row>
    <row r="2727" spans="5:5">
      <c r="E2727" s="96"/>
    </row>
    <row r="2728" spans="5:5">
      <c r="E2728" s="96"/>
    </row>
    <row r="2729" spans="5:5">
      <c r="E2729" s="96"/>
    </row>
    <row r="2730" spans="5:5">
      <c r="E2730" s="96"/>
    </row>
    <row r="2731" spans="5:5">
      <c r="E2731" s="96"/>
    </row>
    <row r="2732" spans="5:5">
      <c r="E2732" s="96"/>
    </row>
    <row r="2733" spans="5:5">
      <c r="E2733" s="96"/>
    </row>
    <row r="2734" spans="5:5">
      <c r="E2734" s="96"/>
    </row>
    <row r="2735" spans="5:5">
      <c r="E2735" s="96"/>
    </row>
    <row r="2736" spans="5:5">
      <c r="E2736" s="96"/>
    </row>
    <row r="2737" spans="5:5">
      <c r="E2737" s="96"/>
    </row>
    <row r="2738" spans="5:5">
      <c r="E2738" s="96"/>
    </row>
    <row r="2739" spans="5:5">
      <c r="E2739" s="96"/>
    </row>
    <row r="2740" spans="5:5">
      <c r="E2740" s="96"/>
    </row>
    <row r="2741" spans="5:5">
      <c r="E2741" s="96"/>
    </row>
    <row r="2742" spans="5:5">
      <c r="E2742" s="96"/>
    </row>
    <row r="2743" spans="5:5">
      <c r="E2743" s="96"/>
    </row>
    <row r="2744" spans="5:5">
      <c r="E2744" s="96"/>
    </row>
    <row r="2745" spans="5:5">
      <c r="E2745" s="96"/>
    </row>
    <row r="2746" spans="5:5">
      <c r="E2746" s="96"/>
    </row>
    <row r="2747" spans="5:5">
      <c r="E2747" s="96"/>
    </row>
    <row r="2748" spans="5:5">
      <c r="E2748" s="96"/>
    </row>
    <row r="2749" spans="5:5">
      <c r="E2749" s="96"/>
    </row>
    <row r="2750" spans="5:5">
      <c r="E2750" s="96"/>
    </row>
    <row r="2751" spans="5:5">
      <c r="E2751" s="96"/>
    </row>
    <row r="2752" spans="5:5">
      <c r="E2752" s="96"/>
    </row>
    <row r="2753" spans="5:5">
      <c r="E2753" s="96"/>
    </row>
    <row r="2754" spans="5:5">
      <c r="E2754" s="96"/>
    </row>
    <row r="2755" spans="5:5">
      <c r="E2755" s="96"/>
    </row>
    <row r="2756" spans="5:5">
      <c r="E2756" s="96"/>
    </row>
    <row r="2757" spans="5:5">
      <c r="E2757" s="96"/>
    </row>
    <row r="2758" spans="5:5">
      <c r="E2758" s="96"/>
    </row>
    <row r="2759" spans="5:5">
      <c r="E2759" s="96"/>
    </row>
    <row r="2760" spans="5:5">
      <c r="E2760" s="96"/>
    </row>
    <row r="2761" spans="5:5">
      <c r="E2761" s="96"/>
    </row>
    <row r="2762" spans="5:5">
      <c r="E2762" s="96"/>
    </row>
    <row r="2763" spans="5:5">
      <c r="E2763" s="96"/>
    </row>
    <row r="2764" spans="5:5">
      <c r="E2764" s="96"/>
    </row>
    <row r="2765" spans="5:5">
      <c r="E2765" s="96"/>
    </row>
    <row r="2766" spans="5:5">
      <c r="E2766" s="96"/>
    </row>
    <row r="2767" spans="5:5">
      <c r="E2767" s="96"/>
    </row>
    <row r="2768" spans="5:5">
      <c r="E2768" s="96"/>
    </row>
    <row r="2769" spans="5:5">
      <c r="E2769" s="96"/>
    </row>
    <row r="2770" spans="5:5">
      <c r="E2770" s="96"/>
    </row>
    <row r="2771" spans="5:5">
      <c r="E2771" s="96"/>
    </row>
    <row r="2772" spans="5:5">
      <c r="E2772" s="96"/>
    </row>
    <row r="2773" spans="5:5">
      <c r="E2773" s="96"/>
    </row>
    <row r="2774" spans="5:5">
      <c r="E2774" s="96"/>
    </row>
    <row r="2775" spans="5:5">
      <c r="E2775" s="96"/>
    </row>
    <row r="2776" spans="5:5">
      <c r="E2776" s="96"/>
    </row>
    <row r="2777" spans="5:5">
      <c r="E2777" s="96"/>
    </row>
    <row r="2778" spans="5:5">
      <c r="E2778" s="96"/>
    </row>
    <row r="2779" spans="5:5">
      <c r="E2779" s="96"/>
    </row>
    <row r="2780" spans="5:5">
      <c r="E2780" s="96"/>
    </row>
    <row r="2781" spans="5:5">
      <c r="E2781" s="96"/>
    </row>
    <row r="2782" spans="5:5">
      <c r="E2782" s="96"/>
    </row>
    <row r="2783" spans="5:5">
      <c r="E2783" s="96"/>
    </row>
    <row r="2784" spans="5:5">
      <c r="E2784" s="96"/>
    </row>
    <row r="2785" spans="5:5">
      <c r="E2785" s="96"/>
    </row>
    <row r="2786" spans="5:5">
      <c r="E2786" s="96"/>
    </row>
    <row r="2787" spans="5:5">
      <c r="E2787" s="96"/>
    </row>
    <row r="2788" spans="5:5">
      <c r="E2788" s="96"/>
    </row>
    <row r="2789" spans="5:5">
      <c r="E2789" s="96"/>
    </row>
    <row r="2790" spans="5:5">
      <c r="E2790" s="96"/>
    </row>
    <row r="2791" spans="5:5">
      <c r="E2791" s="96"/>
    </row>
    <row r="2792" spans="5:5">
      <c r="E2792" s="96"/>
    </row>
    <row r="2793" spans="5:5">
      <c r="E2793" s="96"/>
    </row>
    <row r="2794" spans="5:5">
      <c r="E2794" s="96"/>
    </row>
    <row r="2795" spans="5:5">
      <c r="E2795" s="96"/>
    </row>
    <row r="2796" spans="5:5">
      <c r="E2796" s="96"/>
    </row>
    <row r="2797" spans="5:5">
      <c r="E2797" s="96"/>
    </row>
    <row r="2798" spans="5:5">
      <c r="E2798" s="96"/>
    </row>
    <row r="2799" spans="5:5">
      <c r="E2799" s="96"/>
    </row>
    <row r="2800" spans="5:5">
      <c r="E2800" s="96"/>
    </row>
    <row r="2801" spans="5:5">
      <c r="E2801" s="96"/>
    </row>
    <row r="2802" spans="5:5">
      <c r="E2802" s="96"/>
    </row>
    <row r="2803" spans="5:5">
      <c r="E2803" s="96"/>
    </row>
    <row r="2804" spans="5:5">
      <c r="E2804" s="96"/>
    </row>
    <row r="2805" spans="5:5">
      <c r="E2805" s="96"/>
    </row>
    <row r="2806" spans="5:5">
      <c r="E2806" s="96"/>
    </row>
    <row r="2807" spans="5:5">
      <c r="E2807" s="96"/>
    </row>
    <row r="2808" spans="5:5">
      <c r="E2808" s="96"/>
    </row>
    <row r="2809" spans="5:5">
      <c r="E2809" s="96"/>
    </row>
    <row r="2810" spans="5:5">
      <c r="E2810" s="96"/>
    </row>
    <row r="2811" spans="5:5">
      <c r="E2811" s="96"/>
    </row>
    <row r="2812" spans="5:5">
      <c r="E2812" s="96"/>
    </row>
    <row r="2813" spans="5:5">
      <c r="E2813" s="96"/>
    </row>
    <row r="2814" spans="5:5">
      <c r="E2814" s="96"/>
    </row>
    <row r="2815" spans="5:5">
      <c r="E2815" s="96"/>
    </row>
    <row r="2816" spans="5:5">
      <c r="E2816" s="96"/>
    </row>
    <row r="2817" spans="5:5">
      <c r="E2817" s="96"/>
    </row>
    <row r="2818" spans="5:5">
      <c r="E2818" s="96"/>
    </row>
    <row r="2819" spans="5:5">
      <c r="E2819" s="96"/>
    </row>
    <row r="2820" spans="5:5">
      <c r="E2820" s="96"/>
    </row>
    <row r="2821" spans="5:5">
      <c r="E2821" s="96"/>
    </row>
    <row r="2822" spans="5:5">
      <c r="E2822" s="96"/>
    </row>
    <row r="2823" spans="5:5">
      <c r="E2823" s="96"/>
    </row>
    <row r="2824" spans="5:5">
      <c r="E2824" s="96"/>
    </row>
    <row r="2825" spans="5:5">
      <c r="E2825" s="96"/>
    </row>
    <row r="2826" spans="5:5">
      <c r="E2826" s="96"/>
    </row>
    <row r="2827" spans="5:5">
      <c r="E2827" s="96"/>
    </row>
    <row r="2828" spans="5:5">
      <c r="E2828" s="96"/>
    </row>
    <row r="2829" spans="5:5">
      <c r="E2829" s="96"/>
    </row>
    <row r="2830" spans="5:5">
      <c r="E2830" s="96"/>
    </row>
    <row r="2831" spans="5:5">
      <c r="E2831" s="96"/>
    </row>
    <row r="2832" spans="5:5">
      <c r="E2832" s="96"/>
    </row>
    <row r="2833" spans="5:5">
      <c r="E2833" s="96"/>
    </row>
    <row r="2834" spans="5:5">
      <c r="E2834" s="96"/>
    </row>
    <row r="2835" spans="5:5">
      <c r="E2835" s="96"/>
    </row>
    <row r="2836" spans="5:5">
      <c r="E2836" s="96"/>
    </row>
    <row r="2837" spans="5:5">
      <c r="E2837" s="96"/>
    </row>
    <row r="2838" spans="5:5">
      <c r="E2838" s="96"/>
    </row>
    <row r="2839" spans="5:5">
      <c r="E2839" s="96"/>
    </row>
    <row r="2840" spans="5:5">
      <c r="E2840" s="96"/>
    </row>
    <row r="2841" spans="5:5">
      <c r="E2841" s="96"/>
    </row>
    <row r="2842" spans="5:5">
      <c r="E2842" s="96"/>
    </row>
    <row r="2843" spans="5:5">
      <c r="E2843" s="96"/>
    </row>
    <row r="2844" spans="5:5">
      <c r="E2844" s="96"/>
    </row>
    <row r="2845" spans="5:5">
      <c r="E2845" s="96"/>
    </row>
    <row r="2846" spans="5:5">
      <c r="E2846" s="96"/>
    </row>
    <row r="2847" spans="5:5">
      <c r="E2847" s="96"/>
    </row>
    <row r="2848" spans="5:5">
      <c r="E2848" s="96"/>
    </row>
    <row r="2849" spans="5:5">
      <c r="E2849" s="96"/>
    </row>
    <row r="2850" spans="5:5">
      <c r="E2850" s="96"/>
    </row>
    <row r="2851" spans="5:5">
      <c r="E2851" s="96"/>
    </row>
    <row r="2852" spans="5:5">
      <c r="E2852" s="96"/>
    </row>
    <row r="2853" spans="5:5">
      <c r="E2853" s="96"/>
    </row>
    <row r="2854" spans="5:5">
      <c r="E2854" s="96"/>
    </row>
    <row r="2855" spans="5:5">
      <c r="E2855" s="96"/>
    </row>
    <row r="2856" spans="5:5">
      <c r="E2856" s="96"/>
    </row>
    <row r="2857" spans="5:5">
      <c r="E2857" s="96"/>
    </row>
    <row r="2858" spans="5:5">
      <c r="E2858" s="96"/>
    </row>
    <row r="2859" spans="5:5">
      <c r="E2859" s="96"/>
    </row>
    <row r="2860" spans="5:5">
      <c r="E2860" s="96"/>
    </row>
    <row r="2861" spans="5:5">
      <c r="E2861" s="96"/>
    </row>
    <row r="2862" spans="5:5">
      <c r="E2862" s="96"/>
    </row>
    <row r="2863" spans="5:5">
      <c r="E2863" s="96"/>
    </row>
    <row r="2864" spans="5:5">
      <c r="E2864" s="96"/>
    </row>
    <row r="2865" spans="5:5">
      <c r="E2865" s="96"/>
    </row>
    <row r="2866" spans="5:5">
      <c r="E2866" s="96"/>
    </row>
    <row r="2867" spans="5:5">
      <c r="E2867" s="96"/>
    </row>
    <row r="2868" spans="5:5">
      <c r="E2868" s="96"/>
    </row>
    <row r="2869" spans="5:5">
      <c r="E2869" s="96"/>
    </row>
    <row r="2870" spans="5:5">
      <c r="E2870" s="96"/>
    </row>
    <row r="2871" spans="5:5">
      <c r="E2871" s="96"/>
    </row>
    <row r="2872" spans="5:5">
      <c r="E2872" s="96"/>
    </row>
    <row r="2873" spans="5:5">
      <c r="E2873" s="96"/>
    </row>
    <row r="2874" spans="5:5">
      <c r="E2874" s="96"/>
    </row>
    <row r="2875" spans="5:5">
      <c r="E2875" s="96"/>
    </row>
    <row r="2876" spans="5:5">
      <c r="E2876" s="96"/>
    </row>
    <row r="2877" spans="5:5">
      <c r="E2877" s="96"/>
    </row>
    <row r="2878" spans="5:5">
      <c r="E2878" s="96"/>
    </row>
    <row r="2879" spans="5:5">
      <c r="E2879" s="96"/>
    </row>
    <row r="2880" spans="5:5">
      <c r="E2880" s="96"/>
    </row>
    <row r="2881" spans="5:5">
      <c r="E2881" s="96"/>
    </row>
    <row r="2882" spans="5:5">
      <c r="E2882" s="96"/>
    </row>
    <row r="2883" spans="5:5">
      <c r="E2883" s="96"/>
    </row>
    <row r="2884" spans="5:5">
      <c r="E2884" s="96"/>
    </row>
    <row r="2885" spans="5:5">
      <c r="E2885" s="96"/>
    </row>
    <row r="2886" spans="5:5">
      <c r="E2886" s="96"/>
    </row>
    <row r="2887" spans="5:5">
      <c r="E2887" s="96"/>
    </row>
    <row r="2888" spans="5:5">
      <c r="E2888" s="96"/>
    </row>
    <row r="2889" spans="5:5">
      <c r="E2889" s="96"/>
    </row>
    <row r="2890" spans="5:5">
      <c r="E2890" s="96"/>
    </row>
    <row r="2891" spans="5:5">
      <c r="E2891" s="96"/>
    </row>
    <row r="2892" spans="5:5">
      <c r="E2892" s="96"/>
    </row>
    <row r="2893" spans="5:5">
      <c r="E2893" s="96"/>
    </row>
    <row r="2894" spans="5:5">
      <c r="E2894" s="96"/>
    </row>
    <row r="2895" spans="5:5">
      <c r="E2895" s="96"/>
    </row>
    <row r="2896" spans="5:5">
      <c r="E2896" s="96"/>
    </row>
    <row r="2897" spans="5:5">
      <c r="E2897" s="96"/>
    </row>
    <row r="2898" spans="5:5">
      <c r="E2898" s="96"/>
    </row>
    <row r="2899" spans="5:5">
      <c r="E2899" s="96"/>
    </row>
    <row r="2900" spans="5:5">
      <c r="E2900" s="96"/>
    </row>
    <row r="2901" spans="5:5">
      <c r="E2901" s="96"/>
    </row>
    <row r="2902" spans="5:5">
      <c r="E2902" s="96"/>
    </row>
    <row r="2903" spans="5:5">
      <c r="E2903" s="96"/>
    </row>
    <row r="2904" spans="5:5">
      <c r="E2904" s="96"/>
    </row>
    <row r="2905" spans="5:5">
      <c r="E2905" s="96"/>
    </row>
    <row r="2906" spans="5:5">
      <c r="E2906" s="96"/>
    </row>
    <row r="2907" spans="5:5">
      <c r="E2907" s="96"/>
    </row>
    <row r="2908" spans="5:5">
      <c r="E2908" s="96"/>
    </row>
    <row r="2909" spans="5:5">
      <c r="E2909" s="96"/>
    </row>
    <row r="2910" spans="5:5">
      <c r="E2910" s="96"/>
    </row>
    <row r="2911" spans="5:5">
      <c r="E2911" s="96"/>
    </row>
    <row r="2912" spans="5:5">
      <c r="E2912" s="96"/>
    </row>
    <row r="2913" spans="5:5">
      <c r="E2913" s="96"/>
    </row>
    <row r="2914" spans="5:5">
      <c r="E2914" s="96"/>
    </row>
    <row r="2915" spans="5:5">
      <c r="E2915" s="96"/>
    </row>
    <row r="2916" spans="5:5">
      <c r="E2916" s="96"/>
    </row>
    <row r="2917" spans="5:5">
      <c r="E2917" s="96"/>
    </row>
    <row r="2918" spans="5:5">
      <c r="E2918" s="96"/>
    </row>
    <row r="2919" spans="5:5">
      <c r="E2919" s="96"/>
    </row>
    <row r="2920" spans="5:5">
      <c r="E2920" s="96"/>
    </row>
    <row r="2921" spans="5:5">
      <c r="E2921" s="96"/>
    </row>
    <row r="2922" spans="5:5">
      <c r="E2922" s="96"/>
    </row>
    <row r="2923" spans="5:5">
      <c r="E2923" s="96"/>
    </row>
    <row r="2924" spans="5:5">
      <c r="E2924" s="96"/>
    </row>
    <row r="2925" spans="5:5">
      <c r="E2925" s="96"/>
    </row>
    <row r="2926" spans="5:5">
      <c r="E2926" s="96"/>
    </row>
    <row r="2927" spans="5:5">
      <c r="E2927" s="96"/>
    </row>
    <row r="2928" spans="5:5">
      <c r="E2928" s="96"/>
    </row>
    <row r="2929" spans="5:5">
      <c r="E2929" s="96"/>
    </row>
    <row r="2930" spans="5:5">
      <c r="E2930" s="96"/>
    </row>
    <row r="2931" spans="5:5">
      <c r="E2931" s="96"/>
    </row>
    <row r="2932" spans="5:5">
      <c r="E2932" s="96"/>
    </row>
    <row r="2933" spans="5:5">
      <c r="E2933" s="96"/>
    </row>
    <row r="2934" spans="5:5">
      <c r="E2934" s="96"/>
    </row>
    <row r="2935" spans="5:5">
      <c r="E2935" s="96"/>
    </row>
    <row r="2936" spans="5:5">
      <c r="E2936" s="96"/>
    </row>
    <row r="2937" spans="5:5">
      <c r="E2937" s="96"/>
    </row>
    <row r="2938" spans="5:5">
      <c r="E2938" s="96"/>
    </row>
    <row r="2939" spans="5:5">
      <c r="E2939" s="96"/>
    </row>
    <row r="2940" spans="5:5">
      <c r="E2940" s="96"/>
    </row>
    <row r="2941" spans="5:5">
      <c r="E2941" s="96"/>
    </row>
    <row r="2942" spans="5:5">
      <c r="E2942" s="96"/>
    </row>
    <row r="2943" spans="5:5">
      <c r="E2943" s="96"/>
    </row>
    <row r="2944" spans="5:5">
      <c r="E2944" s="96"/>
    </row>
    <row r="2945" spans="5:5">
      <c r="E2945" s="96"/>
    </row>
    <row r="2946" spans="5:5">
      <c r="E2946" s="96"/>
    </row>
    <row r="2947" spans="5:5">
      <c r="E2947" s="96"/>
    </row>
    <row r="2948" spans="5:5">
      <c r="E2948" s="96"/>
    </row>
    <row r="2949" spans="5:5">
      <c r="E2949" s="96"/>
    </row>
    <row r="2950" spans="5:5">
      <c r="E2950" s="96"/>
    </row>
    <row r="2951" spans="5:5">
      <c r="E2951" s="96"/>
    </row>
    <row r="2952" spans="5:5">
      <c r="E2952" s="96"/>
    </row>
    <row r="2953" spans="5:5">
      <c r="E2953" s="96"/>
    </row>
    <row r="2954" spans="5:5">
      <c r="E2954" s="96"/>
    </row>
    <row r="2955" spans="5:5">
      <c r="E2955" s="96"/>
    </row>
    <row r="2956" spans="5:5">
      <c r="E2956" s="96"/>
    </row>
    <row r="2957" spans="5:5">
      <c r="E2957" s="96"/>
    </row>
    <row r="2958" spans="5:5">
      <c r="E2958" s="96"/>
    </row>
    <row r="2959" spans="5:5">
      <c r="E2959" s="96"/>
    </row>
    <row r="2960" spans="5:5">
      <c r="E2960" s="96"/>
    </row>
    <row r="2961" spans="5:5">
      <c r="E2961" s="96"/>
    </row>
    <row r="2962" spans="5:5">
      <c r="E2962" s="96"/>
    </row>
    <row r="2963" spans="5:5">
      <c r="E2963" s="96"/>
    </row>
    <row r="2964" spans="5:5">
      <c r="E2964" s="96"/>
    </row>
    <row r="2965" spans="5:5">
      <c r="E2965" s="96"/>
    </row>
    <row r="2966" spans="5:5">
      <c r="E2966" s="96"/>
    </row>
    <row r="2967" spans="5:5">
      <c r="E2967" s="96"/>
    </row>
    <row r="2968" spans="5:5">
      <c r="E2968" s="96"/>
    </row>
    <row r="2969" spans="5:5">
      <c r="E2969" s="96"/>
    </row>
    <row r="2970" spans="5:5">
      <c r="E2970" s="96"/>
    </row>
    <row r="2971" spans="5:5">
      <c r="E2971" s="96"/>
    </row>
    <row r="2972" spans="5:5">
      <c r="E2972" s="96"/>
    </row>
    <row r="2973" spans="5:5">
      <c r="E2973" s="96"/>
    </row>
    <row r="2974" spans="5:5">
      <c r="E2974" s="96"/>
    </row>
    <row r="2975" spans="5:5">
      <c r="E2975" s="96"/>
    </row>
    <row r="2976" spans="5:5">
      <c r="E2976" s="96"/>
    </row>
    <row r="2977" spans="5:5">
      <c r="E2977" s="96"/>
    </row>
    <row r="2978" spans="5:5">
      <c r="E2978" s="96"/>
    </row>
    <row r="2979" spans="5:5">
      <c r="E2979" s="96"/>
    </row>
    <row r="2980" spans="5:5">
      <c r="E2980" s="96"/>
    </row>
    <row r="2981" spans="5:5">
      <c r="E2981" s="96"/>
    </row>
    <row r="2982" spans="5:5">
      <c r="E2982" s="96"/>
    </row>
    <row r="2983" spans="5:5">
      <c r="E2983" s="96"/>
    </row>
    <row r="2984" spans="5:5">
      <c r="E2984" s="96"/>
    </row>
    <row r="2985" spans="5:5">
      <c r="E2985" s="96"/>
    </row>
    <row r="2986" spans="5:5">
      <c r="E2986" s="96"/>
    </row>
    <row r="2987" spans="5:5">
      <c r="E2987" s="96"/>
    </row>
    <row r="2988" spans="5:5">
      <c r="E2988" s="96"/>
    </row>
    <row r="2989" spans="5:5">
      <c r="E2989" s="96"/>
    </row>
    <row r="2990" spans="5:5">
      <c r="E2990" s="96"/>
    </row>
    <row r="2991" spans="5:5">
      <c r="E2991" s="96"/>
    </row>
    <row r="2992" spans="5:5">
      <c r="E2992" s="96"/>
    </row>
    <row r="2993" spans="5:5">
      <c r="E2993" s="96"/>
    </row>
    <row r="2994" spans="5:5">
      <c r="E2994" s="96"/>
    </row>
    <row r="2995" spans="5:5">
      <c r="E2995" s="96"/>
    </row>
    <row r="2996" spans="5:5">
      <c r="E2996" s="96"/>
    </row>
    <row r="2997" spans="5:5">
      <c r="E2997" s="96"/>
    </row>
    <row r="2998" spans="5:5">
      <c r="E2998" s="96"/>
    </row>
    <row r="2999" spans="5:5">
      <c r="E2999" s="96"/>
    </row>
    <row r="3000" spans="5:5">
      <c r="E3000" s="96"/>
    </row>
    <row r="3001" spans="5:5">
      <c r="E3001" s="96"/>
    </row>
    <row r="3002" spans="5:5">
      <c r="E3002" s="96"/>
    </row>
    <row r="3003" spans="5:5">
      <c r="E3003" s="96"/>
    </row>
    <row r="3004" spans="5:5">
      <c r="E3004" s="96"/>
    </row>
    <row r="3005" spans="5:5">
      <c r="E3005" s="96"/>
    </row>
    <row r="3006" spans="5:5">
      <c r="E3006" s="96"/>
    </row>
    <row r="3007" spans="5:5">
      <c r="E3007" s="96"/>
    </row>
    <row r="3008" spans="5:5">
      <c r="E3008" s="96"/>
    </row>
    <row r="3009" spans="5:5">
      <c r="E3009" s="96"/>
    </row>
    <row r="3010" spans="5:5">
      <c r="E3010" s="96"/>
    </row>
    <row r="3011" spans="5:5">
      <c r="E3011" s="96"/>
    </row>
    <row r="3012" spans="5:5">
      <c r="E3012" s="96"/>
    </row>
    <row r="3013" spans="5:5">
      <c r="E3013" s="96"/>
    </row>
    <row r="3014" spans="5:5">
      <c r="E3014" s="96"/>
    </row>
    <row r="3015" spans="5:5">
      <c r="E3015" s="96"/>
    </row>
    <row r="3016" spans="5:5">
      <c r="E3016" s="96"/>
    </row>
    <row r="3017" spans="5:5">
      <c r="E3017" s="96"/>
    </row>
    <row r="3018" spans="5:5">
      <c r="E3018" s="96"/>
    </row>
    <row r="3019" spans="5:5">
      <c r="E3019" s="96"/>
    </row>
    <row r="3020" spans="5:5">
      <c r="E3020" s="96"/>
    </row>
    <row r="3021" spans="5:5">
      <c r="E3021" s="96"/>
    </row>
    <row r="3022" spans="5:5">
      <c r="E3022" s="96"/>
    </row>
    <row r="3023" spans="5:5">
      <c r="E3023" s="96"/>
    </row>
    <row r="3024" spans="5:5">
      <c r="E3024" s="96"/>
    </row>
    <row r="3025" spans="5:5">
      <c r="E3025" s="96"/>
    </row>
    <row r="3026" spans="5:5">
      <c r="E3026" s="96"/>
    </row>
    <row r="3027" spans="5:5">
      <c r="E3027" s="96"/>
    </row>
    <row r="3028" spans="5:5">
      <c r="E3028" s="96"/>
    </row>
    <row r="3029" spans="5:5">
      <c r="E3029" s="96"/>
    </row>
    <row r="3030" spans="5:5">
      <c r="E3030" s="96"/>
    </row>
    <row r="3031" spans="5:5">
      <c r="E3031" s="96"/>
    </row>
    <row r="3032" spans="5:5">
      <c r="E3032" s="96"/>
    </row>
    <row r="3033" spans="5:5">
      <c r="E3033" s="96"/>
    </row>
    <row r="3034" spans="5:5">
      <c r="E3034" s="96"/>
    </row>
    <row r="3035" spans="5:5">
      <c r="E3035" s="96"/>
    </row>
    <row r="3036" spans="5:5">
      <c r="E3036" s="96"/>
    </row>
    <row r="3037" spans="5:5">
      <c r="E3037" s="96"/>
    </row>
    <row r="3038" spans="5:5">
      <c r="E3038" s="96"/>
    </row>
    <row r="3039" spans="5:5">
      <c r="E3039" s="96"/>
    </row>
    <row r="3040" spans="5:5">
      <c r="E3040" s="96"/>
    </row>
    <row r="3041" spans="5:5">
      <c r="E3041" s="96"/>
    </row>
    <row r="3042" spans="5:5">
      <c r="E3042" s="96"/>
    </row>
    <row r="3043" spans="5:5">
      <c r="E3043" s="96"/>
    </row>
    <row r="3044" spans="5:5">
      <c r="E3044" s="96"/>
    </row>
    <row r="3045" spans="5:5">
      <c r="E3045" s="96"/>
    </row>
    <row r="3046" spans="5:5">
      <c r="E3046" s="96"/>
    </row>
    <row r="3047" spans="5:5">
      <c r="E3047" s="96"/>
    </row>
    <row r="3048" spans="5:5">
      <c r="E3048" s="96"/>
    </row>
    <row r="3049" spans="5:5">
      <c r="E3049" s="96"/>
    </row>
    <row r="3050" spans="5:5">
      <c r="E3050" s="96"/>
    </row>
    <row r="3051" spans="5:5">
      <c r="E3051" s="96"/>
    </row>
    <row r="3052" spans="5:5">
      <c r="E3052" s="96"/>
    </row>
    <row r="3053" spans="5:5">
      <c r="E3053" s="96"/>
    </row>
    <row r="3054" spans="5:5">
      <c r="E3054" s="96"/>
    </row>
    <row r="3055" spans="5:5">
      <c r="E3055" s="96"/>
    </row>
    <row r="3056" spans="5:5">
      <c r="E3056" s="96"/>
    </row>
    <row r="3057" spans="5:5">
      <c r="E3057" s="96"/>
    </row>
    <row r="3058" spans="5:5">
      <c r="E3058" s="96"/>
    </row>
    <row r="3059" spans="5:5">
      <c r="E3059" s="96"/>
    </row>
    <row r="3060" spans="5:5">
      <c r="E3060" s="96"/>
    </row>
    <row r="3061" spans="5:5">
      <c r="E3061" s="96"/>
    </row>
    <row r="3062" spans="5:5">
      <c r="E3062" s="96"/>
    </row>
    <row r="3063" spans="5:5">
      <c r="E3063" s="96"/>
    </row>
    <row r="3064" spans="5:5">
      <c r="E3064" s="96"/>
    </row>
    <row r="3065" spans="5:5">
      <c r="E3065" s="96"/>
    </row>
    <row r="3066" spans="5:5">
      <c r="E3066" s="96"/>
    </row>
    <row r="3067" spans="5:5">
      <c r="E3067" s="96"/>
    </row>
    <row r="3068" spans="5:5">
      <c r="E3068" s="96"/>
    </row>
    <row r="3069" spans="5:5">
      <c r="E3069" s="96"/>
    </row>
    <row r="3070" spans="5:5">
      <c r="E3070" s="96"/>
    </row>
    <row r="3071" spans="5:5">
      <c r="E3071" s="96"/>
    </row>
    <row r="3072" spans="5:5">
      <c r="E3072" s="96"/>
    </row>
    <row r="3073" spans="5:5">
      <c r="E3073" s="96"/>
    </row>
    <row r="3074" spans="5:5">
      <c r="E3074" s="96"/>
    </row>
    <row r="3075" spans="5:5">
      <c r="E3075" s="96"/>
    </row>
    <row r="3076" spans="5:5">
      <c r="E3076" s="96"/>
    </row>
    <row r="3077" spans="5:5">
      <c r="E3077" s="96"/>
    </row>
    <row r="3078" spans="5:5">
      <c r="E3078" s="96"/>
    </row>
    <row r="3079" spans="5:5">
      <c r="E3079" s="96"/>
    </row>
    <row r="3080" spans="5:5">
      <c r="E3080" s="96"/>
    </row>
    <row r="3081" spans="5:5">
      <c r="E3081" s="96"/>
    </row>
    <row r="3082" spans="5:5">
      <c r="E3082" s="96"/>
    </row>
    <row r="3083" spans="5:5">
      <c r="E3083" s="96"/>
    </row>
    <row r="3084" spans="5:5">
      <c r="E3084" s="96"/>
    </row>
    <row r="3085" spans="5:5">
      <c r="E3085" s="96"/>
    </row>
    <row r="3086" spans="5:5">
      <c r="E3086" s="96"/>
    </row>
    <row r="3087" spans="5:5">
      <c r="E3087" s="96"/>
    </row>
    <row r="3088" spans="5:5">
      <c r="E3088" s="96"/>
    </row>
    <row r="3089" spans="5:5">
      <c r="E3089" s="96"/>
    </row>
    <row r="3090" spans="5:5">
      <c r="E3090" s="96"/>
    </row>
    <row r="3091" spans="5:5">
      <c r="E3091" s="96"/>
    </row>
    <row r="3092" spans="5:5">
      <c r="E3092" s="96"/>
    </row>
    <row r="3093" spans="5:5">
      <c r="E3093" s="96"/>
    </row>
    <row r="3094" spans="5:5">
      <c r="E3094" s="96"/>
    </row>
    <row r="3095" spans="5:5">
      <c r="E3095" s="96"/>
    </row>
    <row r="3096" spans="5:5">
      <c r="E3096" s="96"/>
    </row>
    <row r="3097" spans="5:5">
      <c r="E3097" s="96"/>
    </row>
    <row r="3098" spans="5:5">
      <c r="E3098" s="96"/>
    </row>
    <row r="3099" spans="5:5">
      <c r="E3099" s="96"/>
    </row>
    <row r="3100" spans="5:5">
      <c r="E3100" s="96"/>
    </row>
    <row r="3101" spans="5:5">
      <c r="E3101" s="96"/>
    </row>
    <row r="3102" spans="5:5">
      <c r="E3102" s="96"/>
    </row>
    <row r="3103" spans="5:5">
      <c r="E3103" s="96"/>
    </row>
    <row r="3104" spans="5:5">
      <c r="E3104" s="96"/>
    </row>
    <row r="3105" spans="5:5">
      <c r="E3105" s="96"/>
    </row>
    <row r="3106" spans="5:5">
      <c r="E3106" s="96"/>
    </row>
    <row r="3107" spans="5:5">
      <c r="E3107" s="96"/>
    </row>
    <row r="3108" spans="5:5">
      <c r="E3108" s="96"/>
    </row>
    <row r="3109" spans="5:5">
      <c r="E3109" s="96"/>
    </row>
    <row r="3110" spans="5:5">
      <c r="E3110" s="96"/>
    </row>
    <row r="3111" spans="5:5">
      <c r="E3111" s="96"/>
    </row>
    <row r="3112" spans="5:5">
      <c r="E3112" s="96"/>
    </row>
    <row r="3113" spans="5:5">
      <c r="E3113" s="96"/>
    </row>
    <row r="3114" spans="5:5">
      <c r="E3114" s="96"/>
    </row>
    <row r="3115" spans="5:5">
      <c r="E3115" s="96"/>
    </row>
    <row r="3116" spans="5:5">
      <c r="E3116" s="96"/>
    </row>
    <row r="3117" spans="5:5">
      <c r="E3117" s="96"/>
    </row>
    <row r="3118" spans="5:5">
      <c r="E3118" s="96"/>
    </row>
    <row r="3119" spans="5:5">
      <c r="E3119" s="96"/>
    </row>
    <row r="3120" spans="5:5">
      <c r="E3120" s="96"/>
    </row>
    <row r="3121" spans="5:5">
      <c r="E3121" s="96"/>
    </row>
    <row r="3122" spans="5:5">
      <c r="E3122" s="96"/>
    </row>
    <row r="3123" spans="5:5">
      <c r="E3123" s="96"/>
    </row>
    <row r="3124" spans="5:5">
      <c r="E3124" s="96"/>
    </row>
    <row r="3125" spans="5:5">
      <c r="E3125" s="96"/>
    </row>
    <row r="3126" spans="5:5">
      <c r="E3126" s="96"/>
    </row>
    <row r="3127" spans="5:5">
      <c r="E3127" s="96"/>
    </row>
    <row r="3128" spans="5:5">
      <c r="E3128" s="96"/>
    </row>
    <row r="3129" spans="5:5">
      <c r="E3129" s="96"/>
    </row>
    <row r="3130" spans="5:5">
      <c r="E3130" s="96"/>
    </row>
    <row r="3131" spans="5:5">
      <c r="E3131" s="96"/>
    </row>
    <row r="3132" spans="5:5">
      <c r="E3132" s="96"/>
    </row>
    <row r="3133" spans="5:5">
      <c r="E3133" s="96"/>
    </row>
    <row r="3134" spans="5:5">
      <c r="E3134" s="96"/>
    </row>
    <row r="3135" spans="5:5">
      <c r="E3135" s="96"/>
    </row>
    <row r="3136" spans="5:5">
      <c r="E3136" s="96"/>
    </row>
    <row r="3137" spans="5:5">
      <c r="E3137" s="96"/>
    </row>
    <row r="3138" spans="5:5">
      <c r="E3138" s="96"/>
    </row>
    <row r="3139" spans="5:5">
      <c r="E3139" s="96"/>
    </row>
    <row r="3140" spans="5:5">
      <c r="E3140" s="96"/>
    </row>
    <row r="3141" spans="5:5">
      <c r="E3141" s="96"/>
    </row>
    <row r="3142" spans="5:5">
      <c r="E3142" s="96"/>
    </row>
    <row r="3143" spans="5:5">
      <c r="E3143" s="96"/>
    </row>
    <row r="3144" spans="5:5">
      <c r="E3144" s="96"/>
    </row>
    <row r="3145" spans="5:5">
      <c r="E3145" s="96"/>
    </row>
    <row r="3146" spans="5:5">
      <c r="E3146" s="96"/>
    </row>
    <row r="3147" spans="5:5">
      <c r="E3147" s="96"/>
    </row>
    <row r="3148" spans="5:5">
      <c r="E3148" s="96"/>
    </row>
    <row r="3149" spans="5:5">
      <c r="E3149" s="96"/>
    </row>
    <row r="3150" spans="5:5">
      <c r="E3150" s="96"/>
    </row>
    <row r="3151" spans="5:5">
      <c r="E3151" s="96"/>
    </row>
    <row r="3152" spans="5:5">
      <c r="E3152" s="96"/>
    </row>
    <row r="3153" spans="5:5">
      <c r="E3153" s="96"/>
    </row>
    <row r="3154" spans="5:5">
      <c r="E3154" s="96"/>
    </row>
    <row r="3155" spans="5:5">
      <c r="E3155" s="96"/>
    </row>
    <row r="3156" spans="5:5">
      <c r="E3156" s="96"/>
    </row>
    <row r="3157" spans="5:5">
      <c r="E3157" s="96"/>
    </row>
    <row r="3158" spans="5:5">
      <c r="E3158" s="96"/>
    </row>
    <row r="3159" spans="5:5">
      <c r="E3159" s="96"/>
    </row>
    <row r="3160" spans="5:5">
      <c r="E3160" s="96"/>
    </row>
    <row r="3161" spans="5:5">
      <c r="E3161" s="96"/>
    </row>
    <row r="3162" spans="5:5">
      <c r="E3162" s="96"/>
    </row>
    <row r="3163" spans="5:5">
      <c r="E3163" s="96"/>
    </row>
    <row r="3164" spans="5:5">
      <c r="E3164" s="96"/>
    </row>
    <row r="3165" spans="5:5">
      <c r="E3165" s="96"/>
    </row>
    <row r="3166" spans="5:5">
      <c r="E3166" s="96"/>
    </row>
    <row r="3167" spans="5:5">
      <c r="E3167" s="96"/>
    </row>
    <row r="3168" spans="5:5">
      <c r="E3168" s="96"/>
    </row>
    <row r="3169" spans="5:5">
      <c r="E3169" s="96"/>
    </row>
    <row r="3170" spans="5:5">
      <c r="E3170" s="96"/>
    </row>
    <row r="3171" spans="5:5">
      <c r="E3171" s="96"/>
    </row>
    <row r="3172" spans="5:5">
      <c r="E3172" s="96"/>
    </row>
    <row r="3173" spans="5:5">
      <c r="E3173" s="96"/>
    </row>
    <row r="3174" spans="5:5">
      <c r="E3174" s="96"/>
    </row>
    <row r="3175" spans="5:5">
      <c r="E3175" s="96"/>
    </row>
    <row r="3176" spans="5:5">
      <c r="E3176" s="96"/>
    </row>
    <row r="3177" spans="5:5">
      <c r="E3177" s="96"/>
    </row>
    <row r="3178" spans="5:5">
      <c r="E3178" s="96"/>
    </row>
    <row r="3179" spans="5:5">
      <c r="E3179" s="96"/>
    </row>
    <row r="3180" spans="5:5">
      <c r="E3180" s="96"/>
    </row>
    <row r="3181" spans="5:5">
      <c r="E3181" s="96"/>
    </row>
    <row r="3182" spans="5:5">
      <c r="E3182" s="96"/>
    </row>
    <row r="3183" spans="5:5">
      <c r="E3183" s="96"/>
    </row>
    <row r="3184" spans="5:5">
      <c r="E3184" s="96"/>
    </row>
    <row r="3185" spans="5:5">
      <c r="E3185" s="96"/>
    </row>
    <row r="3186" spans="5:5">
      <c r="E3186" s="96"/>
    </row>
    <row r="3187" spans="5:5">
      <c r="E3187" s="96"/>
    </row>
    <row r="3188" spans="5:5">
      <c r="E3188" s="96"/>
    </row>
    <row r="3189" spans="5:5">
      <c r="E3189" s="96"/>
    </row>
    <row r="3190" spans="5:5">
      <c r="E3190" s="96"/>
    </row>
    <row r="3191" spans="5:5">
      <c r="E3191" s="96"/>
    </row>
    <row r="3192" spans="5:5">
      <c r="E3192" s="96"/>
    </row>
    <row r="3193" spans="5:5">
      <c r="E3193" s="96"/>
    </row>
    <row r="3194" spans="5:5">
      <c r="E3194" s="96"/>
    </row>
    <row r="3195" spans="5:5">
      <c r="E3195" s="96"/>
    </row>
    <row r="3196" spans="5:5">
      <c r="E3196" s="96"/>
    </row>
    <row r="3197" spans="5:5">
      <c r="E3197" s="96"/>
    </row>
    <row r="3198" spans="5:5">
      <c r="E3198" s="96"/>
    </row>
    <row r="3199" spans="5:5">
      <c r="E3199" s="96"/>
    </row>
    <row r="3200" spans="5:5">
      <c r="E3200" s="96"/>
    </row>
    <row r="3201" spans="5:5">
      <c r="E3201" s="96"/>
    </row>
    <row r="3202" spans="5:5">
      <c r="E3202" s="96"/>
    </row>
    <row r="3203" spans="5:5">
      <c r="E3203" s="96"/>
    </row>
    <row r="3204" spans="5:5">
      <c r="E3204" s="96"/>
    </row>
    <row r="3205" spans="5:5">
      <c r="E3205" s="96"/>
    </row>
    <row r="3206" spans="5:5">
      <c r="E3206" s="96"/>
    </row>
    <row r="3207" spans="5:5">
      <c r="E3207" s="96"/>
    </row>
    <row r="3208" spans="5:5">
      <c r="E3208" s="96"/>
    </row>
    <row r="3209" spans="5:5">
      <c r="E3209" s="96"/>
    </row>
    <row r="3210" spans="5:5">
      <c r="E3210" s="96"/>
    </row>
    <row r="3211" spans="5:5">
      <c r="E3211" s="96"/>
    </row>
    <row r="3212" spans="5:5">
      <c r="E3212" s="96"/>
    </row>
    <row r="3213" spans="5:5">
      <c r="E3213" s="96"/>
    </row>
    <row r="3214" spans="5:5">
      <c r="E3214" s="96"/>
    </row>
    <row r="3215" spans="5:5">
      <c r="E3215" s="96"/>
    </row>
    <row r="3216" spans="5:5">
      <c r="E3216" s="96"/>
    </row>
    <row r="3217" spans="5:5">
      <c r="E3217" s="96"/>
    </row>
    <row r="3218" spans="5:5">
      <c r="E3218" s="96"/>
    </row>
    <row r="3219" spans="5:5">
      <c r="E3219" s="96"/>
    </row>
    <row r="3220" spans="5:5">
      <c r="E3220" s="96"/>
    </row>
    <row r="3221" spans="5:5">
      <c r="E3221" s="96"/>
    </row>
    <row r="3222" spans="5:5">
      <c r="E3222" s="96"/>
    </row>
    <row r="3223" spans="5:5">
      <c r="E3223" s="96"/>
    </row>
    <row r="3224" spans="5:5">
      <c r="E3224" s="96"/>
    </row>
    <row r="3225" spans="5:5">
      <c r="E3225" s="96"/>
    </row>
    <row r="3226" spans="5:5">
      <c r="E3226" s="96"/>
    </row>
    <row r="3227" spans="5:5">
      <c r="E3227" s="96"/>
    </row>
    <row r="3228" spans="5:5">
      <c r="E3228" s="96"/>
    </row>
    <row r="3229" spans="5:5">
      <c r="E3229" s="96"/>
    </row>
    <row r="3230" spans="5:5">
      <c r="E3230" s="96"/>
    </row>
    <row r="3231" spans="5:5">
      <c r="E3231" s="96"/>
    </row>
    <row r="3232" spans="5:5">
      <c r="E3232" s="96"/>
    </row>
    <row r="3233" spans="5:5">
      <c r="E3233" s="96"/>
    </row>
    <row r="3234" spans="5:5">
      <c r="E3234" s="96"/>
    </row>
    <row r="3235" spans="5:5">
      <c r="E3235" s="96"/>
    </row>
    <row r="3236" spans="5:5">
      <c r="E3236" s="96"/>
    </row>
    <row r="3237" spans="5:5">
      <c r="E3237" s="96"/>
    </row>
    <row r="3238" spans="5:5">
      <c r="E3238" s="96"/>
    </row>
    <row r="3239" spans="5:5">
      <c r="E3239" s="96"/>
    </row>
    <row r="3240" spans="5:5">
      <c r="E3240" s="96"/>
    </row>
    <row r="3241" spans="5:5">
      <c r="E3241" s="96"/>
    </row>
    <row r="3242" spans="5:5">
      <c r="E3242" s="96"/>
    </row>
    <row r="3243" spans="5:5">
      <c r="E3243" s="96"/>
    </row>
    <row r="3244" spans="5:5">
      <c r="E3244" s="96"/>
    </row>
    <row r="3245" spans="5:5">
      <c r="E3245" s="96"/>
    </row>
    <row r="3246" spans="5:5">
      <c r="E3246" s="96"/>
    </row>
    <row r="3247" spans="5:5">
      <c r="E3247" s="96"/>
    </row>
    <row r="3248" spans="5:5">
      <c r="E3248" s="96"/>
    </row>
    <row r="3249" spans="5:5">
      <c r="E3249" s="96"/>
    </row>
    <row r="3250" spans="5:5">
      <c r="E3250" s="96"/>
    </row>
    <row r="3251" spans="5:5">
      <c r="E3251" s="96"/>
    </row>
    <row r="3252" spans="5:5">
      <c r="E3252" s="96"/>
    </row>
    <row r="3253" spans="5:5">
      <c r="E3253" s="96"/>
    </row>
    <row r="3254" spans="5:5">
      <c r="E3254" s="96"/>
    </row>
    <row r="3255" spans="5:5">
      <c r="E3255" s="96"/>
    </row>
    <row r="3256" spans="5:5">
      <c r="E3256" s="96"/>
    </row>
    <row r="3257" spans="5:5">
      <c r="E3257" s="96"/>
    </row>
    <row r="3258" spans="5:5">
      <c r="E3258" s="96"/>
    </row>
    <row r="3259" spans="5:5">
      <c r="E3259" s="96"/>
    </row>
    <row r="3260" spans="5:5">
      <c r="E3260" s="96"/>
    </row>
    <row r="3261" spans="5:5">
      <c r="E3261" s="96"/>
    </row>
    <row r="3262" spans="5:5">
      <c r="E3262" s="96"/>
    </row>
    <row r="3263" spans="5:5">
      <c r="E3263" s="96"/>
    </row>
    <row r="3264" spans="5:5">
      <c r="E3264" s="96"/>
    </row>
    <row r="3265" spans="5:5">
      <c r="E3265" s="96"/>
    </row>
    <row r="3266" spans="5:5">
      <c r="E3266" s="96"/>
    </row>
    <row r="3267" spans="5:5">
      <c r="E3267" s="96"/>
    </row>
    <row r="3268" spans="5:5">
      <c r="E3268" s="96"/>
    </row>
    <row r="3269" spans="5:5">
      <c r="E3269" s="96"/>
    </row>
    <row r="3270" spans="5:5">
      <c r="E3270" s="96"/>
    </row>
    <row r="3271" spans="5:5">
      <c r="E3271" s="96"/>
    </row>
    <row r="3272" spans="5:5">
      <c r="E3272" s="96"/>
    </row>
    <row r="3273" spans="5:5">
      <c r="E3273" s="96"/>
    </row>
    <row r="3274" spans="5:5">
      <c r="E3274" s="96"/>
    </row>
    <row r="3275" spans="5:5">
      <c r="E3275" s="96"/>
    </row>
    <row r="3276" spans="5:5">
      <c r="E3276" s="96"/>
    </row>
    <row r="3277" spans="5:5">
      <c r="E3277" s="96"/>
    </row>
    <row r="3278" spans="5:5">
      <c r="E3278" s="96"/>
    </row>
    <row r="3279" spans="5:5">
      <c r="E3279" s="96"/>
    </row>
    <row r="3280" spans="5:5">
      <c r="E3280" s="96"/>
    </row>
    <row r="3281" spans="5:5">
      <c r="E3281" s="96"/>
    </row>
    <row r="3282" spans="5:5">
      <c r="E3282" s="96"/>
    </row>
    <row r="3283" spans="5:5">
      <c r="E3283" s="96"/>
    </row>
    <row r="3284" spans="5:5">
      <c r="E3284" s="96"/>
    </row>
    <row r="3285" spans="5:5">
      <c r="E3285" s="96"/>
    </row>
    <row r="3286" spans="5:5">
      <c r="E3286" s="96"/>
    </row>
    <row r="3287" spans="5:5">
      <c r="E3287" s="96"/>
    </row>
    <row r="3288" spans="5:5">
      <c r="E3288" s="96"/>
    </row>
    <row r="3289" spans="5:5">
      <c r="E3289" s="96"/>
    </row>
    <row r="3290" spans="5:5">
      <c r="E3290" s="96"/>
    </row>
    <row r="3291" spans="5:5">
      <c r="E3291" s="96"/>
    </row>
    <row r="3292" spans="5:5">
      <c r="E3292" s="96"/>
    </row>
    <row r="3293" spans="5:5">
      <c r="E3293" s="96"/>
    </row>
    <row r="3294" spans="5:5">
      <c r="E3294" s="96"/>
    </row>
    <row r="3295" spans="5:5">
      <c r="E3295" s="96"/>
    </row>
    <row r="3296" spans="5:5">
      <c r="E3296" s="96"/>
    </row>
    <row r="3297" spans="5:5">
      <c r="E3297" s="96"/>
    </row>
    <row r="3298" spans="5:5">
      <c r="E3298" s="96"/>
    </row>
    <row r="3299" spans="5:5">
      <c r="E3299" s="96"/>
    </row>
    <row r="3300" spans="5:5">
      <c r="E3300" s="96"/>
    </row>
    <row r="3301" spans="5:5">
      <c r="E3301" s="96"/>
    </row>
    <row r="3302" spans="5:5">
      <c r="E3302" s="96"/>
    </row>
    <row r="3303" spans="5:5">
      <c r="E3303" s="96"/>
    </row>
    <row r="3304" spans="5:5">
      <c r="E3304" s="96"/>
    </row>
    <row r="3305" spans="5:5">
      <c r="E3305" s="96"/>
    </row>
    <row r="3306" spans="5:5">
      <c r="E3306" s="96"/>
    </row>
    <row r="3307" spans="5:5">
      <c r="E3307" s="96"/>
    </row>
    <row r="3308" spans="5:5">
      <c r="E3308" s="96"/>
    </row>
    <row r="3309" spans="5:5">
      <c r="E3309" s="96"/>
    </row>
    <row r="3310" spans="5:5">
      <c r="E3310" s="96"/>
    </row>
    <row r="3311" spans="5:5">
      <c r="E3311" s="96"/>
    </row>
    <row r="3312" spans="5:5">
      <c r="E3312" s="96"/>
    </row>
    <row r="3313" spans="5:5">
      <c r="E3313" s="96"/>
    </row>
    <row r="3314" spans="5:5">
      <c r="E3314" s="96"/>
    </row>
    <row r="3315" spans="5:5">
      <c r="E3315" s="96"/>
    </row>
    <row r="3316" spans="5:5">
      <c r="E3316" s="96"/>
    </row>
    <row r="3317" spans="5:5">
      <c r="E3317" s="96"/>
    </row>
    <row r="3318" spans="5:5">
      <c r="E3318" s="96"/>
    </row>
    <row r="3319" spans="5:5">
      <c r="E3319" s="96"/>
    </row>
    <row r="3320" spans="5:5">
      <c r="E3320" s="96"/>
    </row>
    <row r="3321" spans="5:5">
      <c r="E3321" s="96"/>
    </row>
    <row r="3322" spans="5:5">
      <c r="E3322" s="96"/>
    </row>
    <row r="3323" spans="5:5">
      <c r="E3323" s="96"/>
    </row>
    <row r="3324" spans="5:5">
      <c r="E3324" s="96"/>
    </row>
    <row r="3325" spans="5:5">
      <c r="E3325" s="96"/>
    </row>
    <row r="3326" spans="5:5">
      <c r="E3326" s="96"/>
    </row>
    <row r="3327" spans="5:5">
      <c r="E3327" s="96"/>
    </row>
    <row r="3328" spans="5:5">
      <c r="E3328" s="96"/>
    </row>
    <row r="3329" spans="5:5">
      <c r="E3329" s="96"/>
    </row>
    <row r="3330" spans="5:5">
      <c r="E3330" s="96"/>
    </row>
    <row r="3331" spans="5:5">
      <c r="E3331" s="96"/>
    </row>
    <row r="3332" spans="5:5">
      <c r="E3332" s="96"/>
    </row>
    <row r="3333" spans="5:5">
      <c r="E3333" s="96"/>
    </row>
    <row r="3334" spans="5:5">
      <c r="E3334" s="96"/>
    </row>
    <row r="3335" spans="5:5">
      <c r="E3335" s="96"/>
    </row>
    <row r="3336" spans="5:5">
      <c r="E3336" s="96"/>
    </row>
    <row r="3337" spans="5:5">
      <c r="E3337" s="96"/>
    </row>
    <row r="3338" spans="5:5">
      <c r="E3338" s="96"/>
    </row>
    <row r="3339" spans="5:5">
      <c r="E3339" s="96"/>
    </row>
    <row r="3340" spans="5:5">
      <c r="E3340" s="96"/>
    </row>
    <row r="3341" spans="5:5">
      <c r="E3341" s="96"/>
    </row>
    <row r="3342" spans="5:5">
      <c r="E3342" s="96"/>
    </row>
    <row r="3343" spans="5:5">
      <c r="E3343" s="96"/>
    </row>
    <row r="3344" spans="5:5">
      <c r="E3344" s="96"/>
    </row>
    <row r="3345" spans="5:5">
      <c r="E3345" s="96"/>
    </row>
    <row r="3346" spans="5:5">
      <c r="E3346" s="96"/>
    </row>
    <row r="3347" spans="5:5">
      <c r="E3347" s="96"/>
    </row>
    <row r="3348" spans="5:5">
      <c r="E3348" s="96"/>
    </row>
    <row r="3349" spans="5:5">
      <c r="E3349" s="96"/>
    </row>
    <row r="3350" spans="5:5">
      <c r="E3350" s="96"/>
    </row>
    <row r="3351" spans="5:5">
      <c r="E3351" s="96"/>
    </row>
    <row r="3352" spans="5:5">
      <c r="E3352" s="96"/>
    </row>
    <row r="3353" spans="5:5">
      <c r="E3353" s="96"/>
    </row>
    <row r="3354" spans="5:5">
      <c r="E3354" s="96"/>
    </row>
    <row r="3355" spans="5:5">
      <c r="E3355" s="96"/>
    </row>
    <row r="3356" spans="5:5">
      <c r="E3356" s="96"/>
    </row>
    <row r="3357" spans="5:5">
      <c r="E3357" s="96"/>
    </row>
    <row r="3358" spans="5:5">
      <c r="E3358" s="96"/>
    </row>
    <row r="3359" spans="5:5">
      <c r="E3359" s="96"/>
    </row>
    <row r="3360" spans="5:5">
      <c r="E3360" s="96"/>
    </row>
    <row r="3361" spans="5:5">
      <c r="E3361" s="96"/>
    </row>
    <row r="3362" spans="5:5">
      <c r="E3362" s="96"/>
    </row>
    <row r="3363" spans="5:5">
      <c r="E3363" s="96"/>
    </row>
    <row r="3364" spans="5:5">
      <c r="E3364" s="96"/>
    </row>
    <row r="3365" spans="5:5">
      <c r="E3365" s="96"/>
    </row>
    <row r="3366" spans="5:5">
      <c r="E3366" s="96"/>
    </row>
    <row r="3367" spans="5:5">
      <c r="E3367" s="96"/>
    </row>
    <row r="3368" spans="5:5">
      <c r="E3368" s="96"/>
    </row>
    <row r="3369" spans="5:5">
      <c r="E3369" s="96"/>
    </row>
    <row r="3370" spans="5:5">
      <c r="E3370" s="96"/>
    </row>
    <row r="3371" spans="5:5">
      <c r="E3371" s="96"/>
    </row>
    <row r="3372" spans="5:5">
      <c r="E3372" s="96"/>
    </row>
    <row r="3373" spans="5:5">
      <c r="E3373" s="96"/>
    </row>
    <row r="3374" spans="5:5">
      <c r="E3374" s="96"/>
    </row>
    <row r="3375" spans="5:5">
      <c r="E3375" s="96"/>
    </row>
    <row r="3376" spans="5:5">
      <c r="E3376" s="96"/>
    </row>
    <row r="3377" spans="5:5">
      <c r="E3377" s="96"/>
    </row>
    <row r="3378" spans="5:5">
      <c r="E3378" s="96"/>
    </row>
    <row r="3379" spans="5:5">
      <c r="E3379" s="96"/>
    </row>
    <row r="3380" spans="5:5">
      <c r="E3380" s="96"/>
    </row>
    <row r="3381" spans="5:5">
      <c r="E3381" s="96"/>
    </row>
    <row r="3382" spans="5:5">
      <c r="E3382" s="96"/>
    </row>
    <row r="3383" spans="5:5">
      <c r="E3383" s="96"/>
    </row>
    <row r="3384" spans="5:5">
      <c r="E3384" s="96"/>
    </row>
    <row r="3385" spans="5:5">
      <c r="E3385" s="96"/>
    </row>
    <row r="3386" spans="5:5">
      <c r="E3386" s="96"/>
    </row>
    <row r="3387" spans="5:5">
      <c r="E3387" s="96"/>
    </row>
    <row r="3388" spans="5:5">
      <c r="E3388" s="96"/>
    </row>
    <row r="3389" spans="5:5">
      <c r="E3389" s="96"/>
    </row>
    <row r="3390" spans="5:5">
      <c r="E3390" s="96"/>
    </row>
    <row r="3391" spans="5:5">
      <c r="E3391" s="96"/>
    </row>
    <row r="3392" spans="5:5">
      <c r="E3392" s="96"/>
    </row>
    <row r="3393" spans="5:5">
      <c r="E3393" s="96"/>
    </row>
    <row r="3394" spans="5:5">
      <c r="E3394" s="96"/>
    </row>
    <row r="3395" spans="5:5">
      <c r="E3395" s="96"/>
    </row>
    <row r="3396" spans="5:5">
      <c r="E3396" s="96"/>
    </row>
    <row r="3397" spans="5:5">
      <c r="E3397" s="96"/>
    </row>
    <row r="3398" spans="5:5">
      <c r="E3398" s="96"/>
    </row>
    <row r="3399" spans="5:5">
      <c r="E3399" s="96"/>
    </row>
    <row r="3400" spans="5:5">
      <c r="E3400" s="96"/>
    </row>
    <row r="3401" spans="5:5">
      <c r="E3401" s="96"/>
    </row>
    <row r="3402" spans="5:5">
      <c r="E3402" s="96"/>
    </row>
    <row r="3403" spans="5:5">
      <c r="E3403" s="96"/>
    </row>
    <row r="3404" spans="5:5">
      <c r="E3404" s="96"/>
    </row>
    <row r="3405" spans="5:5">
      <c r="E3405" s="96"/>
    </row>
    <row r="3406" spans="5:5">
      <c r="E3406" s="96"/>
    </row>
    <row r="3407" spans="5:5">
      <c r="E3407" s="96"/>
    </row>
    <row r="3408" spans="5:5">
      <c r="E3408" s="96"/>
    </row>
    <row r="3409" spans="5:5">
      <c r="E3409" s="96"/>
    </row>
    <row r="3410" spans="5:5">
      <c r="E3410" s="96"/>
    </row>
    <row r="3411" spans="5:5">
      <c r="E3411" s="96"/>
    </row>
    <row r="3412" spans="5:5">
      <c r="E3412" s="96"/>
    </row>
    <row r="3413" spans="5:5">
      <c r="E3413" s="96"/>
    </row>
    <row r="3414" spans="5:5">
      <c r="E3414" s="96"/>
    </row>
    <row r="3415" spans="5:5">
      <c r="E3415" s="96"/>
    </row>
    <row r="3416" spans="5:5">
      <c r="E3416" s="96"/>
    </row>
    <row r="3417" spans="5:5">
      <c r="E3417" s="96"/>
    </row>
    <row r="3418" spans="5:5">
      <c r="E3418" s="96"/>
    </row>
    <row r="3419" spans="5:5">
      <c r="E3419" s="96"/>
    </row>
    <row r="3420" spans="5:5">
      <c r="E3420" s="96"/>
    </row>
    <row r="3421" spans="5:5">
      <c r="E3421" s="96"/>
    </row>
    <row r="3422" spans="5:5">
      <c r="E3422" s="96"/>
    </row>
    <row r="3423" spans="5:5">
      <c r="E3423" s="96"/>
    </row>
    <row r="3424" spans="5:5">
      <c r="E3424" s="96"/>
    </row>
    <row r="3425" spans="5:5">
      <c r="E3425" s="96"/>
    </row>
  </sheetData>
  <autoFilter ref="A1:L342">
    <sortState ref="A2:L342">
      <sortCondition ref="J1:J342"/>
    </sortState>
  </autoFilter>
  <sortState ref="A2:K693">
    <sortCondition ref="B1"/>
  </sortState>
  <pageMargins left="0.7" right="0.7" top="0.75" bottom="0.75" header="0.3" footer="0.3"/>
  <pageSetup paperSize="5" scale="75" fitToHeight="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008"/>
  <sheetViews>
    <sheetView zoomScale="70" zoomScaleNormal="70" workbookViewId="0">
      <pane ySplit="1" topLeftCell="A2" activePane="bottomLeft" state="frozen"/>
      <selection pane="bottomLeft" activeCell="B16" sqref="B16"/>
    </sheetView>
  </sheetViews>
  <sheetFormatPr defaultRowHeight="15"/>
  <cols>
    <col min="1" max="1" width="11.85546875" style="248" customWidth="1"/>
    <col min="2" max="2" width="47.85546875" style="251" customWidth="1"/>
    <col min="3" max="3" width="21.7109375" style="192" customWidth="1"/>
    <col min="4" max="4" width="48.42578125" style="199" customWidth="1"/>
    <col min="5" max="5" width="24.140625" style="249" customWidth="1"/>
    <col min="6" max="6" width="19" style="248" customWidth="1"/>
    <col min="7" max="7" width="22" style="249" customWidth="1"/>
    <col min="8" max="8" width="11.140625" style="248" bestFit="1" customWidth="1"/>
    <col min="9" max="16384" width="9.140625" style="248"/>
  </cols>
  <sheetData>
    <row r="1" spans="1:7" s="247" customFormat="1" ht="85.5" customHeight="1" thickBot="1">
      <c r="A1" s="258" t="s">
        <v>0</v>
      </c>
      <c r="B1" s="259" t="s">
        <v>18</v>
      </c>
      <c r="C1" s="260" t="s">
        <v>19</v>
      </c>
      <c r="D1" s="261" t="s">
        <v>21</v>
      </c>
      <c r="E1" s="262" t="s">
        <v>86</v>
      </c>
      <c r="F1" s="259" t="s">
        <v>68</v>
      </c>
      <c r="G1" s="263" t="s">
        <v>457</v>
      </c>
    </row>
    <row r="2" spans="1:7">
      <c r="A2" s="185"/>
      <c r="B2" s="185"/>
      <c r="C2" s="189"/>
      <c r="D2" s="264"/>
      <c r="E2" s="186"/>
      <c r="F2" s="185"/>
      <c r="G2" s="186"/>
    </row>
    <row r="3" spans="1:7">
      <c r="A3" s="151"/>
      <c r="B3" s="241"/>
      <c r="C3" s="235"/>
      <c r="D3" s="265"/>
      <c r="E3" s="232"/>
      <c r="F3" s="151"/>
      <c r="G3" s="120"/>
    </row>
    <row r="4" spans="1:7">
      <c r="A4" s="151"/>
      <c r="B4" s="93"/>
      <c r="C4" s="82"/>
      <c r="D4" s="93"/>
      <c r="E4" s="140"/>
      <c r="F4" s="151"/>
      <c r="G4" s="120"/>
    </row>
    <row r="5" spans="1:7">
      <c r="A5" s="151"/>
      <c r="B5" s="151"/>
      <c r="C5" s="82"/>
      <c r="D5" s="266"/>
      <c r="E5" s="120"/>
      <c r="F5" s="151"/>
      <c r="G5" s="120"/>
    </row>
    <row r="6" spans="1:7">
      <c r="A6" s="151"/>
      <c r="B6" s="151"/>
      <c r="C6" s="82"/>
      <c r="D6" s="266"/>
      <c r="E6" s="120"/>
      <c r="F6" s="151"/>
      <c r="G6" s="120"/>
    </row>
    <row r="7" spans="1:7">
      <c r="A7" s="151"/>
      <c r="B7" s="151"/>
      <c r="C7" s="82"/>
      <c r="D7" s="266"/>
      <c r="E7" s="120"/>
      <c r="F7" s="151"/>
      <c r="G7" s="120"/>
    </row>
    <row r="8" spans="1:7">
      <c r="A8" s="151"/>
      <c r="B8" s="151"/>
      <c r="C8" s="82"/>
      <c r="D8" s="266"/>
      <c r="E8" s="120"/>
      <c r="F8" s="151"/>
      <c r="G8" s="120"/>
    </row>
    <row r="9" spans="1:7">
      <c r="A9" s="151"/>
      <c r="B9" s="151"/>
      <c r="C9" s="82"/>
      <c r="D9" s="266"/>
      <c r="E9" s="120"/>
      <c r="F9" s="151"/>
      <c r="G9" s="120"/>
    </row>
    <row r="10" spans="1:7">
      <c r="A10" s="151"/>
      <c r="B10" s="151"/>
      <c r="C10" s="82"/>
      <c r="D10" s="151"/>
      <c r="E10" s="120"/>
      <c r="F10" s="151"/>
      <c r="G10" s="120"/>
    </row>
    <row r="11" spans="1:7">
      <c r="A11" s="151"/>
      <c r="B11" s="151"/>
      <c r="C11" s="82"/>
      <c r="D11" s="266"/>
      <c r="E11" s="120"/>
      <c r="F11" s="151"/>
      <c r="G11" s="120"/>
    </row>
    <row r="12" spans="1:7">
      <c r="A12" s="151"/>
      <c r="B12" s="151"/>
      <c r="C12" s="82"/>
      <c r="D12" s="266"/>
      <c r="E12" s="120"/>
      <c r="F12" s="151"/>
      <c r="G12" s="120"/>
    </row>
    <row r="13" spans="1:7">
      <c r="A13" s="151"/>
      <c r="B13" s="151"/>
      <c r="C13" s="82"/>
      <c r="D13" s="93"/>
      <c r="E13" s="120"/>
      <c r="F13" s="151"/>
      <c r="G13" s="120"/>
    </row>
    <row r="14" spans="1:7">
      <c r="A14" s="151"/>
      <c r="B14" s="151"/>
      <c r="C14" s="82"/>
      <c r="D14" s="151"/>
      <c r="E14" s="120"/>
      <c r="F14" s="151"/>
      <c r="G14" s="120"/>
    </row>
    <row r="15" spans="1:7">
      <c r="A15" s="151"/>
      <c r="B15" s="151"/>
      <c r="C15" s="82"/>
      <c r="D15" s="151"/>
      <c r="E15" s="120"/>
      <c r="F15" s="151"/>
      <c r="G15" s="120"/>
    </row>
    <row r="16" spans="1:7">
      <c r="A16" s="151"/>
      <c r="B16" s="151"/>
      <c r="C16" s="82"/>
      <c r="D16" s="151"/>
      <c r="E16" s="120"/>
      <c r="F16" s="151"/>
      <c r="G16" s="120"/>
    </row>
    <row r="17" spans="1:7">
      <c r="A17" s="151"/>
      <c r="B17" s="151"/>
      <c r="C17" s="82"/>
      <c r="D17" s="151"/>
      <c r="E17" s="120"/>
      <c r="F17" s="151"/>
      <c r="G17" s="120"/>
    </row>
    <row r="18" spans="1:7">
      <c r="A18" s="151"/>
      <c r="B18" s="151"/>
      <c r="C18" s="82"/>
      <c r="D18" s="151"/>
      <c r="E18" s="120"/>
      <c r="F18" s="151"/>
      <c r="G18" s="120"/>
    </row>
    <row r="19" spans="1:7">
      <c r="A19" s="151"/>
      <c r="B19" s="151"/>
      <c r="C19" s="82"/>
      <c r="D19" s="151"/>
      <c r="E19" s="120"/>
      <c r="F19" s="151"/>
      <c r="G19" s="120"/>
    </row>
    <row r="20" spans="1:7">
      <c r="A20" s="151"/>
      <c r="B20" s="151"/>
      <c r="C20" s="82"/>
      <c r="D20" s="266"/>
      <c r="E20" s="120"/>
      <c r="F20" s="151"/>
      <c r="G20" s="120"/>
    </row>
    <row r="21" spans="1:7">
      <c r="A21" s="151"/>
      <c r="B21" s="151"/>
      <c r="C21" s="82"/>
      <c r="D21" s="93"/>
      <c r="E21" s="120"/>
      <c r="F21" s="151"/>
      <c r="G21" s="120"/>
    </row>
    <row r="22" spans="1:7">
      <c r="A22" s="151"/>
      <c r="B22" s="151"/>
      <c r="C22" s="82"/>
      <c r="D22" s="93"/>
      <c r="E22" s="120"/>
      <c r="F22" s="151"/>
      <c r="G22" s="120"/>
    </row>
    <row r="23" spans="1:7">
      <c r="A23" s="151"/>
      <c r="B23" s="151"/>
      <c r="C23" s="82"/>
      <c r="D23" s="93"/>
      <c r="E23" s="120"/>
      <c r="F23" s="151"/>
      <c r="G23" s="120"/>
    </row>
    <row r="24" spans="1:7">
      <c r="A24" s="151"/>
      <c r="B24" s="151"/>
      <c r="C24" s="82"/>
      <c r="D24" s="151"/>
      <c r="E24" s="120"/>
      <c r="F24" s="151"/>
      <c r="G24" s="120"/>
    </row>
    <row r="25" spans="1:7">
      <c r="A25" s="151"/>
      <c r="B25" s="151"/>
      <c r="C25" s="82"/>
      <c r="D25" s="151"/>
      <c r="E25" s="120"/>
      <c r="F25" s="151"/>
      <c r="G25" s="120"/>
    </row>
    <row r="26" spans="1:7">
      <c r="A26" s="151"/>
      <c r="B26" s="151"/>
      <c r="C26" s="182"/>
      <c r="D26" s="93"/>
      <c r="E26" s="120"/>
      <c r="F26" s="151"/>
      <c r="G26" s="120"/>
    </row>
    <row r="27" spans="1:7">
      <c r="A27" s="151"/>
      <c r="B27" s="93"/>
      <c r="C27" s="82"/>
      <c r="D27" s="125"/>
      <c r="E27" s="140"/>
      <c r="F27" s="151"/>
      <c r="G27" s="120"/>
    </row>
    <row r="28" spans="1:7">
      <c r="A28" s="151"/>
      <c r="B28" s="151"/>
      <c r="C28" s="188"/>
      <c r="D28" s="266"/>
      <c r="E28" s="120"/>
      <c r="F28" s="151"/>
      <c r="G28" s="120"/>
    </row>
    <row r="29" spans="1:7">
      <c r="A29" s="151"/>
      <c r="B29" s="151"/>
      <c r="C29" s="188"/>
      <c r="D29" s="266"/>
      <c r="E29" s="120"/>
      <c r="F29" s="151"/>
      <c r="G29" s="120"/>
    </row>
    <row r="30" spans="1:7">
      <c r="A30" s="151"/>
      <c r="B30" s="151"/>
      <c r="C30" s="188"/>
      <c r="D30" s="266"/>
      <c r="E30" s="120"/>
      <c r="F30" s="151"/>
      <c r="G30" s="120"/>
    </row>
    <row r="31" spans="1:7">
      <c r="A31" s="151"/>
      <c r="B31" s="151"/>
      <c r="C31" s="188"/>
      <c r="D31" s="266"/>
      <c r="E31" s="120"/>
      <c r="F31" s="151"/>
      <c r="G31" s="120"/>
    </row>
    <row r="32" spans="1:7">
      <c r="A32" s="151"/>
      <c r="B32" s="151"/>
      <c r="C32" s="188"/>
      <c r="D32" s="266"/>
      <c r="E32" s="120"/>
      <c r="F32" s="151"/>
      <c r="G32" s="120"/>
    </row>
    <row r="33" spans="1:8">
      <c r="A33" s="151"/>
      <c r="B33" s="151"/>
      <c r="C33" s="188"/>
      <c r="D33" s="266"/>
      <c r="E33" s="120"/>
      <c r="F33" s="151"/>
      <c r="G33" s="120"/>
    </row>
    <row r="34" spans="1:8">
      <c r="A34" s="151"/>
      <c r="B34" s="151"/>
      <c r="C34" s="188"/>
      <c r="D34" s="151"/>
      <c r="E34" s="120"/>
      <c r="F34" s="151"/>
      <c r="G34" s="120"/>
    </row>
    <row r="35" spans="1:8">
      <c r="A35" s="151"/>
      <c r="B35" s="151"/>
      <c r="C35" s="188"/>
      <c r="D35" s="151"/>
      <c r="E35" s="120"/>
      <c r="F35" s="151"/>
      <c r="G35" s="120"/>
    </row>
    <row r="36" spans="1:8">
      <c r="A36" s="151"/>
      <c r="B36" s="151"/>
      <c r="C36" s="82"/>
      <c r="D36" s="93"/>
      <c r="E36" s="120"/>
      <c r="F36" s="151"/>
      <c r="G36" s="120"/>
    </row>
    <row r="37" spans="1:8">
      <c r="A37" s="151"/>
      <c r="B37" s="151"/>
      <c r="C37" s="82"/>
      <c r="D37" s="93"/>
      <c r="E37" s="120"/>
      <c r="F37" s="151"/>
      <c r="G37" s="120"/>
    </row>
    <row r="38" spans="1:8" ht="16.5" customHeight="1">
      <c r="A38" s="151"/>
      <c r="B38" s="151"/>
      <c r="C38" s="82"/>
      <c r="D38" s="93"/>
      <c r="E38" s="120"/>
      <c r="F38" s="151"/>
      <c r="G38" s="120"/>
    </row>
    <row r="39" spans="1:8">
      <c r="A39" s="151"/>
      <c r="B39" s="151"/>
      <c r="C39" s="82"/>
      <c r="D39" s="93"/>
      <c r="E39" s="120"/>
      <c r="F39" s="151"/>
      <c r="G39" s="120"/>
    </row>
    <row r="40" spans="1:8">
      <c r="A40" s="151"/>
      <c r="B40" s="151"/>
      <c r="C40" s="82"/>
      <c r="D40" s="93"/>
      <c r="E40" s="120"/>
      <c r="F40" s="151"/>
      <c r="G40" s="120"/>
    </row>
    <row r="41" spans="1:8">
      <c r="A41" s="151"/>
      <c r="B41" s="151"/>
      <c r="C41" s="82"/>
      <c r="D41" s="93"/>
      <c r="E41" s="120"/>
      <c r="F41" s="151"/>
      <c r="G41" s="120"/>
    </row>
    <row r="42" spans="1:8">
      <c r="A42" s="151"/>
      <c r="B42" s="151"/>
      <c r="C42" s="82"/>
      <c r="D42" s="93"/>
      <c r="E42" s="120"/>
      <c r="F42" s="151"/>
      <c r="G42" s="120"/>
    </row>
    <row r="43" spans="1:8">
      <c r="A43" s="151"/>
      <c r="B43" s="227"/>
      <c r="C43" s="236"/>
      <c r="D43" s="227"/>
      <c r="E43" s="237"/>
      <c r="F43" s="151"/>
      <c r="G43" s="120"/>
      <c r="H43" s="250"/>
    </row>
    <row r="44" spans="1:8">
      <c r="A44" s="151"/>
      <c r="B44" s="227"/>
      <c r="C44" s="236"/>
      <c r="D44" s="266"/>
      <c r="E44" s="237"/>
      <c r="F44" s="151"/>
      <c r="G44" s="120"/>
    </row>
    <row r="45" spans="1:8">
      <c r="A45" s="151"/>
      <c r="B45" s="227"/>
      <c r="C45" s="236"/>
      <c r="D45" s="227"/>
      <c r="E45" s="237"/>
      <c r="F45" s="151"/>
      <c r="G45" s="120"/>
    </row>
    <row r="46" spans="1:8">
      <c r="A46" s="151"/>
      <c r="B46" s="227"/>
      <c r="C46" s="236"/>
      <c r="D46" s="266"/>
      <c r="E46" s="237"/>
      <c r="F46" s="151"/>
      <c r="G46" s="120"/>
    </row>
    <row r="47" spans="1:8">
      <c r="A47" s="151"/>
      <c r="B47" s="227"/>
      <c r="C47" s="236"/>
      <c r="D47" s="266"/>
      <c r="E47" s="237"/>
      <c r="F47" s="151"/>
      <c r="G47" s="120"/>
    </row>
    <row r="48" spans="1:8">
      <c r="A48" s="151"/>
      <c r="B48" s="227"/>
      <c r="C48" s="236"/>
      <c r="D48" s="266"/>
      <c r="E48" s="237"/>
      <c r="F48" s="151"/>
      <c r="G48" s="120"/>
    </row>
    <row r="49" spans="1:7">
      <c r="A49" s="151"/>
      <c r="B49" s="227"/>
      <c r="C49" s="236"/>
      <c r="D49" s="266"/>
      <c r="E49" s="237"/>
      <c r="F49" s="151"/>
      <c r="G49" s="120"/>
    </row>
    <row r="50" spans="1:7">
      <c r="A50" s="151"/>
      <c r="B50" s="227"/>
      <c r="C50" s="236"/>
      <c r="D50" s="266"/>
      <c r="E50" s="237"/>
      <c r="F50" s="151"/>
      <c r="G50" s="120"/>
    </row>
    <row r="51" spans="1:7">
      <c r="A51" s="151"/>
      <c r="B51" s="227"/>
      <c r="C51" s="236"/>
      <c r="D51" s="266"/>
      <c r="E51" s="237"/>
      <c r="F51" s="151"/>
      <c r="G51" s="120"/>
    </row>
    <row r="52" spans="1:7">
      <c r="A52" s="151"/>
      <c r="B52" s="227"/>
      <c r="C52" s="236"/>
      <c r="D52" s="266"/>
      <c r="E52" s="237"/>
      <c r="F52" s="151"/>
      <c r="G52" s="120"/>
    </row>
    <row r="53" spans="1:7">
      <c r="A53" s="151"/>
      <c r="B53" s="227"/>
      <c r="C53" s="236"/>
      <c r="D53" s="266"/>
      <c r="E53" s="237"/>
      <c r="F53" s="151"/>
      <c r="G53" s="120"/>
    </row>
    <row r="54" spans="1:7">
      <c r="A54" s="151"/>
      <c r="B54" s="227"/>
      <c r="C54" s="236"/>
      <c r="D54" s="266"/>
      <c r="E54" s="237"/>
      <c r="F54" s="151"/>
      <c r="G54" s="120"/>
    </row>
    <row r="55" spans="1:7">
      <c r="A55" s="151"/>
      <c r="B55" s="227"/>
      <c r="C55" s="236"/>
      <c r="D55" s="266"/>
      <c r="E55" s="237"/>
      <c r="F55" s="151"/>
      <c r="G55" s="120"/>
    </row>
    <row r="56" spans="1:7">
      <c r="A56" s="151"/>
      <c r="B56" s="227"/>
      <c r="C56" s="236"/>
      <c r="D56" s="266"/>
      <c r="E56" s="237"/>
      <c r="F56" s="151"/>
      <c r="G56" s="120"/>
    </row>
    <row r="57" spans="1:7">
      <c r="A57" s="151"/>
      <c r="B57" s="227"/>
      <c r="C57" s="236"/>
      <c r="D57" s="227"/>
      <c r="E57" s="237"/>
      <c r="F57" s="151"/>
      <c r="G57" s="120"/>
    </row>
    <row r="58" spans="1:7">
      <c r="A58" s="151"/>
      <c r="B58" s="227"/>
      <c r="C58" s="236"/>
      <c r="D58" s="227"/>
      <c r="E58" s="237"/>
      <c r="F58" s="151"/>
      <c r="G58" s="120"/>
    </row>
    <row r="59" spans="1:7">
      <c r="A59" s="151"/>
      <c r="B59" s="227"/>
      <c r="C59" s="236"/>
      <c r="D59" s="227"/>
      <c r="E59" s="237"/>
      <c r="F59" s="151"/>
      <c r="G59" s="120"/>
    </row>
    <row r="60" spans="1:7">
      <c r="A60" s="151"/>
      <c r="B60" s="227"/>
      <c r="C60" s="236"/>
      <c r="D60" s="227"/>
      <c r="E60" s="237"/>
      <c r="F60" s="151"/>
      <c r="G60" s="120"/>
    </row>
    <row r="61" spans="1:7">
      <c r="A61" s="151"/>
      <c r="B61" s="227"/>
      <c r="C61" s="236"/>
      <c r="D61" s="227"/>
      <c r="E61" s="237"/>
      <c r="F61" s="151"/>
      <c r="G61" s="120"/>
    </row>
    <row r="62" spans="1:7">
      <c r="A62" s="151"/>
      <c r="B62" s="227"/>
      <c r="C62" s="182"/>
      <c r="D62" s="266"/>
      <c r="E62" s="237"/>
      <c r="F62" s="151"/>
      <c r="G62" s="120"/>
    </row>
    <row r="63" spans="1:7">
      <c r="A63" s="151"/>
      <c r="B63" s="227"/>
      <c r="C63" s="182"/>
      <c r="D63" s="266"/>
      <c r="E63" s="237"/>
      <c r="F63" s="151"/>
      <c r="G63" s="120"/>
    </row>
    <row r="64" spans="1:7">
      <c r="A64" s="151"/>
      <c r="B64" s="227"/>
      <c r="C64" s="236"/>
      <c r="D64" s="227"/>
      <c r="E64" s="237"/>
      <c r="F64" s="151"/>
      <c r="G64" s="120"/>
    </row>
    <row r="65" spans="1:7">
      <c r="A65" s="151"/>
      <c r="B65" s="241"/>
      <c r="C65" s="235"/>
      <c r="D65" s="227"/>
      <c r="E65" s="232"/>
      <c r="F65" s="151"/>
      <c r="G65" s="120"/>
    </row>
    <row r="66" spans="1:7">
      <c r="A66" s="151"/>
      <c r="B66" s="151"/>
      <c r="C66" s="82"/>
      <c r="D66" s="266"/>
      <c r="E66" s="232"/>
      <c r="F66" s="151"/>
      <c r="G66" s="120"/>
    </row>
    <row r="67" spans="1:7" ht="15.75" customHeight="1">
      <c r="A67" s="151"/>
      <c r="B67" s="151"/>
      <c r="C67" s="82"/>
      <c r="D67" s="266"/>
      <c r="E67" s="120"/>
      <c r="F67" s="151"/>
      <c r="G67" s="120"/>
    </row>
    <row r="68" spans="1:7">
      <c r="A68" s="151"/>
      <c r="B68" s="151"/>
      <c r="C68" s="82"/>
      <c r="D68" s="266"/>
      <c r="E68" s="120"/>
      <c r="F68" s="151"/>
      <c r="G68" s="120"/>
    </row>
    <row r="69" spans="1:7">
      <c r="A69" s="151"/>
      <c r="B69" s="151"/>
      <c r="C69" s="82"/>
      <c r="D69" s="227"/>
      <c r="E69" s="120"/>
      <c r="F69" s="151"/>
      <c r="G69" s="120"/>
    </row>
    <row r="70" spans="1:7">
      <c r="A70" s="151"/>
      <c r="B70" s="151"/>
      <c r="C70" s="82"/>
      <c r="D70" s="93"/>
      <c r="E70" s="120"/>
      <c r="F70" s="151"/>
      <c r="G70" s="120"/>
    </row>
    <row r="71" spans="1:7">
      <c r="A71" s="151"/>
      <c r="B71" s="151"/>
      <c r="C71" s="82"/>
      <c r="D71" s="227"/>
      <c r="E71" s="120"/>
      <c r="F71" s="151"/>
      <c r="G71" s="120"/>
    </row>
    <row r="72" spans="1:7">
      <c r="A72" s="151"/>
      <c r="B72" s="151"/>
      <c r="C72" s="82"/>
      <c r="D72" s="105"/>
      <c r="E72" s="120"/>
      <c r="F72" s="151"/>
      <c r="G72" s="120"/>
    </row>
    <row r="73" spans="1:7">
      <c r="A73" s="151"/>
      <c r="B73" s="256"/>
      <c r="C73" s="82"/>
      <c r="D73" s="266"/>
      <c r="E73" s="120"/>
      <c r="F73" s="151"/>
      <c r="G73" s="120"/>
    </row>
    <row r="74" spans="1:7">
      <c r="A74" s="151"/>
      <c r="B74" s="267"/>
      <c r="C74" s="242"/>
      <c r="D74" s="227"/>
      <c r="E74" s="237"/>
      <c r="F74" s="151"/>
      <c r="G74" s="120"/>
    </row>
    <row r="75" spans="1:7">
      <c r="A75" s="151"/>
      <c r="B75" s="267"/>
      <c r="C75" s="242"/>
      <c r="D75" s="227"/>
      <c r="E75" s="237"/>
      <c r="F75" s="151"/>
      <c r="G75" s="120"/>
    </row>
    <row r="76" spans="1:7">
      <c r="A76" s="151"/>
      <c r="B76" s="227"/>
      <c r="C76" s="242"/>
      <c r="D76" s="227"/>
      <c r="E76" s="237"/>
      <c r="F76" s="151"/>
      <c r="G76" s="120"/>
    </row>
    <row r="77" spans="1:7">
      <c r="A77" s="151"/>
      <c r="B77" s="267"/>
      <c r="C77" s="242"/>
      <c r="D77" s="227"/>
      <c r="E77" s="237"/>
      <c r="F77" s="151"/>
      <c r="G77" s="120"/>
    </row>
    <row r="78" spans="1:7">
      <c r="A78" s="151"/>
      <c r="B78" s="151"/>
      <c r="C78" s="188"/>
      <c r="D78" s="105"/>
      <c r="E78" s="120"/>
      <c r="F78" s="151"/>
      <c r="G78" s="120"/>
    </row>
    <row r="79" spans="1:7">
      <c r="A79" s="151"/>
      <c r="B79" s="227"/>
      <c r="C79" s="236"/>
      <c r="D79" s="266"/>
      <c r="E79" s="237"/>
      <c r="F79" s="151"/>
      <c r="G79" s="120"/>
    </row>
    <row r="80" spans="1:7">
      <c r="A80" s="151"/>
      <c r="B80" s="227"/>
      <c r="C80" s="182"/>
      <c r="D80" s="227"/>
      <c r="E80" s="237"/>
      <c r="F80" s="151"/>
      <c r="G80" s="120"/>
    </row>
    <row r="81" spans="1:8">
      <c r="A81" s="151"/>
      <c r="B81" s="151"/>
      <c r="C81" s="82"/>
      <c r="D81" s="266"/>
      <c r="E81" s="120"/>
      <c r="F81" s="151"/>
      <c r="G81" s="120"/>
    </row>
    <row r="82" spans="1:8">
      <c r="A82" s="151"/>
      <c r="B82" s="151"/>
      <c r="C82" s="82"/>
      <c r="D82" s="151"/>
      <c r="E82" s="120"/>
      <c r="F82" s="151"/>
      <c r="G82" s="120"/>
    </row>
    <row r="83" spans="1:8">
      <c r="A83" s="151"/>
      <c r="B83" s="151"/>
      <c r="C83" s="82"/>
      <c r="D83" s="151"/>
      <c r="E83" s="120"/>
      <c r="F83" s="151"/>
      <c r="G83" s="120"/>
    </row>
    <row r="84" spans="1:8">
      <c r="A84" s="151"/>
      <c r="B84" s="151"/>
      <c r="C84" s="240"/>
      <c r="D84" s="239"/>
      <c r="E84" s="120"/>
      <c r="F84" s="151"/>
      <c r="G84" s="120"/>
    </row>
    <row r="85" spans="1:8">
      <c r="A85" s="151"/>
      <c r="B85" s="125"/>
      <c r="C85" s="82"/>
      <c r="D85" s="266"/>
      <c r="E85" s="243"/>
      <c r="F85" s="151"/>
      <c r="G85" s="120"/>
    </row>
    <row r="86" spans="1:8">
      <c r="A86" s="151"/>
      <c r="B86" s="151"/>
      <c r="C86" s="82"/>
      <c r="D86" s="266"/>
      <c r="E86" s="243"/>
      <c r="F86" s="151"/>
      <c r="G86" s="120"/>
      <c r="H86" s="250"/>
    </row>
    <row r="87" spans="1:8">
      <c r="A87" s="151"/>
      <c r="B87" s="105"/>
      <c r="C87" s="82"/>
      <c r="D87" s="105"/>
      <c r="E87" s="120"/>
      <c r="F87" s="151"/>
      <c r="G87" s="120"/>
    </row>
    <row r="88" spans="1:8">
      <c r="A88" s="151"/>
      <c r="B88" s="151"/>
      <c r="C88" s="240"/>
      <c r="D88" s="266"/>
      <c r="E88" s="120"/>
      <c r="F88" s="151"/>
      <c r="G88" s="120"/>
    </row>
    <row r="89" spans="1:8">
      <c r="A89" s="151"/>
      <c r="B89" s="105"/>
      <c r="C89" s="82"/>
      <c r="D89" s="105"/>
      <c r="E89" s="120"/>
      <c r="F89" s="151"/>
      <c r="G89" s="120"/>
    </row>
    <row r="90" spans="1:8">
      <c r="A90" s="151"/>
      <c r="B90" s="151"/>
      <c r="C90" s="82"/>
      <c r="D90" s="151"/>
      <c r="E90" s="140"/>
      <c r="F90" s="151"/>
      <c r="G90" s="120"/>
    </row>
    <row r="91" spans="1:8">
      <c r="A91" s="151"/>
      <c r="B91" s="151"/>
      <c r="C91" s="240"/>
      <c r="D91" s="125"/>
      <c r="E91" s="120"/>
      <c r="F91" s="151"/>
      <c r="G91" s="120"/>
    </row>
    <row r="92" spans="1:8">
      <c r="A92" s="151"/>
      <c r="B92" s="105"/>
      <c r="C92" s="236"/>
      <c r="D92" s="105"/>
      <c r="E92" s="120"/>
      <c r="F92" s="151"/>
      <c r="G92" s="120"/>
    </row>
    <row r="93" spans="1:8">
      <c r="A93" s="151"/>
      <c r="B93" s="151"/>
      <c r="C93" s="240"/>
      <c r="D93" s="151"/>
      <c r="E93" s="120"/>
      <c r="F93" s="151"/>
      <c r="G93" s="120"/>
    </row>
    <row r="94" spans="1:8">
      <c r="A94" s="151"/>
      <c r="B94" s="151"/>
      <c r="C94" s="240"/>
      <c r="D94" s="125"/>
      <c r="E94" s="243"/>
      <c r="F94" s="151"/>
      <c r="G94" s="120"/>
    </row>
    <row r="95" spans="1:8">
      <c r="A95" s="151"/>
      <c r="B95" s="105"/>
      <c r="C95" s="82"/>
      <c r="D95" s="105"/>
      <c r="E95" s="120"/>
      <c r="F95" s="151"/>
      <c r="G95" s="120"/>
    </row>
    <row r="96" spans="1:8">
      <c r="A96" s="151"/>
      <c r="B96" s="151"/>
      <c r="C96" s="240"/>
      <c r="D96" s="125"/>
      <c r="E96" s="120"/>
      <c r="F96" s="151"/>
      <c r="G96" s="120"/>
    </row>
    <row r="97" spans="1:7">
      <c r="A97" s="151"/>
      <c r="B97" s="105"/>
      <c r="C97" s="82"/>
      <c r="D97" s="266"/>
      <c r="E97" s="120"/>
      <c r="F97" s="151"/>
      <c r="G97" s="120"/>
    </row>
    <row r="98" spans="1:7">
      <c r="A98" s="151"/>
      <c r="B98" s="151"/>
      <c r="C98" s="82"/>
      <c r="D98" s="105"/>
      <c r="E98" s="120"/>
      <c r="F98" s="151"/>
      <c r="G98" s="120"/>
    </row>
    <row r="99" spans="1:7">
      <c r="A99" s="151"/>
      <c r="B99" s="151"/>
      <c r="C99" s="82"/>
      <c r="D99" s="93"/>
      <c r="E99" s="120"/>
      <c r="F99" s="151"/>
      <c r="G99" s="120"/>
    </row>
    <row r="100" spans="1:7">
      <c r="A100" s="151"/>
      <c r="B100" s="151"/>
      <c r="C100" s="240"/>
      <c r="D100" s="266"/>
      <c r="E100" s="120"/>
      <c r="F100" s="151"/>
      <c r="G100" s="120"/>
    </row>
    <row r="101" spans="1:7">
      <c r="A101" s="151"/>
      <c r="B101" s="151"/>
      <c r="C101" s="240"/>
      <c r="D101" s="125"/>
      <c r="E101" s="120"/>
      <c r="F101" s="151"/>
      <c r="G101" s="120"/>
    </row>
    <row r="102" spans="1:7">
      <c r="A102" s="151"/>
      <c r="B102" s="151"/>
      <c r="C102" s="82"/>
      <c r="D102" s="265"/>
      <c r="E102" s="120"/>
      <c r="F102" s="151"/>
      <c r="G102" s="120"/>
    </row>
    <row r="103" spans="1:7">
      <c r="A103" s="151"/>
      <c r="B103" s="151"/>
      <c r="C103" s="240"/>
      <c r="D103" s="125"/>
      <c r="E103" s="245"/>
      <c r="F103" s="151"/>
      <c r="G103" s="120"/>
    </row>
    <row r="104" spans="1:7">
      <c r="A104" s="151"/>
      <c r="B104" s="151"/>
      <c r="C104" s="240"/>
      <c r="D104" s="93"/>
      <c r="E104" s="120"/>
      <c r="F104" s="151"/>
      <c r="G104" s="120"/>
    </row>
    <row r="105" spans="1:7">
      <c r="A105" s="151"/>
      <c r="B105" s="93"/>
      <c r="C105" s="82"/>
      <c r="D105" s="266"/>
      <c r="E105" s="140"/>
      <c r="F105" s="151"/>
      <c r="G105" s="120"/>
    </row>
    <row r="106" spans="1:7">
      <c r="A106" s="151"/>
      <c r="B106" s="267"/>
      <c r="C106" s="242"/>
      <c r="D106" s="266"/>
      <c r="E106" s="238"/>
      <c r="F106" s="151"/>
      <c r="G106" s="120"/>
    </row>
    <row r="107" spans="1:7">
      <c r="A107" s="151"/>
      <c r="B107" s="93"/>
      <c r="C107" s="82"/>
      <c r="D107" s="266"/>
      <c r="E107" s="140"/>
      <c r="F107" s="151"/>
      <c r="G107" s="120"/>
    </row>
    <row r="108" spans="1:7">
      <c r="A108" s="151"/>
      <c r="B108" s="267"/>
      <c r="C108" s="242"/>
      <c r="D108" s="266"/>
      <c r="E108" s="238"/>
      <c r="F108" s="151"/>
      <c r="G108" s="120"/>
    </row>
    <row r="109" spans="1:7">
      <c r="A109" s="151"/>
      <c r="B109" s="93"/>
      <c r="C109" s="82"/>
      <c r="D109" s="151"/>
      <c r="E109" s="140"/>
      <c r="F109" s="151"/>
      <c r="G109" s="120"/>
    </row>
    <row r="110" spans="1:7">
      <c r="A110" s="151"/>
      <c r="B110" s="151"/>
      <c r="C110" s="82"/>
      <c r="D110" s="105"/>
      <c r="E110" s="120"/>
      <c r="F110" s="151"/>
      <c r="G110" s="120"/>
    </row>
    <row r="111" spans="1:7">
      <c r="A111" s="151"/>
      <c r="B111" s="244"/>
      <c r="C111" s="236"/>
      <c r="D111" s="266"/>
      <c r="E111" s="237"/>
      <c r="F111" s="151"/>
      <c r="G111" s="120"/>
    </row>
    <row r="112" spans="1:7">
      <c r="A112" s="151"/>
      <c r="B112" s="268"/>
      <c r="C112" s="188"/>
      <c r="D112" s="266"/>
      <c r="E112" s="269"/>
      <c r="F112" s="151"/>
      <c r="G112" s="120"/>
    </row>
    <row r="113" spans="1:8">
      <c r="A113" s="151"/>
      <c r="B113" s="268"/>
      <c r="C113" s="188"/>
      <c r="D113" s="266"/>
      <c r="E113" s="269"/>
      <c r="F113" s="151"/>
      <c r="G113" s="120"/>
    </row>
    <row r="114" spans="1:8">
      <c r="A114" s="151"/>
      <c r="B114" s="268"/>
      <c r="C114" s="188"/>
      <c r="D114" s="266"/>
      <c r="E114" s="269"/>
      <c r="F114" s="151"/>
      <c r="G114" s="120"/>
      <c r="H114" s="250"/>
    </row>
    <row r="115" spans="1:8">
      <c r="A115" s="151"/>
      <c r="B115" s="268"/>
      <c r="C115" s="188"/>
      <c r="D115" s="266"/>
      <c r="E115" s="269"/>
      <c r="F115" s="151"/>
      <c r="G115" s="120"/>
    </row>
    <row r="116" spans="1:8">
      <c r="A116" s="151"/>
      <c r="B116" s="268"/>
      <c r="C116" s="188"/>
      <c r="D116" s="266"/>
      <c r="E116" s="269"/>
      <c r="F116" s="151"/>
      <c r="G116" s="120"/>
    </row>
    <row r="117" spans="1:8">
      <c r="A117" s="151"/>
      <c r="B117" s="268"/>
      <c r="C117" s="188"/>
      <c r="D117" s="266"/>
      <c r="E117" s="269"/>
      <c r="F117" s="151"/>
      <c r="G117" s="120"/>
    </row>
    <row r="118" spans="1:8">
      <c r="A118" s="151"/>
      <c r="B118" s="268"/>
      <c r="C118" s="188"/>
      <c r="D118" s="266"/>
      <c r="E118" s="269"/>
      <c r="F118" s="151"/>
      <c r="G118" s="120"/>
      <c r="H118" s="250"/>
    </row>
    <row r="119" spans="1:8">
      <c r="A119" s="151"/>
      <c r="B119" s="268"/>
      <c r="C119" s="188"/>
      <c r="D119" s="266"/>
      <c r="E119" s="269"/>
      <c r="F119" s="151"/>
      <c r="G119" s="120"/>
      <c r="H119" s="250"/>
    </row>
    <row r="120" spans="1:8">
      <c r="A120" s="151"/>
      <c r="B120" s="268"/>
      <c r="C120" s="188"/>
      <c r="D120" s="266"/>
      <c r="E120" s="269"/>
      <c r="F120" s="151"/>
      <c r="G120" s="120"/>
      <c r="H120" s="250"/>
    </row>
    <row r="121" spans="1:8">
      <c r="A121" s="151"/>
      <c r="B121" s="268"/>
      <c r="C121" s="188"/>
      <c r="D121" s="266"/>
      <c r="E121" s="269"/>
      <c r="F121" s="151"/>
      <c r="G121" s="120"/>
      <c r="H121" s="250"/>
    </row>
    <row r="122" spans="1:8">
      <c r="A122" s="151"/>
      <c r="B122" s="268"/>
      <c r="C122" s="188"/>
      <c r="D122" s="266"/>
      <c r="E122" s="269"/>
      <c r="F122" s="151"/>
      <c r="G122" s="120"/>
      <c r="H122" s="250"/>
    </row>
    <row r="123" spans="1:8">
      <c r="A123" s="151"/>
      <c r="B123" s="268"/>
      <c r="C123" s="188"/>
      <c r="D123" s="266"/>
      <c r="E123" s="269"/>
      <c r="F123" s="151"/>
      <c r="G123" s="120"/>
      <c r="H123" s="250"/>
    </row>
    <row r="124" spans="1:8">
      <c r="A124" s="151"/>
      <c r="B124" s="268"/>
      <c r="C124" s="188"/>
      <c r="D124" s="266"/>
      <c r="E124" s="269"/>
      <c r="F124" s="151"/>
      <c r="G124" s="120"/>
      <c r="H124" s="250"/>
    </row>
    <row r="125" spans="1:8">
      <c r="A125" s="151"/>
      <c r="B125" s="268"/>
      <c r="C125" s="188"/>
      <c r="D125" s="266"/>
      <c r="E125" s="269"/>
      <c r="F125" s="151"/>
      <c r="G125" s="120"/>
      <c r="H125" s="250"/>
    </row>
    <row r="126" spans="1:8">
      <c r="A126" s="151"/>
      <c r="B126" s="268"/>
      <c r="C126" s="188"/>
      <c r="D126" s="266"/>
      <c r="E126" s="269"/>
      <c r="F126" s="151"/>
      <c r="G126" s="120"/>
      <c r="H126" s="250"/>
    </row>
    <row r="127" spans="1:8">
      <c r="A127" s="151"/>
      <c r="B127" s="268"/>
      <c r="C127" s="188"/>
      <c r="D127" s="266"/>
      <c r="E127" s="269"/>
      <c r="F127" s="151"/>
      <c r="G127" s="120"/>
      <c r="H127" s="250"/>
    </row>
    <row r="128" spans="1:8">
      <c r="A128" s="151"/>
      <c r="B128" s="268"/>
      <c r="C128" s="188"/>
      <c r="D128" s="266"/>
      <c r="E128" s="269"/>
      <c r="F128" s="151"/>
      <c r="G128" s="120"/>
    </row>
    <row r="129" spans="1:8">
      <c r="A129" s="151"/>
      <c r="B129" s="268"/>
      <c r="C129" s="188"/>
      <c r="D129" s="266"/>
      <c r="E129" s="269"/>
      <c r="F129" s="151"/>
      <c r="G129" s="120"/>
    </row>
    <row r="130" spans="1:8">
      <c r="A130" s="151"/>
      <c r="B130" s="268"/>
      <c r="C130" s="188"/>
      <c r="D130" s="266"/>
      <c r="E130" s="269"/>
      <c r="F130" s="151"/>
      <c r="G130" s="120"/>
      <c r="H130" s="250"/>
    </row>
    <row r="131" spans="1:8">
      <c r="A131" s="151"/>
      <c r="B131" s="268"/>
      <c r="C131" s="188"/>
      <c r="D131" s="266"/>
      <c r="E131" s="269"/>
      <c r="F131" s="151"/>
      <c r="G131" s="120"/>
      <c r="H131" s="250"/>
    </row>
    <row r="132" spans="1:8">
      <c r="A132" s="151"/>
      <c r="B132" s="268"/>
      <c r="C132" s="188"/>
      <c r="D132" s="266"/>
      <c r="E132" s="269"/>
      <c r="F132" s="151"/>
      <c r="G132" s="120"/>
      <c r="H132" s="250"/>
    </row>
    <row r="133" spans="1:8">
      <c r="A133" s="151"/>
      <c r="B133" s="268"/>
      <c r="C133" s="188"/>
      <c r="D133" s="266"/>
      <c r="E133" s="269"/>
      <c r="F133" s="151"/>
      <c r="G133" s="120"/>
      <c r="H133" s="250"/>
    </row>
    <row r="134" spans="1:8">
      <c r="A134" s="151"/>
      <c r="B134" s="268"/>
      <c r="C134" s="188"/>
      <c r="D134" s="266"/>
      <c r="E134" s="269"/>
      <c r="F134" s="151"/>
      <c r="G134" s="120"/>
      <c r="H134" s="250"/>
    </row>
    <row r="135" spans="1:8">
      <c r="A135" s="151"/>
      <c r="B135" s="268"/>
      <c r="C135" s="188"/>
      <c r="D135" s="266"/>
      <c r="E135" s="269"/>
      <c r="F135" s="151"/>
      <c r="G135" s="120"/>
    </row>
    <row r="136" spans="1:8">
      <c r="A136" s="151"/>
      <c r="B136" s="268"/>
      <c r="C136" s="188"/>
      <c r="D136" s="266"/>
      <c r="E136" s="269"/>
      <c r="F136" s="151"/>
      <c r="G136" s="120"/>
    </row>
    <row r="137" spans="1:8">
      <c r="A137" s="151"/>
      <c r="B137" s="268"/>
      <c r="C137" s="188"/>
      <c r="D137" s="266"/>
      <c r="E137" s="269"/>
      <c r="F137" s="151"/>
      <c r="G137" s="120"/>
    </row>
    <row r="138" spans="1:8">
      <c r="A138" s="151"/>
      <c r="B138" s="268"/>
      <c r="C138" s="188"/>
      <c r="D138" s="266"/>
      <c r="E138" s="269"/>
      <c r="F138" s="151"/>
      <c r="G138" s="120"/>
    </row>
    <row r="139" spans="1:8">
      <c r="A139" s="151"/>
      <c r="B139" s="268"/>
      <c r="C139" s="188"/>
      <c r="D139" s="266"/>
      <c r="E139" s="269"/>
      <c r="F139" s="151"/>
      <c r="G139" s="120"/>
    </row>
    <row r="140" spans="1:8">
      <c r="A140" s="151"/>
      <c r="B140" s="268"/>
      <c r="C140" s="188"/>
      <c r="D140" s="266"/>
      <c r="E140" s="269"/>
      <c r="F140" s="151"/>
      <c r="G140" s="120"/>
    </row>
    <row r="141" spans="1:8">
      <c r="A141" s="151"/>
      <c r="B141" s="268"/>
      <c r="C141" s="188"/>
      <c r="D141" s="266"/>
      <c r="E141" s="269"/>
      <c r="F141" s="151"/>
      <c r="G141" s="120"/>
    </row>
    <row r="142" spans="1:8">
      <c r="A142" s="151"/>
      <c r="B142" s="268"/>
      <c r="C142" s="188"/>
      <c r="D142" s="266"/>
      <c r="E142" s="269"/>
      <c r="F142" s="151"/>
      <c r="G142" s="120"/>
    </row>
    <row r="143" spans="1:8">
      <c r="A143" s="151"/>
      <c r="B143" s="268"/>
      <c r="C143" s="188"/>
      <c r="D143" s="266"/>
      <c r="E143" s="269"/>
      <c r="F143" s="151"/>
      <c r="G143" s="120"/>
    </row>
    <row r="144" spans="1:8">
      <c r="A144" s="151"/>
      <c r="B144" s="268"/>
      <c r="C144" s="188"/>
      <c r="D144" s="266"/>
      <c r="E144" s="269"/>
      <c r="F144" s="151"/>
      <c r="G144" s="120"/>
    </row>
    <row r="145" spans="1:7">
      <c r="A145" s="151"/>
      <c r="B145" s="268"/>
      <c r="C145" s="188"/>
      <c r="D145" s="266"/>
      <c r="E145" s="269"/>
      <c r="F145" s="151"/>
      <c r="G145" s="120"/>
    </row>
    <row r="146" spans="1:7">
      <c r="A146" s="151"/>
      <c r="B146" s="268"/>
      <c r="C146" s="188"/>
      <c r="D146" s="266"/>
      <c r="E146" s="269"/>
      <c r="F146" s="151"/>
      <c r="G146" s="120"/>
    </row>
    <row r="147" spans="1:7">
      <c r="A147" s="151"/>
      <c r="B147" s="268"/>
      <c r="C147" s="188"/>
      <c r="D147" s="266"/>
      <c r="E147" s="269"/>
      <c r="F147" s="151"/>
      <c r="G147" s="120"/>
    </row>
    <row r="148" spans="1:7">
      <c r="A148" s="151"/>
      <c r="B148" s="268"/>
      <c r="C148" s="188"/>
      <c r="D148" s="266"/>
      <c r="E148" s="269"/>
      <c r="F148" s="151"/>
      <c r="G148" s="120"/>
    </row>
    <row r="149" spans="1:7">
      <c r="A149" s="151"/>
      <c r="B149" s="268"/>
      <c r="C149" s="188"/>
      <c r="D149" s="266"/>
      <c r="E149" s="269"/>
      <c r="F149" s="151"/>
      <c r="G149" s="120"/>
    </row>
    <row r="150" spans="1:7">
      <c r="A150" s="151"/>
      <c r="B150" s="268"/>
      <c r="C150" s="188"/>
      <c r="D150" s="266"/>
      <c r="E150" s="269"/>
      <c r="F150" s="151"/>
      <c r="G150" s="120"/>
    </row>
    <row r="151" spans="1:7">
      <c r="A151" s="151"/>
      <c r="B151" s="268"/>
      <c r="C151" s="188"/>
      <c r="D151" s="266"/>
      <c r="E151" s="269"/>
      <c r="F151" s="151"/>
      <c r="G151" s="120"/>
    </row>
    <row r="152" spans="1:7">
      <c r="A152" s="151"/>
      <c r="B152" s="268"/>
      <c r="C152" s="188"/>
      <c r="D152" s="266"/>
      <c r="E152" s="269"/>
      <c r="F152" s="151"/>
      <c r="G152" s="120"/>
    </row>
    <row r="153" spans="1:7">
      <c r="A153" s="151"/>
      <c r="B153" s="268"/>
      <c r="C153" s="188"/>
      <c r="D153" s="266"/>
      <c r="E153" s="269"/>
      <c r="F153" s="151"/>
      <c r="G153" s="120"/>
    </row>
    <row r="154" spans="1:7">
      <c r="A154" s="151"/>
      <c r="B154" s="268"/>
      <c r="C154" s="188"/>
      <c r="D154" s="266"/>
      <c r="E154" s="269"/>
      <c r="F154" s="151"/>
      <c r="G154" s="120"/>
    </row>
    <row r="155" spans="1:7">
      <c r="A155" s="151"/>
      <c r="B155" s="268"/>
      <c r="C155" s="188"/>
      <c r="D155" s="266"/>
      <c r="E155" s="269"/>
      <c r="F155" s="151"/>
      <c r="G155" s="120"/>
    </row>
    <row r="156" spans="1:7">
      <c r="A156" s="151"/>
      <c r="B156" s="268"/>
      <c r="C156" s="188"/>
      <c r="D156" s="266"/>
      <c r="E156" s="269"/>
      <c r="F156" s="151"/>
      <c r="G156" s="120"/>
    </row>
    <row r="157" spans="1:7">
      <c r="A157" s="151"/>
      <c r="B157" s="268"/>
      <c r="C157" s="188"/>
      <c r="D157" s="266"/>
      <c r="E157" s="269"/>
      <c r="F157" s="151"/>
      <c r="G157" s="120"/>
    </row>
    <row r="158" spans="1:7">
      <c r="A158" s="151"/>
      <c r="B158" s="268"/>
      <c r="C158" s="188"/>
      <c r="D158" s="266"/>
      <c r="E158" s="269"/>
      <c r="F158" s="151"/>
      <c r="G158" s="120"/>
    </row>
    <row r="159" spans="1:7">
      <c r="A159" s="151"/>
      <c r="B159" s="268"/>
      <c r="C159" s="188"/>
      <c r="D159" s="266"/>
      <c r="E159" s="269"/>
      <c r="F159" s="151"/>
      <c r="G159" s="120"/>
    </row>
    <row r="160" spans="1:7">
      <c r="A160" s="151"/>
      <c r="B160" s="268"/>
      <c r="C160" s="188"/>
      <c r="D160" s="266"/>
      <c r="E160" s="269"/>
      <c r="F160" s="151"/>
      <c r="G160" s="120"/>
    </row>
    <row r="161" spans="1:7">
      <c r="A161" s="151"/>
      <c r="B161" s="268"/>
      <c r="C161" s="188"/>
      <c r="D161" s="266"/>
      <c r="E161" s="269"/>
      <c r="F161" s="151"/>
      <c r="G161" s="120"/>
    </row>
    <row r="162" spans="1:7">
      <c r="A162" s="151"/>
      <c r="B162" s="268"/>
      <c r="C162" s="188"/>
      <c r="D162" s="266"/>
      <c r="E162" s="269"/>
      <c r="F162" s="151"/>
      <c r="G162" s="120"/>
    </row>
    <row r="163" spans="1:7">
      <c r="A163" s="151"/>
      <c r="B163" s="268"/>
      <c r="C163" s="188"/>
      <c r="D163" s="266"/>
      <c r="E163" s="269"/>
      <c r="F163" s="151"/>
      <c r="G163" s="120"/>
    </row>
    <row r="164" spans="1:7">
      <c r="A164" s="151"/>
      <c r="B164" s="268"/>
      <c r="C164" s="188"/>
      <c r="D164" s="266"/>
      <c r="E164" s="269"/>
      <c r="F164" s="151"/>
      <c r="G164" s="120"/>
    </row>
    <row r="165" spans="1:7">
      <c r="A165" s="151"/>
      <c r="B165" s="268"/>
      <c r="C165" s="188"/>
      <c r="D165" s="266"/>
      <c r="E165" s="269"/>
      <c r="F165" s="151"/>
      <c r="G165" s="120"/>
    </row>
    <row r="166" spans="1:7">
      <c r="A166" s="151"/>
      <c r="B166" s="268"/>
      <c r="C166" s="188"/>
      <c r="D166" s="266"/>
      <c r="E166" s="269"/>
      <c r="F166" s="151"/>
      <c r="G166" s="120"/>
    </row>
    <row r="167" spans="1:7">
      <c r="A167" s="151"/>
      <c r="B167" s="268"/>
      <c r="C167" s="188"/>
      <c r="D167" s="266"/>
      <c r="E167" s="269"/>
      <c r="F167" s="151"/>
      <c r="G167" s="120"/>
    </row>
    <row r="168" spans="1:7">
      <c r="A168" s="151"/>
      <c r="B168" s="268"/>
      <c r="C168" s="188"/>
      <c r="D168" s="266"/>
      <c r="E168" s="269"/>
      <c r="F168" s="151"/>
      <c r="G168" s="120"/>
    </row>
    <row r="169" spans="1:7">
      <c r="A169" s="151"/>
      <c r="B169" s="268"/>
      <c r="C169" s="188"/>
      <c r="D169" s="266"/>
      <c r="E169" s="269"/>
      <c r="F169" s="151"/>
      <c r="G169" s="120"/>
    </row>
    <row r="170" spans="1:7">
      <c r="A170" s="151"/>
      <c r="B170" s="268"/>
      <c r="C170" s="188"/>
      <c r="D170" s="266"/>
      <c r="E170" s="269"/>
      <c r="F170" s="151"/>
      <c r="G170" s="120"/>
    </row>
    <row r="171" spans="1:7">
      <c r="A171" s="151"/>
      <c r="B171" s="268"/>
      <c r="C171" s="188"/>
      <c r="D171" s="266"/>
      <c r="E171" s="269"/>
      <c r="F171" s="151"/>
      <c r="G171" s="120"/>
    </row>
    <row r="172" spans="1:7">
      <c r="A172" s="151"/>
      <c r="B172" s="268"/>
      <c r="C172" s="188"/>
      <c r="D172" s="266"/>
      <c r="E172" s="269"/>
      <c r="F172" s="151"/>
      <c r="G172" s="120"/>
    </row>
    <row r="173" spans="1:7">
      <c r="A173" s="151"/>
      <c r="B173" s="268"/>
      <c r="C173" s="188"/>
      <c r="D173" s="266"/>
      <c r="E173" s="269"/>
      <c r="F173" s="151"/>
      <c r="G173" s="120"/>
    </row>
    <row r="174" spans="1:7">
      <c r="A174" s="151"/>
      <c r="B174" s="268"/>
      <c r="C174" s="188"/>
      <c r="D174" s="266"/>
      <c r="E174" s="269"/>
      <c r="F174" s="151"/>
      <c r="G174" s="120"/>
    </row>
    <row r="175" spans="1:7">
      <c r="A175" s="151"/>
      <c r="B175" s="268"/>
      <c r="C175" s="188"/>
      <c r="D175" s="266"/>
      <c r="E175" s="269"/>
      <c r="F175" s="151"/>
      <c r="G175" s="120"/>
    </row>
    <row r="176" spans="1:7">
      <c r="A176" s="151"/>
      <c r="B176" s="268"/>
      <c r="C176" s="188"/>
      <c r="D176" s="266"/>
      <c r="E176" s="269"/>
      <c r="F176" s="151"/>
      <c r="G176" s="120"/>
    </row>
    <row r="177" spans="1:7">
      <c r="A177" s="151"/>
      <c r="B177" s="268"/>
      <c r="C177" s="188"/>
      <c r="D177" s="266"/>
      <c r="E177" s="269"/>
      <c r="F177" s="151"/>
      <c r="G177" s="120"/>
    </row>
    <row r="178" spans="1:7">
      <c r="A178" s="151"/>
      <c r="B178" s="268"/>
      <c r="C178" s="188"/>
      <c r="D178" s="266"/>
      <c r="E178" s="269"/>
      <c r="F178" s="151"/>
      <c r="G178" s="120"/>
    </row>
    <row r="179" spans="1:7">
      <c r="A179" s="151"/>
      <c r="B179" s="268"/>
      <c r="C179" s="188"/>
      <c r="D179" s="266"/>
      <c r="E179" s="269"/>
      <c r="F179" s="151"/>
      <c r="G179" s="120"/>
    </row>
    <row r="180" spans="1:7">
      <c r="A180" s="151"/>
      <c r="B180" s="268"/>
      <c r="C180" s="188"/>
      <c r="D180" s="266"/>
      <c r="E180" s="269"/>
      <c r="F180" s="151"/>
      <c r="G180" s="120"/>
    </row>
    <row r="181" spans="1:7">
      <c r="A181" s="151"/>
      <c r="B181" s="268"/>
      <c r="C181" s="188"/>
      <c r="D181" s="266"/>
      <c r="E181" s="269"/>
      <c r="F181" s="151"/>
      <c r="G181" s="120"/>
    </row>
    <row r="182" spans="1:7">
      <c r="A182" s="151"/>
      <c r="B182" s="268"/>
      <c r="C182" s="188"/>
      <c r="D182" s="266"/>
      <c r="E182" s="269"/>
      <c r="F182" s="151"/>
      <c r="G182" s="120"/>
    </row>
    <row r="183" spans="1:7">
      <c r="A183" s="151"/>
      <c r="B183" s="268"/>
      <c r="C183" s="188"/>
      <c r="D183" s="266"/>
      <c r="E183" s="269"/>
      <c r="F183" s="151"/>
      <c r="G183" s="120"/>
    </row>
    <row r="184" spans="1:7">
      <c r="A184" s="151"/>
      <c r="B184" s="268"/>
      <c r="C184" s="188"/>
      <c r="D184" s="266"/>
      <c r="E184" s="269"/>
      <c r="F184" s="151"/>
      <c r="G184" s="120"/>
    </row>
    <row r="185" spans="1:7">
      <c r="A185" s="151"/>
      <c r="B185" s="268"/>
      <c r="C185" s="188"/>
      <c r="D185" s="266"/>
      <c r="E185" s="269"/>
      <c r="F185" s="151"/>
      <c r="G185" s="120"/>
    </row>
    <row r="186" spans="1:7">
      <c r="A186" s="151"/>
      <c r="B186" s="268"/>
      <c r="C186" s="188"/>
      <c r="D186" s="266"/>
      <c r="E186" s="269"/>
      <c r="F186" s="151"/>
      <c r="G186" s="120"/>
    </row>
    <row r="187" spans="1:7">
      <c r="A187" s="151"/>
      <c r="B187" s="268"/>
      <c r="C187" s="188"/>
      <c r="D187" s="266"/>
      <c r="E187" s="269"/>
      <c r="F187" s="151"/>
      <c r="G187" s="120"/>
    </row>
    <row r="188" spans="1:7">
      <c r="A188" s="151"/>
      <c r="B188" s="268"/>
      <c r="C188" s="188"/>
      <c r="D188" s="266"/>
      <c r="E188" s="269"/>
      <c r="F188" s="151"/>
      <c r="G188" s="120"/>
    </row>
    <row r="189" spans="1:7">
      <c r="A189" s="151"/>
      <c r="B189" s="268"/>
      <c r="C189" s="188"/>
      <c r="D189" s="266"/>
      <c r="E189" s="269"/>
      <c r="F189" s="151"/>
      <c r="G189" s="120"/>
    </row>
    <row r="190" spans="1:7">
      <c r="A190" s="151"/>
      <c r="B190" s="268"/>
      <c r="C190" s="188"/>
      <c r="D190" s="266"/>
      <c r="E190" s="269"/>
      <c r="F190" s="151"/>
      <c r="G190" s="120"/>
    </row>
    <row r="191" spans="1:7">
      <c r="A191" s="151"/>
      <c r="B191" s="268"/>
      <c r="C191" s="188"/>
      <c r="D191" s="266"/>
      <c r="E191" s="269"/>
      <c r="F191" s="151"/>
      <c r="G191" s="120"/>
    </row>
    <row r="192" spans="1:7">
      <c r="A192" s="151"/>
      <c r="B192" s="268"/>
      <c r="C192" s="188"/>
      <c r="D192" s="266"/>
      <c r="E192" s="269"/>
      <c r="F192" s="151"/>
      <c r="G192" s="120"/>
    </row>
    <row r="193" spans="1:7">
      <c r="A193" s="151"/>
      <c r="B193" s="268"/>
      <c r="C193" s="188"/>
      <c r="D193" s="266"/>
      <c r="E193" s="269"/>
      <c r="F193" s="151"/>
      <c r="G193" s="120"/>
    </row>
    <row r="194" spans="1:7">
      <c r="A194" s="151"/>
      <c r="B194" s="268"/>
      <c r="C194" s="188"/>
      <c r="D194" s="266"/>
      <c r="E194" s="269"/>
      <c r="F194" s="151"/>
      <c r="G194" s="120"/>
    </row>
    <row r="195" spans="1:7">
      <c r="A195" s="151"/>
      <c r="B195" s="268"/>
      <c r="C195" s="188"/>
      <c r="D195" s="266"/>
      <c r="E195" s="269"/>
      <c r="F195" s="151"/>
      <c r="G195" s="120"/>
    </row>
    <row r="196" spans="1:7">
      <c r="A196" s="151"/>
      <c r="B196" s="268"/>
      <c r="C196" s="188"/>
      <c r="D196" s="266"/>
      <c r="E196" s="269"/>
      <c r="F196" s="151"/>
      <c r="G196" s="120"/>
    </row>
    <row r="197" spans="1:7">
      <c r="A197" s="151"/>
      <c r="B197" s="268"/>
      <c r="C197" s="188"/>
      <c r="D197" s="266"/>
      <c r="E197" s="269"/>
      <c r="F197" s="151"/>
      <c r="G197" s="120"/>
    </row>
    <row r="198" spans="1:7">
      <c r="A198" s="151"/>
      <c r="B198" s="268"/>
      <c r="C198" s="188"/>
      <c r="D198" s="266"/>
      <c r="E198" s="269"/>
      <c r="F198" s="151"/>
      <c r="G198" s="120"/>
    </row>
    <row r="199" spans="1:7">
      <c r="A199" s="151"/>
      <c r="B199" s="268"/>
      <c r="C199" s="188"/>
      <c r="D199" s="266"/>
      <c r="E199" s="269"/>
      <c r="F199" s="151"/>
      <c r="G199" s="120"/>
    </row>
    <row r="200" spans="1:7">
      <c r="A200" s="151"/>
      <c r="B200" s="268"/>
      <c r="C200" s="188"/>
      <c r="D200" s="266"/>
      <c r="E200" s="269"/>
      <c r="F200" s="151"/>
      <c r="G200" s="120"/>
    </row>
    <row r="201" spans="1:7">
      <c r="A201" s="151"/>
      <c r="B201" s="268"/>
      <c r="C201" s="188"/>
      <c r="D201" s="266"/>
      <c r="E201" s="269"/>
      <c r="F201" s="151"/>
      <c r="G201" s="120"/>
    </row>
    <row r="202" spans="1:7">
      <c r="A202" s="151"/>
      <c r="B202" s="268"/>
      <c r="C202" s="188"/>
      <c r="D202" s="266"/>
      <c r="E202" s="269"/>
      <c r="F202" s="151"/>
      <c r="G202" s="120"/>
    </row>
    <row r="203" spans="1:7">
      <c r="A203" s="151"/>
      <c r="B203" s="268"/>
      <c r="C203" s="188"/>
      <c r="D203" s="266"/>
      <c r="E203" s="269"/>
      <c r="F203" s="151"/>
      <c r="G203" s="120"/>
    </row>
    <row r="204" spans="1:7">
      <c r="A204" s="151"/>
      <c r="B204" s="268"/>
      <c r="C204" s="188"/>
      <c r="D204" s="266"/>
      <c r="E204" s="269"/>
      <c r="F204" s="151"/>
      <c r="G204" s="120"/>
    </row>
    <row r="205" spans="1:7">
      <c r="A205" s="151"/>
      <c r="B205" s="268"/>
      <c r="C205" s="188"/>
      <c r="D205" s="266"/>
      <c r="E205" s="269"/>
      <c r="F205" s="151"/>
      <c r="G205" s="120"/>
    </row>
    <row r="206" spans="1:7">
      <c r="A206" s="151"/>
      <c r="B206" s="268"/>
      <c r="C206" s="188"/>
      <c r="D206" s="266"/>
      <c r="E206" s="269"/>
      <c r="F206" s="151"/>
      <c r="G206" s="120"/>
    </row>
    <row r="207" spans="1:7">
      <c r="A207" s="151"/>
      <c r="B207" s="268"/>
      <c r="C207" s="188"/>
      <c r="D207" s="266"/>
      <c r="E207" s="269"/>
      <c r="F207" s="151"/>
      <c r="G207" s="120"/>
    </row>
    <row r="208" spans="1:7">
      <c r="A208" s="151"/>
      <c r="B208" s="268"/>
      <c r="C208" s="188"/>
      <c r="D208" s="266"/>
      <c r="E208" s="269"/>
      <c r="F208" s="151"/>
      <c r="G208" s="120"/>
    </row>
    <row r="209" spans="1:7">
      <c r="A209" s="151"/>
      <c r="B209" s="268"/>
      <c r="C209" s="188"/>
      <c r="D209" s="266"/>
      <c r="E209" s="269"/>
      <c r="F209" s="151"/>
      <c r="G209" s="120"/>
    </row>
    <row r="210" spans="1:7">
      <c r="A210" s="151"/>
      <c r="B210" s="268"/>
      <c r="C210" s="188"/>
      <c r="D210" s="266"/>
      <c r="E210" s="269"/>
      <c r="F210" s="151"/>
      <c r="G210" s="120"/>
    </row>
    <row r="211" spans="1:7">
      <c r="A211" s="151"/>
      <c r="B211" s="268"/>
      <c r="C211" s="188"/>
      <c r="D211" s="266"/>
      <c r="E211" s="269"/>
      <c r="F211" s="151"/>
      <c r="G211" s="120"/>
    </row>
    <row r="212" spans="1:7">
      <c r="A212" s="151"/>
      <c r="B212" s="268"/>
      <c r="C212" s="188"/>
      <c r="D212" s="266"/>
      <c r="E212" s="269"/>
      <c r="F212" s="151"/>
      <c r="G212" s="120"/>
    </row>
    <row r="213" spans="1:7">
      <c r="A213" s="151"/>
      <c r="B213" s="268"/>
      <c r="C213" s="188"/>
      <c r="D213" s="266"/>
      <c r="E213" s="269"/>
      <c r="F213" s="151"/>
      <c r="G213" s="120"/>
    </row>
    <row r="214" spans="1:7">
      <c r="A214" s="151"/>
      <c r="B214" s="268"/>
      <c r="C214" s="188"/>
      <c r="D214" s="266"/>
      <c r="E214" s="269"/>
      <c r="F214" s="151"/>
      <c r="G214" s="120"/>
    </row>
    <row r="215" spans="1:7">
      <c r="A215" s="151"/>
      <c r="B215" s="268"/>
      <c r="C215" s="188"/>
      <c r="D215" s="266"/>
      <c r="E215" s="269"/>
      <c r="F215" s="151"/>
      <c r="G215" s="120"/>
    </row>
    <row r="216" spans="1:7">
      <c r="A216" s="151"/>
      <c r="B216" s="268"/>
      <c r="C216" s="188"/>
      <c r="D216" s="266"/>
      <c r="E216" s="269"/>
      <c r="F216" s="151"/>
      <c r="G216" s="120"/>
    </row>
    <row r="217" spans="1:7">
      <c r="A217" s="151"/>
      <c r="B217" s="268"/>
      <c r="C217" s="188"/>
      <c r="D217" s="266"/>
      <c r="E217" s="269"/>
      <c r="F217" s="151"/>
      <c r="G217" s="120"/>
    </row>
    <row r="218" spans="1:7">
      <c r="A218" s="151"/>
      <c r="B218" s="268"/>
      <c r="C218" s="188"/>
      <c r="D218" s="266"/>
      <c r="E218" s="269"/>
      <c r="F218" s="151"/>
      <c r="G218" s="120"/>
    </row>
    <row r="219" spans="1:7">
      <c r="A219" s="151"/>
      <c r="B219" s="268"/>
      <c r="C219" s="188"/>
      <c r="D219" s="266"/>
      <c r="E219" s="269"/>
      <c r="F219" s="151"/>
      <c r="G219" s="120"/>
    </row>
    <row r="220" spans="1:7">
      <c r="A220" s="151"/>
      <c r="B220" s="268"/>
      <c r="C220" s="188"/>
      <c r="D220" s="266"/>
      <c r="E220" s="269"/>
      <c r="F220" s="151"/>
      <c r="G220" s="120"/>
    </row>
    <row r="221" spans="1:7">
      <c r="A221" s="151"/>
      <c r="B221" s="268"/>
      <c r="C221" s="188"/>
      <c r="D221" s="266"/>
      <c r="E221" s="269"/>
      <c r="F221" s="151"/>
      <c r="G221" s="120"/>
    </row>
    <row r="222" spans="1:7">
      <c r="A222" s="151"/>
      <c r="B222" s="268"/>
      <c r="C222" s="188"/>
      <c r="D222" s="266"/>
      <c r="E222" s="269"/>
      <c r="F222" s="151"/>
      <c r="G222" s="120"/>
    </row>
    <row r="223" spans="1:7">
      <c r="A223" s="151"/>
      <c r="B223" s="268"/>
      <c r="C223" s="188"/>
      <c r="D223" s="266"/>
      <c r="E223" s="269"/>
      <c r="F223" s="151"/>
      <c r="G223" s="120"/>
    </row>
    <row r="224" spans="1:7">
      <c r="A224" s="151"/>
      <c r="B224" s="268"/>
      <c r="C224" s="188"/>
      <c r="D224" s="266"/>
      <c r="E224" s="269"/>
      <c r="F224" s="151"/>
      <c r="G224" s="120"/>
    </row>
    <row r="225" spans="1:7">
      <c r="A225" s="151"/>
      <c r="B225" s="268"/>
      <c r="C225" s="188"/>
      <c r="D225" s="266"/>
      <c r="E225" s="269"/>
      <c r="F225" s="151"/>
      <c r="G225" s="120"/>
    </row>
    <row r="226" spans="1:7">
      <c r="A226" s="151"/>
      <c r="B226" s="268"/>
      <c r="C226" s="188"/>
      <c r="D226" s="266"/>
      <c r="E226" s="269"/>
      <c r="F226" s="151"/>
      <c r="G226" s="120"/>
    </row>
    <row r="227" spans="1:7">
      <c r="A227" s="151"/>
      <c r="B227" s="268"/>
      <c r="C227" s="188"/>
      <c r="D227" s="266"/>
      <c r="E227" s="269"/>
      <c r="F227" s="151"/>
      <c r="G227" s="120"/>
    </row>
    <row r="228" spans="1:7">
      <c r="A228" s="151"/>
      <c r="B228" s="268"/>
      <c r="C228" s="188"/>
      <c r="D228" s="266"/>
      <c r="E228" s="269"/>
      <c r="F228" s="151"/>
      <c r="G228" s="120"/>
    </row>
    <row r="229" spans="1:7">
      <c r="A229" s="151"/>
      <c r="B229" s="268"/>
      <c r="C229" s="188"/>
      <c r="D229" s="266"/>
      <c r="E229" s="269"/>
      <c r="F229" s="151"/>
      <c r="G229" s="120"/>
    </row>
    <row r="230" spans="1:7">
      <c r="A230" s="151"/>
      <c r="B230" s="268"/>
      <c r="C230" s="188"/>
      <c r="D230" s="266"/>
      <c r="E230" s="269"/>
      <c r="F230" s="151"/>
      <c r="G230" s="120"/>
    </row>
    <row r="231" spans="1:7">
      <c r="A231" s="151"/>
      <c r="B231" s="268"/>
      <c r="C231" s="188"/>
      <c r="D231" s="266"/>
      <c r="E231" s="269"/>
      <c r="F231" s="151"/>
      <c r="G231" s="120"/>
    </row>
    <row r="232" spans="1:7">
      <c r="A232" s="151"/>
      <c r="B232" s="268"/>
      <c r="C232" s="188"/>
      <c r="D232" s="266"/>
      <c r="E232" s="269"/>
      <c r="F232" s="151"/>
      <c r="G232" s="120"/>
    </row>
    <row r="233" spans="1:7">
      <c r="A233" s="151"/>
      <c r="B233" s="268"/>
      <c r="C233" s="188"/>
      <c r="D233" s="266"/>
      <c r="E233" s="269"/>
      <c r="F233" s="151"/>
      <c r="G233" s="120"/>
    </row>
    <row r="234" spans="1:7">
      <c r="A234" s="151"/>
      <c r="B234" s="268"/>
      <c r="C234" s="188"/>
      <c r="D234" s="266"/>
      <c r="E234" s="269"/>
      <c r="F234" s="151"/>
      <c r="G234" s="120"/>
    </row>
    <row r="235" spans="1:7">
      <c r="A235" s="151"/>
      <c r="B235" s="268"/>
      <c r="C235" s="188"/>
      <c r="D235" s="266"/>
      <c r="E235" s="269"/>
      <c r="F235" s="151"/>
      <c r="G235" s="120"/>
    </row>
    <row r="236" spans="1:7">
      <c r="A236" s="151"/>
      <c r="B236" s="268"/>
      <c r="C236" s="188"/>
      <c r="D236" s="266"/>
      <c r="E236" s="269"/>
      <c r="F236" s="151"/>
      <c r="G236" s="120"/>
    </row>
    <row r="237" spans="1:7">
      <c r="A237" s="151"/>
      <c r="B237" s="268"/>
      <c r="C237" s="188"/>
      <c r="D237" s="266"/>
      <c r="E237" s="269"/>
      <c r="F237" s="151"/>
      <c r="G237" s="120"/>
    </row>
    <row r="238" spans="1:7">
      <c r="A238" s="151"/>
      <c r="B238" s="268"/>
      <c r="C238" s="188"/>
      <c r="D238" s="266"/>
      <c r="E238" s="269"/>
      <c r="F238" s="151"/>
      <c r="G238" s="120"/>
    </row>
    <row r="239" spans="1:7">
      <c r="A239" s="151"/>
      <c r="B239" s="268"/>
      <c r="C239" s="188"/>
      <c r="D239" s="266"/>
      <c r="E239" s="269"/>
      <c r="F239" s="151"/>
      <c r="G239" s="120"/>
    </row>
    <row r="240" spans="1:7">
      <c r="A240" s="151"/>
      <c r="B240" s="268"/>
      <c r="C240" s="188"/>
      <c r="D240" s="266"/>
      <c r="E240" s="269"/>
      <c r="F240" s="151"/>
      <c r="G240" s="120"/>
    </row>
    <row r="241" spans="1:7">
      <c r="A241" s="151"/>
      <c r="B241" s="268"/>
      <c r="C241" s="188"/>
      <c r="D241" s="266"/>
      <c r="E241" s="269"/>
      <c r="F241" s="151"/>
      <c r="G241" s="120"/>
    </row>
    <row r="242" spans="1:7">
      <c r="A242" s="151"/>
      <c r="B242" s="268"/>
      <c r="C242" s="188"/>
      <c r="D242" s="266"/>
      <c r="E242" s="269"/>
      <c r="F242" s="151"/>
      <c r="G242" s="120"/>
    </row>
    <row r="243" spans="1:7">
      <c r="A243" s="151"/>
      <c r="B243" s="268"/>
      <c r="C243" s="188"/>
      <c r="D243" s="266"/>
      <c r="E243" s="269"/>
      <c r="F243" s="151"/>
      <c r="G243" s="120"/>
    </row>
    <row r="244" spans="1:7">
      <c r="A244" s="151"/>
      <c r="B244" s="268"/>
      <c r="C244" s="188"/>
      <c r="D244" s="266"/>
      <c r="E244" s="269"/>
      <c r="F244" s="151"/>
      <c r="G244" s="120"/>
    </row>
    <row r="245" spans="1:7">
      <c r="A245" s="151"/>
      <c r="B245" s="268"/>
      <c r="C245" s="188"/>
      <c r="D245" s="266"/>
      <c r="E245" s="269"/>
      <c r="F245" s="151"/>
      <c r="G245" s="120"/>
    </row>
    <row r="246" spans="1:7">
      <c r="A246" s="151"/>
      <c r="B246" s="268"/>
      <c r="C246" s="188"/>
      <c r="D246" s="266"/>
      <c r="E246" s="269"/>
      <c r="F246" s="151"/>
      <c r="G246" s="120"/>
    </row>
    <row r="247" spans="1:7">
      <c r="A247" s="151"/>
      <c r="B247" s="268"/>
      <c r="C247" s="188"/>
      <c r="D247" s="266"/>
      <c r="E247" s="269"/>
      <c r="F247" s="151"/>
      <c r="G247" s="120"/>
    </row>
    <row r="248" spans="1:7">
      <c r="A248" s="151"/>
      <c r="B248" s="268"/>
      <c r="C248" s="188"/>
      <c r="D248" s="266"/>
      <c r="E248" s="269"/>
      <c r="F248" s="151"/>
      <c r="G248" s="120"/>
    </row>
    <row r="249" spans="1:7">
      <c r="A249" s="151"/>
      <c r="B249" s="268"/>
      <c r="C249" s="188"/>
      <c r="D249" s="266"/>
      <c r="E249" s="269"/>
      <c r="F249" s="151"/>
      <c r="G249" s="120"/>
    </row>
    <row r="250" spans="1:7">
      <c r="A250" s="151"/>
      <c r="B250" s="268"/>
      <c r="C250" s="188"/>
      <c r="D250" s="266"/>
      <c r="E250" s="269"/>
      <c r="F250" s="151"/>
      <c r="G250" s="120"/>
    </row>
    <row r="251" spans="1:7">
      <c r="A251" s="151"/>
      <c r="B251" s="268"/>
      <c r="C251" s="188"/>
      <c r="D251" s="266"/>
      <c r="E251" s="269"/>
      <c r="F251" s="151"/>
      <c r="G251" s="120"/>
    </row>
    <row r="252" spans="1:7">
      <c r="A252" s="151"/>
      <c r="B252" s="268"/>
      <c r="C252" s="188"/>
      <c r="D252" s="266"/>
      <c r="E252" s="269"/>
      <c r="F252" s="151"/>
      <c r="G252" s="120"/>
    </row>
    <row r="253" spans="1:7">
      <c r="A253" s="151"/>
      <c r="B253" s="268"/>
      <c r="C253" s="188"/>
      <c r="D253" s="266"/>
      <c r="E253" s="269"/>
      <c r="F253" s="151"/>
      <c r="G253" s="120"/>
    </row>
    <row r="254" spans="1:7">
      <c r="A254" s="151"/>
      <c r="B254" s="268"/>
      <c r="C254" s="188"/>
      <c r="D254" s="266"/>
      <c r="E254" s="269"/>
      <c r="F254" s="151"/>
      <c r="G254" s="120"/>
    </row>
    <row r="255" spans="1:7">
      <c r="A255" s="151"/>
      <c r="B255" s="268"/>
      <c r="C255" s="188"/>
      <c r="D255" s="266"/>
      <c r="E255" s="269"/>
      <c r="F255" s="151"/>
      <c r="G255" s="120"/>
    </row>
    <row r="256" spans="1:7">
      <c r="A256" s="151"/>
      <c r="B256" s="268"/>
      <c r="C256" s="188"/>
      <c r="D256" s="266"/>
      <c r="E256" s="269"/>
      <c r="F256" s="151"/>
      <c r="G256" s="120"/>
    </row>
    <row r="257" spans="1:7">
      <c r="A257" s="151"/>
      <c r="B257" s="268"/>
      <c r="C257" s="188"/>
      <c r="D257" s="266"/>
      <c r="E257" s="269"/>
      <c r="F257" s="151"/>
      <c r="G257" s="120"/>
    </row>
    <row r="258" spans="1:7">
      <c r="A258" s="151"/>
      <c r="B258" s="268"/>
      <c r="C258" s="188"/>
      <c r="D258" s="266"/>
      <c r="E258" s="269"/>
      <c r="F258" s="151"/>
      <c r="G258" s="120"/>
    </row>
    <row r="259" spans="1:7">
      <c r="A259" s="151"/>
      <c r="B259" s="268"/>
      <c r="C259" s="188"/>
      <c r="D259" s="266"/>
      <c r="E259" s="269"/>
      <c r="F259" s="151"/>
      <c r="G259" s="120"/>
    </row>
    <row r="260" spans="1:7">
      <c r="A260" s="151"/>
      <c r="B260" s="268"/>
      <c r="C260" s="188"/>
      <c r="D260" s="266"/>
      <c r="E260" s="269"/>
      <c r="F260" s="151"/>
      <c r="G260" s="120"/>
    </row>
    <row r="261" spans="1:7">
      <c r="A261" s="151"/>
      <c r="B261" s="268"/>
      <c r="C261" s="188"/>
      <c r="D261" s="266"/>
      <c r="E261" s="269"/>
      <c r="F261" s="151"/>
      <c r="G261" s="120"/>
    </row>
    <row r="262" spans="1:7">
      <c r="A262" s="151"/>
      <c r="B262" s="268"/>
      <c r="C262" s="188"/>
      <c r="D262" s="266"/>
      <c r="E262" s="269"/>
      <c r="F262" s="151"/>
      <c r="G262" s="120"/>
    </row>
    <row r="263" spans="1:7">
      <c r="A263" s="151"/>
      <c r="B263" s="268"/>
      <c r="C263" s="188"/>
      <c r="D263" s="266"/>
      <c r="E263" s="269"/>
      <c r="F263" s="151"/>
      <c r="G263" s="120"/>
    </row>
    <row r="264" spans="1:7">
      <c r="A264" s="151"/>
      <c r="B264" s="268"/>
      <c r="C264" s="188"/>
      <c r="D264" s="266"/>
      <c r="E264" s="269"/>
      <c r="F264" s="151"/>
      <c r="G264" s="120"/>
    </row>
    <row r="265" spans="1:7">
      <c r="A265" s="151"/>
      <c r="B265" s="268"/>
      <c r="C265" s="188"/>
      <c r="D265" s="266"/>
      <c r="E265" s="269"/>
      <c r="F265" s="151"/>
      <c r="G265" s="120"/>
    </row>
    <row r="266" spans="1:7">
      <c r="A266" s="151"/>
      <c r="B266" s="268"/>
      <c r="C266" s="188"/>
      <c r="D266" s="266"/>
      <c r="E266" s="269"/>
      <c r="F266" s="151"/>
      <c r="G266" s="120"/>
    </row>
    <row r="267" spans="1:7">
      <c r="A267" s="151"/>
      <c r="B267" s="268"/>
      <c r="C267" s="188"/>
      <c r="D267" s="266"/>
      <c r="E267" s="269"/>
      <c r="F267" s="151"/>
      <c r="G267" s="120"/>
    </row>
    <row r="268" spans="1:7">
      <c r="A268" s="151"/>
      <c r="B268" s="268"/>
      <c r="C268" s="188"/>
      <c r="D268" s="266"/>
      <c r="E268" s="269"/>
      <c r="F268" s="151"/>
      <c r="G268" s="120"/>
    </row>
    <row r="269" spans="1:7">
      <c r="A269" s="151"/>
      <c r="B269" s="268"/>
      <c r="C269" s="188"/>
      <c r="D269" s="266"/>
      <c r="E269" s="269"/>
      <c r="F269" s="151"/>
      <c r="G269" s="120"/>
    </row>
    <row r="270" spans="1:7">
      <c r="A270" s="151"/>
      <c r="B270" s="268"/>
      <c r="C270" s="188"/>
      <c r="D270" s="266"/>
      <c r="E270" s="269"/>
      <c r="F270" s="151"/>
      <c r="G270" s="120"/>
    </row>
    <row r="271" spans="1:7">
      <c r="A271" s="151"/>
      <c r="B271" s="268"/>
      <c r="C271" s="188"/>
      <c r="D271" s="266"/>
      <c r="E271" s="269"/>
      <c r="F271" s="151"/>
      <c r="G271" s="120"/>
    </row>
    <row r="272" spans="1:7">
      <c r="A272" s="151"/>
      <c r="B272" s="268"/>
      <c r="C272" s="188"/>
      <c r="D272" s="266"/>
      <c r="E272" s="269"/>
      <c r="F272" s="151"/>
      <c r="G272" s="120"/>
    </row>
    <row r="273" spans="1:7">
      <c r="A273" s="151"/>
      <c r="B273" s="268"/>
      <c r="C273" s="188"/>
      <c r="D273" s="266"/>
      <c r="E273" s="269"/>
      <c r="F273" s="151"/>
      <c r="G273" s="120"/>
    </row>
    <row r="274" spans="1:7">
      <c r="A274" s="151"/>
      <c r="B274" s="268"/>
      <c r="C274" s="188"/>
      <c r="D274" s="266"/>
      <c r="E274" s="269"/>
      <c r="F274" s="151"/>
      <c r="G274" s="120"/>
    </row>
    <row r="275" spans="1:7">
      <c r="A275" s="151"/>
      <c r="B275" s="268"/>
      <c r="C275" s="188"/>
      <c r="D275" s="266"/>
      <c r="E275" s="269"/>
      <c r="F275" s="151"/>
      <c r="G275" s="120"/>
    </row>
    <row r="276" spans="1:7">
      <c r="A276" s="151"/>
      <c r="B276" s="268"/>
      <c r="C276" s="188"/>
      <c r="D276" s="266"/>
      <c r="E276" s="269"/>
      <c r="F276" s="151"/>
      <c r="G276" s="120"/>
    </row>
    <row r="277" spans="1:7">
      <c r="A277" s="151"/>
      <c r="B277" s="268"/>
      <c r="C277" s="188"/>
      <c r="D277" s="266"/>
      <c r="E277" s="269"/>
      <c r="F277" s="151"/>
      <c r="G277" s="120"/>
    </row>
    <row r="278" spans="1:7">
      <c r="A278" s="151"/>
      <c r="B278" s="268"/>
      <c r="C278" s="188"/>
      <c r="D278" s="266"/>
      <c r="E278" s="269"/>
      <c r="F278" s="151"/>
      <c r="G278" s="120"/>
    </row>
    <row r="279" spans="1:7">
      <c r="A279" s="151"/>
      <c r="B279" s="268"/>
      <c r="C279" s="188"/>
      <c r="D279" s="266"/>
      <c r="E279" s="269"/>
      <c r="F279" s="151"/>
      <c r="G279" s="120"/>
    </row>
    <row r="280" spans="1:7">
      <c r="A280" s="151"/>
      <c r="B280" s="268"/>
      <c r="C280" s="188"/>
      <c r="D280" s="266"/>
      <c r="E280" s="269"/>
      <c r="F280" s="151"/>
      <c r="G280" s="120"/>
    </row>
    <row r="281" spans="1:7">
      <c r="A281" s="151"/>
      <c r="B281" s="268"/>
      <c r="C281" s="188"/>
      <c r="D281" s="266"/>
      <c r="E281" s="269"/>
      <c r="F281" s="151"/>
      <c r="G281" s="120"/>
    </row>
    <row r="282" spans="1:7">
      <c r="A282" s="151"/>
      <c r="B282" s="268"/>
      <c r="C282" s="188"/>
      <c r="D282" s="266"/>
      <c r="E282" s="269"/>
      <c r="F282" s="151"/>
      <c r="G282" s="120"/>
    </row>
    <row r="283" spans="1:7">
      <c r="A283" s="151"/>
      <c r="B283" s="268"/>
      <c r="C283" s="188"/>
      <c r="D283" s="266"/>
      <c r="E283" s="269"/>
      <c r="F283" s="151"/>
      <c r="G283" s="120"/>
    </row>
    <row r="284" spans="1:7">
      <c r="A284" s="151"/>
      <c r="B284" s="268"/>
      <c r="C284" s="188"/>
      <c r="D284" s="266"/>
      <c r="E284" s="269"/>
      <c r="F284" s="151"/>
      <c r="G284" s="120"/>
    </row>
    <row r="285" spans="1:7">
      <c r="A285" s="151"/>
      <c r="B285" s="268"/>
      <c r="C285" s="188"/>
      <c r="D285" s="266"/>
      <c r="E285" s="269"/>
      <c r="F285" s="151"/>
      <c r="G285" s="120"/>
    </row>
    <row r="286" spans="1:7">
      <c r="A286" s="151"/>
      <c r="B286" s="268"/>
      <c r="C286" s="188"/>
      <c r="D286" s="266"/>
      <c r="E286" s="269"/>
      <c r="F286" s="151"/>
      <c r="G286" s="120"/>
    </row>
    <row r="287" spans="1:7">
      <c r="A287" s="151"/>
      <c r="B287" s="268"/>
      <c r="C287" s="188"/>
      <c r="D287" s="266"/>
      <c r="E287" s="269"/>
      <c r="F287" s="151"/>
      <c r="G287" s="120"/>
    </row>
    <row r="288" spans="1:7">
      <c r="A288" s="151"/>
      <c r="B288" s="268"/>
      <c r="C288" s="188"/>
      <c r="D288" s="266"/>
      <c r="E288" s="269"/>
      <c r="F288" s="151"/>
      <c r="G288" s="120"/>
    </row>
    <row r="289" spans="1:7">
      <c r="A289" s="151"/>
      <c r="B289" s="268"/>
      <c r="C289" s="188"/>
      <c r="D289" s="266"/>
      <c r="E289" s="269"/>
      <c r="F289" s="151"/>
      <c r="G289" s="120"/>
    </row>
    <row r="290" spans="1:7">
      <c r="A290" s="151"/>
      <c r="B290" s="268"/>
      <c r="C290" s="188"/>
      <c r="D290" s="266"/>
      <c r="E290" s="269"/>
      <c r="F290" s="151"/>
      <c r="G290" s="120"/>
    </row>
    <row r="291" spans="1:7">
      <c r="A291" s="151"/>
      <c r="B291" s="268"/>
      <c r="C291" s="188"/>
      <c r="D291" s="266"/>
      <c r="E291" s="269"/>
      <c r="F291" s="151"/>
      <c r="G291" s="120"/>
    </row>
    <row r="292" spans="1:7">
      <c r="A292" s="151"/>
      <c r="B292" s="268"/>
      <c r="C292" s="188"/>
      <c r="D292" s="266"/>
      <c r="E292" s="269"/>
      <c r="F292" s="151"/>
      <c r="G292" s="120"/>
    </row>
    <row r="293" spans="1:7">
      <c r="A293" s="151"/>
      <c r="B293" s="268"/>
      <c r="C293" s="188"/>
      <c r="D293" s="266"/>
      <c r="E293" s="269"/>
      <c r="F293" s="151"/>
      <c r="G293" s="120"/>
    </row>
    <row r="294" spans="1:7">
      <c r="A294" s="151"/>
      <c r="B294" s="268"/>
      <c r="C294" s="188"/>
      <c r="D294" s="266"/>
      <c r="E294" s="269"/>
      <c r="F294" s="151"/>
      <c r="G294" s="120"/>
    </row>
    <row r="295" spans="1:7">
      <c r="A295" s="151"/>
      <c r="B295" s="268"/>
      <c r="C295" s="188"/>
      <c r="D295" s="266"/>
      <c r="E295" s="269"/>
      <c r="F295" s="151"/>
      <c r="G295" s="120"/>
    </row>
    <row r="296" spans="1:7">
      <c r="A296" s="151"/>
      <c r="B296" s="268"/>
      <c r="C296" s="188"/>
      <c r="D296" s="266"/>
      <c r="E296" s="269"/>
      <c r="F296" s="151"/>
      <c r="G296" s="120"/>
    </row>
    <row r="297" spans="1:7">
      <c r="A297" s="151"/>
      <c r="B297" s="268"/>
      <c r="C297" s="188"/>
      <c r="D297" s="266"/>
      <c r="E297" s="269"/>
      <c r="F297" s="151"/>
      <c r="G297" s="120"/>
    </row>
    <row r="298" spans="1:7">
      <c r="A298" s="151"/>
      <c r="B298" s="268"/>
      <c r="C298" s="188"/>
      <c r="D298" s="266"/>
      <c r="E298" s="269"/>
      <c r="F298" s="151"/>
      <c r="G298" s="120"/>
    </row>
    <row r="299" spans="1:7">
      <c r="A299" s="151"/>
      <c r="B299" s="268"/>
      <c r="C299" s="188"/>
      <c r="D299" s="266"/>
      <c r="E299" s="269"/>
      <c r="F299" s="151"/>
      <c r="G299" s="120"/>
    </row>
    <row r="300" spans="1:7">
      <c r="A300" s="151"/>
      <c r="B300" s="268"/>
      <c r="C300" s="188"/>
      <c r="D300" s="266"/>
      <c r="E300" s="269"/>
      <c r="F300" s="151"/>
      <c r="G300" s="120"/>
    </row>
    <row r="301" spans="1:7">
      <c r="A301" s="151"/>
      <c r="B301" s="268"/>
      <c r="C301" s="188"/>
      <c r="D301" s="266"/>
      <c r="E301" s="269"/>
      <c r="F301" s="151"/>
      <c r="G301" s="120"/>
    </row>
    <row r="302" spans="1:7">
      <c r="A302" s="151"/>
      <c r="B302" s="268"/>
      <c r="C302" s="188"/>
      <c r="D302" s="266"/>
      <c r="E302" s="269"/>
      <c r="F302" s="151"/>
      <c r="G302" s="120"/>
    </row>
    <row r="303" spans="1:7">
      <c r="A303" s="151"/>
      <c r="B303" s="268"/>
      <c r="C303" s="188"/>
      <c r="D303" s="266"/>
      <c r="E303" s="269"/>
      <c r="F303" s="151"/>
      <c r="G303" s="120"/>
    </row>
    <row r="304" spans="1:7">
      <c r="A304" s="151"/>
      <c r="B304" s="268"/>
      <c r="C304" s="188"/>
      <c r="D304" s="266"/>
      <c r="E304" s="269"/>
      <c r="F304" s="151"/>
      <c r="G304" s="120"/>
    </row>
    <row r="305" spans="1:7">
      <c r="A305" s="151"/>
      <c r="B305" s="268"/>
      <c r="C305" s="188"/>
      <c r="D305" s="266"/>
      <c r="E305" s="269"/>
      <c r="F305" s="151"/>
      <c r="G305" s="120"/>
    </row>
    <row r="306" spans="1:7">
      <c r="A306" s="151"/>
      <c r="B306" s="268"/>
      <c r="C306" s="188"/>
      <c r="D306" s="266"/>
      <c r="E306" s="269"/>
      <c r="F306" s="151"/>
      <c r="G306" s="120"/>
    </row>
    <row r="307" spans="1:7">
      <c r="A307" s="151"/>
      <c r="B307" s="268"/>
      <c r="C307" s="188"/>
      <c r="D307" s="266"/>
      <c r="E307" s="269"/>
      <c r="F307" s="151"/>
      <c r="G307" s="120"/>
    </row>
    <row r="308" spans="1:7">
      <c r="A308" s="151"/>
      <c r="B308" s="268"/>
      <c r="C308" s="188"/>
      <c r="D308" s="266"/>
      <c r="E308" s="269"/>
      <c r="F308" s="151"/>
      <c r="G308" s="120"/>
    </row>
    <row r="309" spans="1:7">
      <c r="A309" s="151"/>
      <c r="B309" s="268"/>
      <c r="C309" s="188"/>
      <c r="D309" s="266"/>
      <c r="E309" s="269"/>
      <c r="F309" s="151"/>
      <c r="G309" s="120"/>
    </row>
    <row r="310" spans="1:7">
      <c r="A310" s="151"/>
      <c r="B310" s="268"/>
      <c r="C310" s="188"/>
      <c r="D310" s="266"/>
      <c r="E310" s="269"/>
      <c r="F310" s="151"/>
      <c r="G310" s="120"/>
    </row>
    <row r="311" spans="1:7">
      <c r="A311" s="151"/>
      <c r="B311" s="268"/>
      <c r="C311" s="188"/>
      <c r="D311" s="266"/>
      <c r="E311" s="269"/>
      <c r="F311" s="151"/>
      <c r="G311" s="120"/>
    </row>
    <row r="312" spans="1:7">
      <c r="A312" s="151"/>
      <c r="B312" s="268"/>
      <c r="C312" s="188"/>
      <c r="D312" s="266"/>
      <c r="E312" s="269"/>
      <c r="F312" s="151"/>
      <c r="G312" s="120"/>
    </row>
    <row r="313" spans="1:7">
      <c r="A313" s="151"/>
      <c r="B313" s="268"/>
      <c r="C313" s="188"/>
      <c r="D313" s="266"/>
      <c r="E313" s="269"/>
      <c r="F313" s="151"/>
      <c r="G313" s="120"/>
    </row>
    <row r="314" spans="1:7">
      <c r="A314" s="151"/>
      <c r="B314" s="268"/>
      <c r="C314" s="188"/>
      <c r="D314" s="266"/>
      <c r="E314" s="269"/>
      <c r="F314" s="151"/>
      <c r="G314" s="120"/>
    </row>
    <row r="315" spans="1:7">
      <c r="A315" s="151"/>
      <c r="B315" s="268"/>
      <c r="C315" s="188"/>
      <c r="D315" s="266"/>
      <c r="E315" s="269"/>
      <c r="F315" s="151"/>
      <c r="G315" s="120"/>
    </row>
    <row r="316" spans="1:7">
      <c r="A316" s="151"/>
      <c r="B316" s="268"/>
      <c r="C316" s="188"/>
      <c r="D316" s="266"/>
      <c r="E316" s="269"/>
      <c r="F316" s="151"/>
      <c r="G316" s="120"/>
    </row>
    <row r="317" spans="1:7">
      <c r="A317" s="151"/>
      <c r="B317" s="268"/>
      <c r="C317" s="188"/>
      <c r="D317" s="266"/>
      <c r="E317" s="269"/>
      <c r="F317" s="151"/>
      <c r="G317" s="120"/>
    </row>
    <row r="318" spans="1:7">
      <c r="A318" s="151"/>
      <c r="B318" s="268"/>
      <c r="C318" s="188"/>
      <c r="D318" s="266"/>
      <c r="E318" s="269"/>
      <c r="F318" s="151"/>
      <c r="G318" s="120"/>
    </row>
    <row r="319" spans="1:7">
      <c r="A319" s="151"/>
      <c r="B319" s="268"/>
      <c r="C319" s="188"/>
      <c r="D319" s="266"/>
      <c r="E319" s="269"/>
      <c r="F319" s="151"/>
      <c r="G319" s="120"/>
    </row>
    <row r="320" spans="1:7">
      <c r="A320" s="151"/>
      <c r="B320" s="268"/>
      <c r="C320" s="188"/>
      <c r="D320" s="266"/>
      <c r="E320" s="269"/>
      <c r="F320" s="151"/>
      <c r="G320" s="120"/>
    </row>
    <row r="321" spans="1:7">
      <c r="A321" s="151"/>
      <c r="B321" s="268"/>
      <c r="C321" s="188"/>
      <c r="D321" s="266"/>
      <c r="E321" s="269"/>
      <c r="F321" s="151"/>
      <c r="G321" s="120"/>
    </row>
    <row r="322" spans="1:7">
      <c r="A322" s="151"/>
      <c r="B322" s="268"/>
      <c r="C322" s="188"/>
      <c r="D322" s="266"/>
      <c r="E322" s="269"/>
      <c r="F322" s="151"/>
      <c r="G322" s="120"/>
    </row>
    <row r="323" spans="1:7">
      <c r="A323" s="151"/>
      <c r="B323" s="268"/>
      <c r="C323" s="188"/>
      <c r="D323" s="266"/>
      <c r="E323" s="269"/>
      <c r="F323" s="151"/>
      <c r="G323" s="120"/>
    </row>
    <row r="324" spans="1:7">
      <c r="A324" s="151"/>
      <c r="B324" s="268"/>
      <c r="C324" s="188"/>
      <c r="D324" s="266"/>
      <c r="E324" s="269"/>
      <c r="F324" s="151"/>
      <c r="G324" s="120"/>
    </row>
    <row r="325" spans="1:7">
      <c r="A325" s="151"/>
      <c r="B325" s="268"/>
      <c r="C325" s="188"/>
      <c r="D325" s="266"/>
      <c r="E325" s="269"/>
      <c r="F325" s="151"/>
      <c r="G325" s="120"/>
    </row>
    <row r="326" spans="1:7">
      <c r="A326" s="151"/>
      <c r="B326" s="268"/>
      <c r="C326" s="188"/>
      <c r="D326" s="266"/>
      <c r="E326" s="269"/>
      <c r="F326" s="151"/>
      <c r="G326" s="120"/>
    </row>
    <row r="327" spans="1:7">
      <c r="A327" s="151"/>
      <c r="B327" s="268"/>
      <c r="C327" s="188"/>
      <c r="D327" s="266"/>
      <c r="E327" s="269"/>
      <c r="F327" s="151"/>
      <c r="G327" s="120"/>
    </row>
    <row r="328" spans="1:7">
      <c r="A328" s="151"/>
      <c r="B328" s="268"/>
      <c r="C328" s="188"/>
      <c r="D328" s="266"/>
      <c r="E328" s="269"/>
      <c r="F328" s="151"/>
      <c r="G328" s="120"/>
    </row>
    <row r="329" spans="1:7">
      <c r="A329" s="151"/>
      <c r="B329" s="268"/>
      <c r="C329" s="188"/>
      <c r="D329" s="266"/>
      <c r="E329" s="269"/>
      <c r="F329" s="151"/>
      <c r="G329" s="120"/>
    </row>
    <row r="330" spans="1:7">
      <c r="A330" s="151"/>
      <c r="B330" s="268"/>
      <c r="C330" s="188"/>
      <c r="D330" s="266"/>
      <c r="E330" s="269"/>
      <c r="F330" s="151"/>
      <c r="G330" s="120"/>
    </row>
    <row r="331" spans="1:7">
      <c r="A331" s="151"/>
      <c r="B331" s="268"/>
      <c r="C331" s="188"/>
      <c r="D331" s="266"/>
      <c r="E331" s="269"/>
      <c r="F331" s="151"/>
      <c r="G331" s="120"/>
    </row>
    <row r="332" spans="1:7">
      <c r="A332" s="151"/>
      <c r="B332" s="268"/>
      <c r="C332" s="188"/>
      <c r="D332" s="266"/>
      <c r="E332" s="269"/>
      <c r="F332" s="151"/>
      <c r="G332" s="120"/>
    </row>
    <row r="333" spans="1:7">
      <c r="A333" s="151"/>
      <c r="B333" s="268"/>
      <c r="C333" s="188"/>
      <c r="D333" s="266"/>
      <c r="E333" s="269"/>
      <c r="F333" s="151"/>
      <c r="G333" s="120"/>
    </row>
    <row r="334" spans="1:7">
      <c r="A334" s="151"/>
      <c r="B334" s="268"/>
      <c r="C334" s="188"/>
      <c r="D334" s="266"/>
      <c r="E334" s="269"/>
      <c r="F334" s="151"/>
      <c r="G334" s="120"/>
    </row>
    <row r="335" spans="1:7">
      <c r="A335" s="151"/>
      <c r="B335" s="268"/>
      <c r="C335" s="188"/>
      <c r="D335" s="266"/>
      <c r="E335" s="269"/>
      <c r="F335" s="151"/>
      <c r="G335" s="120"/>
    </row>
    <row r="336" spans="1:7">
      <c r="A336" s="151"/>
      <c r="B336" s="268"/>
      <c r="C336" s="188"/>
      <c r="D336" s="266"/>
      <c r="E336" s="269"/>
      <c r="F336" s="151"/>
      <c r="G336" s="120"/>
    </row>
    <row r="337" spans="1:7">
      <c r="A337" s="151"/>
      <c r="B337" s="268"/>
      <c r="C337" s="188"/>
      <c r="D337" s="266"/>
      <c r="E337" s="269"/>
      <c r="F337" s="151"/>
      <c r="G337" s="120"/>
    </row>
    <row r="338" spans="1:7">
      <c r="A338" s="151"/>
      <c r="B338" s="268"/>
      <c r="C338" s="188"/>
      <c r="D338" s="266"/>
      <c r="E338" s="269"/>
      <c r="F338" s="151"/>
      <c r="G338" s="120"/>
    </row>
    <row r="339" spans="1:7">
      <c r="A339" s="151"/>
      <c r="B339" s="268"/>
      <c r="C339" s="188"/>
      <c r="D339" s="266"/>
      <c r="E339" s="269"/>
      <c r="F339" s="151"/>
      <c r="G339" s="120"/>
    </row>
    <row r="340" spans="1:7">
      <c r="A340" s="151"/>
      <c r="B340" s="268"/>
      <c r="C340" s="188"/>
      <c r="D340" s="266"/>
      <c r="E340" s="269"/>
      <c r="F340" s="151"/>
      <c r="G340" s="120"/>
    </row>
    <row r="341" spans="1:7">
      <c r="A341" s="151"/>
      <c r="B341" s="268"/>
      <c r="C341" s="188"/>
      <c r="D341" s="266"/>
      <c r="E341" s="269"/>
      <c r="F341" s="151"/>
      <c r="G341" s="120"/>
    </row>
    <row r="342" spans="1:7">
      <c r="A342" s="151"/>
      <c r="B342" s="268"/>
      <c r="C342" s="188"/>
      <c r="D342" s="266"/>
      <c r="E342" s="269"/>
      <c r="F342" s="151"/>
      <c r="G342" s="120"/>
    </row>
    <row r="343" spans="1:7">
      <c r="A343" s="151"/>
      <c r="B343" s="268"/>
      <c r="C343" s="188"/>
      <c r="D343" s="266"/>
      <c r="E343" s="269"/>
      <c r="F343" s="151"/>
      <c r="G343" s="120"/>
    </row>
    <row r="344" spans="1:7">
      <c r="A344" s="151"/>
      <c r="B344" s="268"/>
      <c r="C344" s="188"/>
      <c r="D344" s="266"/>
      <c r="E344" s="269"/>
      <c r="F344" s="151"/>
      <c r="G344" s="120"/>
    </row>
    <row r="345" spans="1:7">
      <c r="A345" s="151"/>
      <c r="B345" s="268"/>
      <c r="C345" s="188"/>
      <c r="D345" s="266"/>
      <c r="E345" s="269"/>
      <c r="F345" s="151"/>
      <c r="G345" s="120"/>
    </row>
    <row r="346" spans="1:7">
      <c r="A346" s="151"/>
      <c r="B346" s="268"/>
      <c r="C346" s="188"/>
      <c r="D346" s="266"/>
      <c r="E346" s="269"/>
      <c r="F346" s="151"/>
      <c r="G346" s="120"/>
    </row>
    <row r="347" spans="1:7">
      <c r="A347" s="151"/>
      <c r="B347" s="268"/>
      <c r="C347" s="188"/>
      <c r="D347" s="266"/>
      <c r="E347" s="269"/>
      <c r="F347" s="151"/>
      <c r="G347" s="120"/>
    </row>
    <row r="348" spans="1:7">
      <c r="A348" s="151"/>
      <c r="B348" s="268"/>
      <c r="C348" s="188"/>
      <c r="D348" s="266"/>
      <c r="E348" s="269"/>
      <c r="F348" s="151"/>
      <c r="G348" s="120"/>
    </row>
    <row r="349" spans="1:7">
      <c r="A349" s="151"/>
      <c r="B349" s="268"/>
      <c r="C349" s="188"/>
      <c r="D349" s="266"/>
      <c r="E349" s="269"/>
      <c r="F349" s="151"/>
      <c r="G349" s="120"/>
    </row>
    <row r="350" spans="1:7">
      <c r="A350" s="151"/>
      <c r="B350" s="268"/>
      <c r="C350" s="188"/>
      <c r="D350" s="266"/>
      <c r="E350" s="269"/>
      <c r="F350" s="151"/>
      <c r="G350" s="120"/>
    </row>
    <row r="351" spans="1:7">
      <c r="A351" s="151"/>
      <c r="B351" s="268"/>
      <c r="C351" s="188"/>
      <c r="D351" s="266"/>
      <c r="E351" s="269"/>
      <c r="F351" s="151"/>
      <c r="G351" s="120"/>
    </row>
    <row r="352" spans="1:7">
      <c r="A352" s="151"/>
      <c r="B352" s="268"/>
      <c r="C352" s="188"/>
      <c r="D352" s="266"/>
      <c r="E352" s="269"/>
      <c r="F352" s="151"/>
      <c r="G352" s="120"/>
    </row>
    <row r="353" spans="1:7">
      <c r="A353" s="151"/>
      <c r="B353" s="268"/>
      <c r="C353" s="188"/>
      <c r="D353" s="266"/>
      <c r="E353" s="269"/>
      <c r="F353" s="151"/>
      <c r="G353" s="120"/>
    </row>
    <row r="354" spans="1:7">
      <c r="A354" s="151"/>
      <c r="B354" s="268"/>
      <c r="C354" s="188"/>
      <c r="D354" s="266"/>
      <c r="E354" s="269"/>
      <c r="F354" s="151"/>
      <c r="G354" s="120"/>
    </row>
    <row r="355" spans="1:7">
      <c r="A355" s="151"/>
      <c r="B355" s="268"/>
      <c r="C355" s="188"/>
      <c r="D355" s="266"/>
      <c r="E355" s="269"/>
      <c r="F355" s="151"/>
      <c r="G355" s="120"/>
    </row>
    <row r="356" spans="1:7">
      <c r="A356" s="151"/>
      <c r="B356" s="268"/>
      <c r="C356" s="188"/>
      <c r="D356" s="266"/>
      <c r="E356" s="269"/>
      <c r="F356" s="151"/>
      <c r="G356" s="120"/>
    </row>
    <row r="357" spans="1:7">
      <c r="A357" s="151"/>
      <c r="B357" s="268"/>
      <c r="C357" s="188"/>
      <c r="D357" s="266"/>
      <c r="E357" s="269"/>
      <c r="F357" s="151"/>
      <c r="G357" s="120"/>
    </row>
    <row r="358" spans="1:7">
      <c r="A358" s="151"/>
      <c r="B358" s="268"/>
      <c r="C358" s="188"/>
      <c r="D358" s="266"/>
      <c r="E358" s="269"/>
      <c r="F358" s="151"/>
      <c r="G358" s="120"/>
    </row>
    <row r="359" spans="1:7">
      <c r="A359" s="151"/>
      <c r="B359" s="268"/>
      <c r="C359" s="188"/>
      <c r="D359" s="266"/>
      <c r="E359" s="269"/>
      <c r="F359" s="151"/>
      <c r="G359" s="120"/>
    </row>
    <row r="360" spans="1:7">
      <c r="A360" s="151"/>
      <c r="B360" s="268"/>
      <c r="C360" s="188"/>
      <c r="D360" s="266"/>
      <c r="E360" s="269"/>
      <c r="F360" s="151"/>
      <c r="G360" s="120"/>
    </row>
    <row r="361" spans="1:7">
      <c r="A361" s="151"/>
      <c r="B361" s="268"/>
      <c r="C361" s="188"/>
      <c r="D361" s="266"/>
      <c r="E361" s="269"/>
      <c r="F361" s="151"/>
      <c r="G361" s="120"/>
    </row>
    <row r="362" spans="1:7">
      <c r="A362" s="151"/>
      <c r="B362" s="268"/>
      <c r="C362" s="188"/>
      <c r="D362" s="266"/>
      <c r="E362" s="269"/>
      <c r="F362" s="151"/>
      <c r="G362" s="120"/>
    </row>
    <row r="363" spans="1:7">
      <c r="A363" s="151"/>
      <c r="B363" s="268"/>
      <c r="C363" s="188"/>
      <c r="D363" s="266"/>
      <c r="E363" s="269"/>
      <c r="F363" s="151"/>
      <c r="G363" s="120"/>
    </row>
    <row r="364" spans="1:7">
      <c r="A364" s="151"/>
      <c r="B364" s="268"/>
      <c r="C364" s="188"/>
      <c r="D364" s="266"/>
      <c r="E364" s="269"/>
      <c r="F364" s="151"/>
      <c r="G364" s="120"/>
    </row>
    <row r="365" spans="1:7">
      <c r="A365" s="151"/>
      <c r="B365" s="268"/>
      <c r="C365" s="188"/>
      <c r="D365" s="266"/>
      <c r="E365" s="269"/>
      <c r="F365" s="151"/>
      <c r="G365" s="120"/>
    </row>
    <row r="366" spans="1:7">
      <c r="A366" s="151"/>
      <c r="B366" s="268"/>
      <c r="C366" s="188"/>
      <c r="D366" s="266"/>
      <c r="E366" s="269"/>
      <c r="F366" s="151"/>
      <c r="G366" s="120"/>
    </row>
    <row r="367" spans="1:7">
      <c r="A367" s="151"/>
      <c r="B367" s="268"/>
      <c r="C367" s="188"/>
      <c r="D367" s="266"/>
      <c r="E367" s="269"/>
      <c r="F367" s="151"/>
      <c r="G367" s="120"/>
    </row>
    <row r="368" spans="1:7">
      <c r="A368" s="151"/>
      <c r="B368" s="268"/>
      <c r="C368" s="188"/>
      <c r="D368" s="266"/>
      <c r="E368" s="269"/>
      <c r="F368" s="151"/>
      <c r="G368" s="120"/>
    </row>
    <row r="369" spans="1:7">
      <c r="A369" s="151"/>
      <c r="B369" s="268"/>
      <c r="C369" s="188"/>
      <c r="D369" s="266"/>
      <c r="E369" s="269"/>
      <c r="F369" s="151"/>
      <c r="G369" s="120"/>
    </row>
    <row r="370" spans="1:7">
      <c r="A370" s="151"/>
      <c r="B370" s="268"/>
      <c r="C370" s="188"/>
      <c r="D370" s="266"/>
      <c r="E370" s="269"/>
      <c r="F370" s="151"/>
      <c r="G370" s="120"/>
    </row>
    <row r="371" spans="1:7">
      <c r="A371" s="151"/>
      <c r="B371" s="268"/>
      <c r="C371" s="188"/>
      <c r="D371" s="266"/>
      <c r="E371" s="269"/>
      <c r="F371" s="151"/>
      <c r="G371" s="120"/>
    </row>
    <row r="372" spans="1:7">
      <c r="A372" s="151"/>
      <c r="B372" s="268"/>
      <c r="C372" s="188"/>
      <c r="D372" s="266"/>
      <c r="E372" s="269"/>
      <c r="F372" s="151"/>
      <c r="G372" s="120"/>
    </row>
    <row r="373" spans="1:7">
      <c r="A373" s="151"/>
      <c r="B373" s="268"/>
      <c r="C373" s="188"/>
      <c r="D373" s="266"/>
      <c r="E373" s="269"/>
      <c r="F373" s="151"/>
      <c r="G373" s="120"/>
    </row>
    <row r="374" spans="1:7">
      <c r="A374" s="151"/>
      <c r="B374" s="268"/>
      <c r="C374" s="188"/>
      <c r="D374" s="266"/>
      <c r="E374" s="269"/>
      <c r="F374" s="151"/>
      <c r="G374" s="120"/>
    </row>
    <row r="375" spans="1:7">
      <c r="A375" s="151"/>
      <c r="B375" s="268"/>
      <c r="C375" s="188"/>
      <c r="D375" s="266"/>
      <c r="E375" s="269"/>
      <c r="F375" s="151"/>
      <c r="G375" s="120"/>
    </row>
    <row r="376" spans="1:7">
      <c r="A376" s="151"/>
      <c r="B376" s="268"/>
      <c r="C376" s="188"/>
      <c r="D376" s="266"/>
      <c r="E376" s="269"/>
      <c r="F376" s="151"/>
      <c r="G376" s="120"/>
    </row>
    <row r="377" spans="1:7">
      <c r="A377" s="151"/>
      <c r="B377" s="268"/>
      <c r="C377" s="188"/>
      <c r="D377" s="266"/>
      <c r="E377" s="269"/>
      <c r="F377" s="151"/>
      <c r="G377" s="120"/>
    </row>
    <row r="378" spans="1:7">
      <c r="A378" s="151"/>
      <c r="B378" s="268"/>
      <c r="C378" s="188"/>
      <c r="D378" s="266"/>
      <c r="E378" s="269"/>
      <c r="F378" s="151"/>
      <c r="G378" s="120"/>
    </row>
    <row r="379" spans="1:7">
      <c r="A379" s="151"/>
      <c r="B379" s="268"/>
      <c r="C379" s="188"/>
      <c r="D379" s="266"/>
      <c r="E379" s="269"/>
      <c r="F379" s="151"/>
      <c r="G379" s="120"/>
    </row>
    <row r="380" spans="1:7">
      <c r="A380" s="151"/>
      <c r="B380" s="268"/>
      <c r="C380" s="188"/>
      <c r="D380" s="266"/>
      <c r="E380" s="269"/>
      <c r="F380" s="151"/>
      <c r="G380" s="120"/>
    </row>
    <row r="381" spans="1:7">
      <c r="A381" s="151"/>
      <c r="B381" s="268"/>
      <c r="C381" s="188"/>
      <c r="D381" s="266"/>
      <c r="E381" s="269"/>
      <c r="F381" s="151"/>
      <c r="G381" s="120"/>
    </row>
    <row r="382" spans="1:7">
      <c r="A382" s="151"/>
      <c r="B382" s="268"/>
      <c r="C382" s="188"/>
      <c r="D382" s="266"/>
      <c r="E382" s="269"/>
      <c r="F382" s="151"/>
      <c r="G382" s="120"/>
    </row>
    <row r="383" spans="1:7">
      <c r="A383" s="151"/>
      <c r="B383" s="268"/>
      <c r="C383" s="188"/>
      <c r="D383" s="266"/>
      <c r="E383" s="269"/>
      <c r="F383" s="151"/>
      <c r="G383" s="120"/>
    </row>
    <row r="384" spans="1:7">
      <c r="A384" s="151"/>
      <c r="B384" s="268"/>
      <c r="C384" s="188"/>
      <c r="D384" s="266"/>
      <c r="E384" s="269"/>
      <c r="F384" s="151"/>
      <c r="G384" s="120"/>
    </row>
    <row r="385" spans="1:7">
      <c r="A385" s="151"/>
      <c r="B385" s="268"/>
      <c r="C385" s="188"/>
      <c r="D385" s="266"/>
      <c r="E385" s="269"/>
      <c r="F385" s="151"/>
      <c r="G385" s="120"/>
    </row>
    <row r="386" spans="1:7">
      <c r="A386" s="151"/>
      <c r="B386" s="268"/>
      <c r="C386" s="188"/>
      <c r="D386" s="266"/>
      <c r="E386" s="269"/>
      <c r="F386" s="151"/>
      <c r="G386" s="120"/>
    </row>
    <row r="387" spans="1:7">
      <c r="A387" s="151"/>
      <c r="B387" s="268"/>
      <c r="C387" s="188"/>
      <c r="D387" s="266"/>
      <c r="E387" s="269"/>
      <c r="F387" s="151"/>
      <c r="G387" s="120"/>
    </row>
    <row r="388" spans="1:7">
      <c r="A388" s="151"/>
      <c r="B388" s="268"/>
      <c r="C388" s="188"/>
      <c r="D388" s="266"/>
      <c r="E388" s="269"/>
      <c r="F388" s="151"/>
      <c r="G388" s="120"/>
    </row>
    <row r="389" spans="1:7">
      <c r="A389" s="151"/>
      <c r="B389" s="268"/>
      <c r="C389" s="188"/>
      <c r="D389" s="266"/>
      <c r="E389" s="269"/>
      <c r="F389" s="151"/>
      <c r="G389" s="120"/>
    </row>
    <row r="390" spans="1:7">
      <c r="A390" s="151"/>
      <c r="B390" s="268"/>
      <c r="C390" s="188"/>
      <c r="D390" s="266"/>
      <c r="E390" s="269"/>
      <c r="F390" s="151"/>
      <c r="G390" s="120"/>
    </row>
    <row r="391" spans="1:7">
      <c r="A391" s="151"/>
      <c r="B391" s="268"/>
      <c r="C391" s="188"/>
      <c r="D391" s="266"/>
      <c r="E391" s="269"/>
      <c r="F391" s="151"/>
      <c r="G391" s="120"/>
    </row>
    <row r="392" spans="1:7">
      <c r="A392" s="151"/>
      <c r="B392" s="268"/>
      <c r="C392" s="188"/>
      <c r="D392" s="266"/>
      <c r="E392" s="269"/>
      <c r="F392" s="151"/>
      <c r="G392" s="120"/>
    </row>
    <row r="393" spans="1:7">
      <c r="A393" s="151"/>
      <c r="B393" s="268"/>
      <c r="C393" s="188"/>
      <c r="D393" s="266"/>
      <c r="E393" s="269"/>
      <c r="F393" s="151"/>
      <c r="G393" s="120"/>
    </row>
    <row r="394" spans="1:7">
      <c r="A394" s="151"/>
      <c r="B394" s="268"/>
      <c r="C394" s="188"/>
      <c r="D394" s="266"/>
      <c r="E394" s="269"/>
      <c r="F394" s="151"/>
      <c r="G394" s="120"/>
    </row>
    <row r="395" spans="1:7">
      <c r="A395" s="151"/>
      <c r="B395" s="268"/>
      <c r="C395" s="188"/>
      <c r="D395" s="266"/>
      <c r="E395" s="269"/>
      <c r="F395" s="151"/>
      <c r="G395" s="120"/>
    </row>
    <row r="396" spans="1:7">
      <c r="A396" s="151"/>
      <c r="B396" s="268"/>
      <c r="C396" s="188"/>
      <c r="D396" s="266"/>
      <c r="E396" s="269"/>
      <c r="F396" s="151"/>
      <c r="G396" s="120"/>
    </row>
    <row r="397" spans="1:7">
      <c r="A397" s="151"/>
      <c r="B397" s="268"/>
      <c r="C397" s="188"/>
      <c r="D397" s="266"/>
      <c r="E397" s="269"/>
      <c r="F397" s="151"/>
      <c r="G397" s="120"/>
    </row>
    <row r="398" spans="1:7">
      <c r="A398" s="151"/>
      <c r="B398" s="268"/>
      <c r="C398" s="188"/>
      <c r="D398" s="266"/>
      <c r="E398" s="269"/>
      <c r="F398" s="151"/>
      <c r="G398" s="120"/>
    </row>
    <row r="399" spans="1:7">
      <c r="A399" s="151"/>
      <c r="B399" s="268"/>
      <c r="C399" s="188"/>
      <c r="D399" s="266"/>
      <c r="E399" s="269"/>
      <c r="F399" s="151"/>
      <c r="G399" s="120"/>
    </row>
    <row r="400" spans="1:7">
      <c r="A400" s="151"/>
      <c r="B400" s="268"/>
      <c r="C400" s="188"/>
      <c r="D400" s="266"/>
      <c r="E400" s="269"/>
      <c r="F400" s="151"/>
      <c r="G400" s="120"/>
    </row>
    <row r="401" spans="1:7">
      <c r="A401" s="151"/>
      <c r="B401" s="268"/>
      <c r="C401" s="188"/>
      <c r="D401" s="266"/>
      <c r="E401" s="269"/>
      <c r="F401" s="151"/>
      <c r="G401" s="120"/>
    </row>
    <row r="402" spans="1:7">
      <c r="A402" s="151"/>
      <c r="B402" s="268"/>
      <c r="C402" s="188"/>
      <c r="D402" s="266"/>
      <c r="E402" s="269"/>
      <c r="F402" s="151"/>
      <c r="G402" s="120"/>
    </row>
    <row r="403" spans="1:7">
      <c r="A403" s="151"/>
      <c r="B403" s="268"/>
      <c r="C403" s="188"/>
      <c r="D403" s="266"/>
      <c r="E403" s="269"/>
      <c r="F403" s="151"/>
      <c r="G403" s="120"/>
    </row>
    <row r="404" spans="1:7">
      <c r="A404" s="151"/>
      <c r="B404" s="268"/>
      <c r="C404" s="188"/>
      <c r="D404" s="266"/>
      <c r="E404" s="269"/>
      <c r="F404" s="151"/>
      <c r="G404" s="120"/>
    </row>
    <row r="405" spans="1:7">
      <c r="A405" s="151"/>
      <c r="B405" s="268"/>
      <c r="C405" s="188"/>
      <c r="D405" s="266"/>
      <c r="E405" s="269"/>
      <c r="F405" s="151"/>
      <c r="G405" s="120"/>
    </row>
    <row r="406" spans="1:7">
      <c r="A406" s="151"/>
      <c r="B406" s="268"/>
      <c r="C406" s="188"/>
      <c r="D406" s="266"/>
      <c r="E406" s="269"/>
      <c r="F406" s="151"/>
      <c r="G406" s="120"/>
    </row>
    <row r="407" spans="1:7">
      <c r="A407" s="151"/>
      <c r="B407" s="268"/>
      <c r="C407" s="188"/>
      <c r="D407" s="266"/>
      <c r="E407" s="269"/>
      <c r="F407" s="151"/>
      <c r="G407" s="120"/>
    </row>
    <row r="408" spans="1:7">
      <c r="A408" s="151"/>
      <c r="B408" s="268"/>
      <c r="C408" s="188"/>
      <c r="D408" s="266"/>
      <c r="E408" s="269"/>
      <c r="F408" s="151"/>
      <c r="G408" s="120"/>
    </row>
    <row r="409" spans="1:7">
      <c r="A409" s="151"/>
      <c r="B409" s="268"/>
      <c r="C409" s="188"/>
      <c r="D409" s="266"/>
      <c r="E409" s="269"/>
      <c r="F409" s="151"/>
      <c r="G409" s="120"/>
    </row>
    <row r="410" spans="1:7">
      <c r="A410" s="151"/>
      <c r="B410" s="268"/>
      <c r="C410" s="188"/>
      <c r="D410" s="266"/>
      <c r="E410" s="269"/>
      <c r="F410" s="151"/>
      <c r="G410" s="120"/>
    </row>
    <row r="411" spans="1:7">
      <c r="A411" s="151"/>
      <c r="B411" s="268"/>
      <c r="C411" s="188"/>
      <c r="D411" s="266"/>
      <c r="E411" s="269"/>
      <c r="F411" s="151"/>
      <c r="G411" s="120"/>
    </row>
    <row r="412" spans="1:7">
      <c r="A412" s="151"/>
      <c r="B412" s="268"/>
      <c r="C412" s="188"/>
      <c r="D412" s="266"/>
      <c r="E412" s="269"/>
      <c r="F412" s="151"/>
      <c r="G412" s="120"/>
    </row>
    <row r="413" spans="1:7">
      <c r="A413" s="151"/>
      <c r="B413" s="268"/>
      <c r="C413" s="188"/>
      <c r="D413" s="266"/>
      <c r="E413" s="269"/>
      <c r="F413" s="151"/>
      <c r="G413" s="120"/>
    </row>
    <row r="414" spans="1:7">
      <c r="A414" s="151"/>
      <c r="B414" s="268"/>
      <c r="C414" s="188"/>
      <c r="D414" s="266"/>
      <c r="E414" s="269"/>
      <c r="F414" s="151"/>
      <c r="G414" s="120"/>
    </row>
    <row r="415" spans="1:7">
      <c r="A415" s="151"/>
      <c r="B415" s="268"/>
      <c r="C415" s="188"/>
      <c r="D415" s="266"/>
      <c r="E415" s="269"/>
      <c r="F415" s="151"/>
      <c r="G415" s="120"/>
    </row>
    <row r="416" spans="1:7">
      <c r="A416" s="151"/>
      <c r="B416" s="268"/>
      <c r="C416" s="188"/>
      <c r="D416" s="266"/>
      <c r="E416" s="269"/>
      <c r="F416" s="151"/>
      <c r="G416" s="120"/>
    </row>
    <row r="417" spans="1:7">
      <c r="A417" s="151"/>
      <c r="B417" s="268"/>
      <c r="C417" s="188"/>
      <c r="D417" s="266"/>
      <c r="E417" s="269"/>
      <c r="F417" s="151"/>
      <c r="G417" s="120"/>
    </row>
    <row r="418" spans="1:7">
      <c r="A418" s="151"/>
      <c r="B418" s="268"/>
      <c r="C418" s="188"/>
      <c r="D418" s="266"/>
      <c r="E418" s="269"/>
      <c r="F418" s="151"/>
      <c r="G418" s="120"/>
    </row>
    <row r="419" spans="1:7">
      <c r="A419" s="151"/>
      <c r="B419" s="268"/>
      <c r="C419" s="188"/>
      <c r="D419" s="266"/>
      <c r="E419" s="269"/>
      <c r="F419" s="151"/>
      <c r="G419" s="120"/>
    </row>
    <row r="420" spans="1:7">
      <c r="A420" s="151"/>
      <c r="B420" s="268"/>
      <c r="C420" s="188"/>
      <c r="D420" s="266"/>
      <c r="E420" s="269"/>
      <c r="F420" s="151"/>
      <c r="G420" s="120"/>
    </row>
    <row r="421" spans="1:7">
      <c r="A421" s="151"/>
      <c r="B421" s="268"/>
      <c r="C421" s="188"/>
      <c r="D421" s="266"/>
      <c r="E421" s="269"/>
      <c r="F421" s="151"/>
      <c r="G421" s="120"/>
    </row>
    <row r="422" spans="1:7">
      <c r="A422" s="151"/>
      <c r="B422" s="268"/>
      <c r="C422" s="188"/>
      <c r="D422" s="266"/>
      <c r="E422" s="269"/>
      <c r="F422" s="151"/>
      <c r="G422" s="120"/>
    </row>
    <row r="423" spans="1:7">
      <c r="A423" s="151"/>
      <c r="B423" s="268"/>
      <c r="C423" s="188"/>
      <c r="D423" s="266"/>
      <c r="E423" s="269"/>
      <c r="F423" s="151"/>
      <c r="G423" s="120"/>
    </row>
    <row r="424" spans="1:7">
      <c r="A424" s="151"/>
      <c r="B424" s="268"/>
      <c r="C424" s="188"/>
      <c r="D424" s="266"/>
      <c r="E424" s="269"/>
      <c r="F424" s="151"/>
      <c r="G424" s="120"/>
    </row>
    <row r="425" spans="1:7">
      <c r="A425" s="151"/>
      <c r="B425" s="268"/>
      <c r="C425" s="188"/>
      <c r="D425" s="266"/>
      <c r="E425" s="269"/>
      <c r="F425" s="151"/>
      <c r="G425" s="120"/>
    </row>
    <row r="426" spans="1:7">
      <c r="A426" s="151"/>
      <c r="B426" s="268"/>
      <c r="C426" s="188"/>
      <c r="D426" s="266"/>
      <c r="E426" s="269"/>
      <c r="F426" s="151"/>
      <c r="G426" s="120"/>
    </row>
    <row r="427" spans="1:7">
      <c r="A427" s="151"/>
      <c r="B427" s="268"/>
      <c r="C427" s="188"/>
      <c r="D427" s="266"/>
      <c r="E427" s="269"/>
      <c r="F427" s="151"/>
      <c r="G427" s="120"/>
    </row>
    <row r="428" spans="1:7">
      <c r="A428" s="151"/>
      <c r="B428" s="268"/>
      <c r="C428" s="188"/>
      <c r="D428" s="266"/>
      <c r="E428" s="269"/>
      <c r="F428" s="151"/>
      <c r="G428" s="120"/>
    </row>
    <row r="429" spans="1:7">
      <c r="A429" s="151"/>
      <c r="B429" s="268"/>
      <c r="C429" s="188"/>
      <c r="D429" s="266"/>
      <c r="E429" s="269"/>
      <c r="F429" s="151"/>
      <c r="G429" s="120"/>
    </row>
    <row r="430" spans="1:7">
      <c r="A430" s="151"/>
      <c r="B430" s="268"/>
      <c r="C430" s="188"/>
      <c r="D430" s="266"/>
      <c r="E430" s="269"/>
      <c r="F430" s="151"/>
      <c r="G430" s="120"/>
    </row>
    <row r="431" spans="1:7">
      <c r="A431" s="151"/>
      <c r="B431" s="268"/>
      <c r="C431" s="188"/>
      <c r="D431" s="266"/>
      <c r="E431" s="269"/>
      <c r="F431" s="151"/>
      <c r="G431" s="120"/>
    </row>
    <row r="432" spans="1:7">
      <c r="A432" s="151"/>
      <c r="B432" s="268"/>
      <c r="C432" s="188"/>
      <c r="D432" s="266"/>
      <c r="E432" s="269"/>
      <c r="F432" s="151"/>
      <c r="G432" s="120"/>
    </row>
    <row r="433" spans="1:7">
      <c r="A433" s="151"/>
      <c r="B433" s="268"/>
      <c r="C433" s="188"/>
      <c r="D433" s="266"/>
      <c r="E433" s="269"/>
      <c r="F433" s="151"/>
      <c r="G433" s="120"/>
    </row>
    <row r="434" spans="1:7">
      <c r="A434" s="151"/>
      <c r="B434" s="268"/>
      <c r="C434" s="188"/>
      <c r="D434" s="266"/>
      <c r="E434" s="269"/>
      <c r="F434" s="151"/>
      <c r="G434" s="120"/>
    </row>
    <row r="435" spans="1:7">
      <c r="A435" s="151"/>
      <c r="B435" s="268"/>
      <c r="C435" s="188"/>
      <c r="D435" s="266"/>
      <c r="E435" s="269"/>
      <c r="F435" s="151"/>
      <c r="G435" s="120"/>
    </row>
    <row r="436" spans="1:7" ht="15.75" customHeight="1">
      <c r="A436" s="151"/>
      <c r="B436" s="268"/>
      <c r="C436" s="188"/>
      <c r="D436" s="266"/>
      <c r="E436" s="269"/>
      <c r="F436" s="151"/>
      <c r="G436" s="120"/>
    </row>
    <row r="437" spans="1:7">
      <c r="A437" s="151"/>
      <c r="B437" s="268"/>
      <c r="C437" s="188"/>
      <c r="D437" s="266"/>
      <c r="E437" s="269"/>
      <c r="F437" s="151"/>
      <c r="G437" s="120"/>
    </row>
    <row r="438" spans="1:7">
      <c r="A438" s="151"/>
      <c r="B438" s="268"/>
      <c r="C438" s="188"/>
      <c r="D438" s="266"/>
      <c r="E438" s="269"/>
      <c r="F438" s="151"/>
      <c r="G438" s="120"/>
    </row>
    <row r="439" spans="1:7">
      <c r="A439" s="151"/>
      <c r="B439" s="268"/>
      <c r="C439" s="188"/>
      <c r="D439" s="266"/>
      <c r="E439" s="269"/>
      <c r="F439" s="151"/>
      <c r="G439" s="120"/>
    </row>
    <row r="440" spans="1:7">
      <c r="A440" s="151"/>
      <c r="B440" s="268"/>
      <c r="C440" s="188"/>
      <c r="D440" s="266"/>
      <c r="E440" s="269"/>
      <c r="F440" s="151"/>
      <c r="G440" s="120"/>
    </row>
    <row r="441" spans="1:7">
      <c r="A441" s="151"/>
      <c r="B441" s="268"/>
      <c r="C441" s="188"/>
      <c r="D441" s="266"/>
      <c r="E441" s="269"/>
      <c r="F441" s="151"/>
      <c r="G441" s="120"/>
    </row>
    <row r="442" spans="1:7">
      <c r="A442" s="151"/>
      <c r="B442" s="268"/>
      <c r="C442" s="188"/>
      <c r="D442" s="266"/>
      <c r="E442" s="269"/>
      <c r="F442" s="151"/>
      <c r="G442" s="120"/>
    </row>
    <row r="443" spans="1:7">
      <c r="A443" s="151"/>
      <c r="B443" s="268"/>
      <c r="C443" s="188"/>
      <c r="D443" s="266"/>
      <c r="E443" s="269"/>
      <c r="F443" s="151"/>
      <c r="G443" s="120"/>
    </row>
    <row r="444" spans="1:7">
      <c r="A444" s="151"/>
      <c r="B444" s="268"/>
      <c r="C444" s="188"/>
      <c r="D444" s="266"/>
      <c r="E444" s="269"/>
      <c r="F444" s="151"/>
      <c r="G444" s="120"/>
    </row>
    <row r="445" spans="1:7">
      <c r="A445" s="151"/>
      <c r="B445" s="268"/>
      <c r="C445" s="188"/>
      <c r="D445" s="266"/>
      <c r="E445" s="269"/>
      <c r="F445" s="151"/>
      <c r="G445" s="120"/>
    </row>
    <row r="446" spans="1:7">
      <c r="A446" s="151"/>
      <c r="B446" s="268"/>
      <c r="C446" s="188"/>
      <c r="D446" s="266"/>
      <c r="E446" s="269"/>
      <c r="F446" s="151"/>
      <c r="G446" s="120"/>
    </row>
    <row r="447" spans="1:7">
      <c r="A447" s="151"/>
      <c r="B447" s="268"/>
      <c r="C447" s="188"/>
      <c r="D447" s="266"/>
      <c r="E447" s="269"/>
      <c r="F447" s="151"/>
      <c r="G447" s="120"/>
    </row>
    <row r="448" spans="1:7">
      <c r="A448" s="151"/>
      <c r="B448" s="268"/>
      <c r="C448" s="188"/>
      <c r="D448" s="266"/>
      <c r="E448" s="269"/>
      <c r="F448" s="151"/>
      <c r="G448" s="120"/>
    </row>
    <row r="449" spans="1:7">
      <c r="A449" s="151"/>
      <c r="B449" s="268"/>
      <c r="C449" s="188"/>
      <c r="D449" s="266"/>
      <c r="E449" s="269"/>
      <c r="F449" s="151"/>
      <c r="G449" s="120"/>
    </row>
    <row r="450" spans="1:7">
      <c r="A450" s="151"/>
      <c r="B450" s="268"/>
      <c r="C450" s="188"/>
      <c r="D450" s="266"/>
      <c r="E450" s="269"/>
      <c r="F450" s="151"/>
      <c r="G450" s="120"/>
    </row>
    <row r="451" spans="1:7">
      <c r="A451" s="151"/>
      <c r="B451" s="268"/>
      <c r="C451" s="188"/>
      <c r="D451" s="266"/>
      <c r="E451" s="269"/>
      <c r="F451" s="151"/>
      <c r="G451" s="120"/>
    </row>
    <row r="452" spans="1:7">
      <c r="A452" s="151"/>
      <c r="B452" s="268"/>
      <c r="C452" s="188"/>
      <c r="D452" s="266"/>
      <c r="E452" s="269"/>
      <c r="F452" s="151"/>
      <c r="G452" s="120"/>
    </row>
    <row r="453" spans="1:7">
      <c r="A453" s="151"/>
      <c r="B453" s="268"/>
      <c r="C453" s="257"/>
      <c r="D453" s="266"/>
      <c r="E453" s="269"/>
      <c r="F453" s="151"/>
      <c r="G453" s="120"/>
    </row>
    <row r="454" spans="1:7">
      <c r="A454" s="151"/>
      <c r="B454" s="268"/>
      <c r="C454" s="257"/>
      <c r="D454" s="266"/>
      <c r="E454" s="269"/>
      <c r="F454" s="151"/>
      <c r="G454" s="120"/>
    </row>
    <row r="455" spans="1:7">
      <c r="A455" s="151"/>
      <c r="B455" s="268"/>
      <c r="C455" s="257"/>
      <c r="D455" s="266"/>
      <c r="E455" s="269"/>
      <c r="F455" s="151"/>
      <c r="G455" s="120"/>
    </row>
    <row r="456" spans="1:7">
      <c r="A456" s="151"/>
      <c r="B456" s="268"/>
      <c r="C456" s="257"/>
      <c r="D456" s="266"/>
      <c r="E456" s="269"/>
      <c r="F456" s="151"/>
      <c r="G456" s="120"/>
    </row>
    <row r="457" spans="1:7">
      <c r="A457" s="151"/>
      <c r="B457" s="268"/>
      <c r="C457" s="257"/>
      <c r="D457" s="266"/>
      <c r="E457" s="269"/>
      <c r="F457" s="151"/>
      <c r="G457" s="120"/>
    </row>
    <row r="458" spans="1:7">
      <c r="A458" s="151"/>
      <c r="B458" s="268"/>
      <c r="C458" s="257"/>
      <c r="D458" s="266"/>
      <c r="E458" s="269"/>
      <c r="F458" s="151"/>
      <c r="G458" s="120"/>
    </row>
    <row r="459" spans="1:7">
      <c r="A459" s="151"/>
      <c r="B459" s="268"/>
      <c r="C459" s="257"/>
      <c r="D459" s="266"/>
      <c r="E459" s="269"/>
      <c r="F459" s="151"/>
      <c r="G459" s="120"/>
    </row>
    <row r="460" spans="1:7">
      <c r="A460" s="151"/>
      <c r="B460" s="268"/>
      <c r="C460" s="257"/>
      <c r="D460" s="266"/>
      <c r="E460" s="269"/>
      <c r="F460" s="151"/>
      <c r="G460" s="120"/>
    </row>
    <row r="461" spans="1:7">
      <c r="A461" s="151"/>
      <c r="B461" s="268"/>
      <c r="C461" s="257"/>
      <c r="D461" s="266"/>
      <c r="E461" s="269"/>
      <c r="F461" s="151"/>
      <c r="G461" s="120"/>
    </row>
    <row r="462" spans="1:7">
      <c r="A462" s="151"/>
      <c r="B462" s="268"/>
      <c r="C462" s="257"/>
      <c r="D462" s="266"/>
      <c r="E462" s="269"/>
      <c r="F462" s="151"/>
      <c r="G462" s="120"/>
    </row>
    <row r="463" spans="1:7">
      <c r="A463" s="151"/>
      <c r="B463" s="268"/>
      <c r="C463" s="257"/>
      <c r="D463" s="266"/>
      <c r="E463" s="269"/>
      <c r="F463" s="151"/>
      <c r="G463" s="120"/>
    </row>
    <row r="464" spans="1:7">
      <c r="A464" s="151"/>
      <c r="B464" s="268"/>
      <c r="C464" s="257"/>
      <c r="D464" s="266"/>
      <c r="E464" s="269"/>
      <c r="F464" s="151"/>
      <c r="G464" s="120"/>
    </row>
    <row r="465" spans="1:7">
      <c r="A465" s="151"/>
      <c r="B465" s="268"/>
      <c r="C465" s="257"/>
      <c r="D465" s="266"/>
      <c r="E465" s="269"/>
      <c r="F465" s="151"/>
      <c r="G465" s="120"/>
    </row>
    <row r="466" spans="1:7">
      <c r="A466" s="151"/>
      <c r="B466" s="268"/>
      <c r="C466" s="257"/>
      <c r="D466" s="105"/>
      <c r="E466" s="269"/>
      <c r="F466" s="151"/>
      <c r="G466" s="120"/>
    </row>
    <row r="467" spans="1:7">
      <c r="A467" s="151"/>
      <c r="B467" s="151"/>
      <c r="C467" s="188"/>
      <c r="D467" s="105"/>
      <c r="E467" s="120"/>
      <c r="F467" s="151"/>
      <c r="G467" s="120"/>
    </row>
    <row r="468" spans="1:7">
      <c r="A468" s="151"/>
      <c r="B468" s="241"/>
      <c r="C468" s="242"/>
      <c r="D468" s="241"/>
      <c r="E468" s="232"/>
      <c r="F468" s="151"/>
      <c r="G468" s="120"/>
    </row>
    <row r="469" spans="1:7">
      <c r="A469" s="151"/>
      <c r="B469" s="237"/>
      <c r="C469" s="246"/>
      <c r="D469" s="231"/>
      <c r="E469" s="237"/>
      <c r="F469" s="151"/>
      <c r="G469" s="120"/>
    </row>
    <row r="470" spans="1:7">
      <c r="A470" s="151"/>
      <c r="B470" s="237"/>
      <c r="C470" s="246"/>
      <c r="D470" s="237"/>
      <c r="E470" s="237"/>
      <c r="F470" s="151"/>
      <c r="G470" s="120"/>
    </row>
    <row r="471" spans="1:7">
      <c r="A471" s="151"/>
      <c r="B471" s="151"/>
      <c r="C471" s="82"/>
      <c r="D471" s="105"/>
      <c r="E471" s="120"/>
      <c r="F471" s="151"/>
      <c r="G471" s="120"/>
    </row>
    <row r="472" spans="1:7">
      <c r="A472" s="151"/>
      <c r="B472" s="151"/>
      <c r="C472" s="82"/>
      <c r="D472" s="265"/>
      <c r="E472" s="120"/>
      <c r="F472" s="151"/>
      <c r="G472" s="120"/>
    </row>
    <row r="473" spans="1:7">
      <c r="A473" s="151"/>
      <c r="B473" s="151"/>
      <c r="C473" s="82"/>
      <c r="D473" s="265"/>
      <c r="E473" s="120"/>
      <c r="F473" s="151"/>
      <c r="G473" s="120"/>
    </row>
    <row r="474" spans="1:7">
      <c r="A474" s="151"/>
      <c r="B474" s="151"/>
      <c r="C474" s="82"/>
      <c r="D474" s="151"/>
      <c r="E474" s="120"/>
      <c r="F474" s="151"/>
      <c r="G474" s="120"/>
    </row>
    <row r="475" spans="1:7">
      <c r="A475" s="151"/>
      <c r="B475" s="267"/>
      <c r="C475" s="242"/>
      <c r="D475" s="266"/>
      <c r="E475" s="237"/>
      <c r="F475" s="151"/>
      <c r="G475" s="120"/>
    </row>
    <row r="476" spans="1:7">
      <c r="A476" s="151"/>
      <c r="B476" s="267"/>
      <c r="C476" s="242"/>
      <c r="D476" s="266"/>
      <c r="E476" s="237"/>
      <c r="F476" s="151"/>
      <c r="G476" s="120"/>
    </row>
    <row r="477" spans="1:7">
      <c r="A477" s="151"/>
      <c r="B477" s="267"/>
      <c r="C477" s="242"/>
      <c r="D477" s="227"/>
      <c r="E477" s="237"/>
      <c r="F477" s="151"/>
      <c r="G477" s="120"/>
    </row>
    <row r="478" spans="1:7">
      <c r="A478" s="151"/>
      <c r="B478" s="267"/>
      <c r="C478" s="242"/>
      <c r="D478" s="227"/>
      <c r="E478" s="237"/>
      <c r="F478" s="151"/>
      <c r="G478" s="120"/>
    </row>
    <row r="479" spans="1:7">
      <c r="A479" s="151"/>
      <c r="B479" s="267"/>
      <c r="C479" s="242"/>
      <c r="D479" s="227"/>
      <c r="E479" s="237"/>
      <c r="F479" s="151"/>
      <c r="G479" s="120"/>
    </row>
    <row r="480" spans="1:7">
      <c r="A480" s="151"/>
      <c r="B480" s="267"/>
      <c r="C480" s="242"/>
      <c r="D480" s="227"/>
      <c r="E480" s="237"/>
      <c r="F480" s="151"/>
      <c r="G480" s="120"/>
    </row>
    <row r="481" spans="1:7">
      <c r="A481" s="151"/>
      <c r="B481" s="151"/>
      <c r="C481" s="82"/>
      <c r="D481" s="93"/>
      <c r="E481" s="120"/>
      <c r="F481" s="151"/>
      <c r="G481" s="120"/>
    </row>
    <row r="482" spans="1:7">
      <c r="A482" s="151"/>
      <c r="B482" s="151"/>
      <c r="C482" s="82"/>
      <c r="D482" s="151"/>
      <c r="E482" s="120"/>
      <c r="F482" s="151"/>
      <c r="G482" s="120"/>
    </row>
    <row r="483" spans="1:7">
      <c r="A483" s="151"/>
      <c r="B483" s="151"/>
      <c r="C483" s="82"/>
      <c r="D483" s="154"/>
      <c r="E483" s="120"/>
      <c r="F483" s="151"/>
      <c r="G483" s="120"/>
    </row>
    <row r="484" spans="1:7">
      <c r="A484" s="151"/>
      <c r="B484" s="151"/>
      <c r="C484" s="82"/>
      <c r="D484" s="154"/>
      <c r="E484" s="120"/>
      <c r="F484" s="151"/>
      <c r="G484" s="120"/>
    </row>
    <row r="485" spans="1:7">
      <c r="A485" s="151"/>
      <c r="B485" s="151"/>
      <c r="C485" s="82"/>
      <c r="D485" s="154"/>
      <c r="E485" s="120"/>
      <c r="F485" s="151"/>
      <c r="G485" s="120"/>
    </row>
    <row r="486" spans="1:7">
      <c r="A486" s="151"/>
      <c r="B486" s="151"/>
      <c r="C486" s="82"/>
      <c r="D486" s="154"/>
      <c r="E486" s="120"/>
      <c r="F486" s="151"/>
      <c r="G486" s="120"/>
    </row>
    <row r="487" spans="1:7">
      <c r="A487" s="151"/>
      <c r="B487" s="151"/>
      <c r="C487" s="82"/>
      <c r="D487" s="266"/>
      <c r="E487" s="140"/>
      <c r="F487" s="151"/>
      <c r="G487" s="120"/>
    </row>
    <row r="488" spans="1:7">
      <c r="A488" s="151"/>
      <c r="B488" s="151"/>
      <c r="C488" s="240"/>
      <c r="D488" s="266"/>
      <c r="E488" s="120"/>
      <c r="F488" s="151"/>
      <c r="G488" s="120"/>
    </row>
    <row r="489" spans="1:7">
      <c r="A489" s="151"/>
      <c r="B489" s="151"/>
      <c r="C489" s="188"/>
      <c r="D489" s="151"/>
      <c r="E489" s="120"/>
      <c r="F489" s="151"/>
      <c r="G489" s="120"/>
    </row>
    <row r="490" spans="1:7">
      <c r="A490" s="151"/>
      <c r="B490" s="151"/>
      <c r="C490" s="82"/>
      <c r="D490" s="239"/>
      <c r="E490" s="140"/>
      <c r="F490" s="151"/>
      <c r="G490" s="120"/>
    </row>
    <row r="491" spans="1:7">
      <c r="A491" s="151"/>
      <c r="B491" s="151"/>
      <c r="C491" s="82"/>
      <c r="D491" s="266"/>
      <c r="E491" s="140"/>
      <c r="F491" s="151"/>
      <c r="G491" s="120"/>
    </row>
    <row r="492" spans="1:7">
      <c r="A492" s="151"/>
      <c r="B492" s="151"/>
      <c r="C492" s="82"/>
      <c r="D492" s="227"/>
      <c r="E492" s="140"/>
      <c r="F492" s="151"/>
      <c r="G492" s="120"/>
    </row>
    <row r="493" spans="1:7">
      <c r="A493" s="151"/>
      <c r="B493" s="151"/>
      <c r="C493" s="82"/>
      <c r="D493" s="93"/>
      <c r="E493" s="140"/>
      <c r="F493" s="151"/>
      <c r="G493" s="120"/>
    </row>
    <row r="494" spans="1:7">
      <c r="A494" s="151"/>
      <c r="B494" s="151"/>
      <c r="C494" s="82"/>
      <c r="D494" s="93"/>
      <c r="E494" s="140"/>
      <c r="F494" s="151"/>
      <c r="G494" s="120"/>
    </row>
    <row r="495" spans="1:7">
      <c r="A495" s="151"/>
      <c r="B495" s="151"/>
      <c r="C495" s="82"/>
      <c r="D495" s="93"/>
      <c r="E495" s="140"/>
      <c r="F495" s="151"/>
      <c r="G495" s="120"/>
    </row>
    <row r="496" spans="1:7">
      <c r="A496" s="151"/>
      <c r="B496" s="151"/>
      <c r="C496" s="82"/>
      <c r="D496" s="266"/>
      <c r="E496" s="140"/>
      <c r="F496" s="151"/>
      <c r="G496" s="120"/>
    </row>
    <row r="497" spans="1:7">
      <c r="A497" s="151"/>
      <c r="B497" s="151"/>
      <c r="C497" s="82"/>
      <c r="D497" s="151"/>
      <c r="E497" s="140"/>
      <c r="F497" s="151"/>
      <c r="G497" s="120"/>
    </row>
    <row r="498" spans="1:7">
      <c r="A498" s="151"/>
      <c r="B498" s="241"/>
      <c r="C498" s="235"/>
      <c r="D498" s="227"/>
      <c r="E498" s="232"/>
      <c r="F498" s="151"/>
      <c r="G498" s="120"/>
    </row>
    <row r="499" spans="1:7">
      <c r="A499" s="151"/>
      <c r="B499" s="241"/>
      <c r="C499" s="235"/>
      <c r="D499" s="227"/>
      <c r="E499" s="232"/>
      <c r="F499" s="151"/>
      <c r="G499" s="120"/>
    </row>
    <row r="500" spans="1:7">
      <c r="A500" s="151"/>
      <c r="B500" s="151"/>
      <c r="C500" s="182"/>
      <c r="D500" s="239"/>
      <c r="E500" s="120"/>
      <c r="F500" s="151"/>
      <c r="G500" s="120"/>
    </row>
    <row r="501" spans="1:7">
      <c r="A501" s="151"/>
      <c r="B501" s="151"/>
      <c r="C501" s="182"/>
      <c r="D501" s="151"/>
      <c r="E501" s="120"/>
      <c r="F501" s="151"/>
      <c r="G501" s="120"/>
    </row>
    <row r="502" spans="1:7">
      <c r="A502" s="151"/>
      <c r="B502" s="151"/>
      <c r="C502" s="82"/>
      <c r="D502" s="266"/>
      <c r="E502" s="120"/>
      <c r="F502" s="151"/>
      <c r="G502" s="120"/>
    </row>
    <row r="503" spans="1:7">
      <c r="A503" s="151"/>
      <c r="B503" s="151"/>
      <c r="C503" s="188"/>
      <c r="D503" s="93"/>
      <c r="E503" s="120"/>
      <c r="F503" s="151"/>
      <c r="G503" s="120"/>
    </row>
    <row r="504" spans="1:7">
      <c r="A504" s="151"/>
      <c r="B504" s="151"/>
      <c r="C504" s="82"/>
      <c r="D504" s="93"/>
      <c r="E504" s="120"/>
      <c r="F504" s="151"/>
      <c r="G504" s="120"/>
    </row>
    <row r="505" spans="1:7">
      <c r="A505" s="151"/>
      <c r="B505" s="151"/>
      <c r="C505" s="182"/>
      <c r="D505" s="266"/>
      <c r="E505" s="120"/>
      <c r="F505" s="151"/>
      <c r="G505" s="120"/>
    </row>
    <row r="506" spans="1:7">
      <c r="A506" s="151"/>
      <c r="B506" s="151"/>
      <c r="C506" s="182"/>
      <c r="D506" s="266"/>
      <c r="E506" s="120"/>
      <c r="F506" s="151"/>
      <c r="G506" s="120"/>
    </row>
    <row r="507" spans="1:7">
      <c r="A507" s="151"/>
      <c r="B507" s="151"/>
      <c r="C507" s="182"/>
      <c r="D507" s="266"/>
      <c r="E507" s="120"/>
      <c r="F507" s="151"/>
      <c r="G507" s="120"/>
    </row>
    <row r="508" spans="1:7">
      <c r="A508" s="151"/>
      <c r="B508" s="151"/>
      <c r="C508" s="182"/>
      <c r="D508" s="227"/>
      <c r="E508" s="120"/>
      <c r="F508" s="151"/>
      <c r="G508" s="120"/>
    </row>
    <row r="509" spans="1:7">
      <c r="A509" s="151"/>
      <c r="B509" s="151"/>
      <c r="C509" s="82"/>
      <c r="D509" s="105"/>
      <c r="E509" s="120"/>
      <c r="F509" s="151"/>
      <c r="G509" s="120"/>
    </row>
    <row r="510" spans="1:7">
      <c r="A510" s="151"/>
      <c r="B510" s="227"/>
      <c r="C510" s="236"/>
      <c r="D510" s="228"/>
      <c r="E510" s="237"/>
      <c r="F510" s="151"/>
      <c r="G510" s="120"/>
    </row>
    <row r="511" spans="1:7">
      <c r="A511" s="241"/>
      <c r="B511" s="241"/>
      <c r="C511" s="242"/>
      <c r="D511" s="241"/>
      <c r="E511" s="232"/>
      <c r="F511" s="151"/>
      <c r="G511" s="120"/>
    </row>
    <row r="512" spans="1:7">
      <c r="A512" s="241"/>
      <c r="B512" s="241"/>
      <c r="C512" s="182"/>
      <c r="D512" s="93"/>
      <c r="E512" s="232"/>
      <c r="F512" s="151"/>
      <c r="G512" s="120"/>
    </row>
    <row r="513" spans="1:7">
      <c r="A513" s="151"/>
      <c r="B513" s="267"/>
      <c r="C513" s="242"/>
      <c r="D513" s="266"/>
      <c r="E513" s="238"/>
      <c r="F513" s="151"/>
      <c r="G513" s="120"/>
    </row>
    <row r="514" spans="1:7">
      <c r="A514" s="151"/>
      <c r="B514" s="267"/>
      <c r="C514" s="242"/>
      <c r="D514" s="266"/>
      <c r="E514" s="270"/>
      <c r="F514" s="151"/>
      <c r="G514" s="120"/>
    </row>
    <row r="515" spans="1:7">
      <c r="A515" s="151"/>
      <c r="B515" s="267"/>
      <c r="C515" s="242"/>
      <c r="D515" s="266"/>
      <c r="E515" s="238"/>
      <c r="F515" s="151"/>
      <c r="G515" s="120"/>
    </row>
    <row r="516" spans="1:7">
      <c r="A516" s="151"/>
      <c r="B516" s="267"/>
      <c r="C516" s="242"/>
      <c r="D516" s="266"/>
      <c r="E516" s="238"/>
      <c r="F516" s="229"/>
      <c r="G516" s="120"/>
    </row>
    <row r="517" spans="1:7">
      <c r="A517" s="151"/>
      <c r="B517" s="227"/>
      <c r="C517" s="188"/>
      <c r="D517" s="266"/>
      <c r="E517" s="237"/>
      <c r="F517" s="151"/>
      <c r="G517" s="120"/>
    </row>
    <row r="518" spans="1:7">
      <c r="A518" s="151"/>
      <c r="B518" s="267"/>
      <c r="C518" s="236"/>
      <c r="D518" s="266"/>
      <c r="E518" s="238"/>
      <c r="F518" s="151"/>
      <c r="G518" s="120"/>
    </row>
    <row r="519" spans="1:7">
      <c r="A519" s="151"/>
      <c r="B519" s="241"/>
      <c r="C519" s="242"/>
      <c r="D519" s="239"/>
      <c r="E519" s="232"/>
      <c r="F519" s="151"/>
      <c r="G519" s="120"/>
    </row>
    <row r="520" spans="1:7">
      <c r="A520" s="151"/>
      <c r="B520" s="241"/>
      <c r="C520" s="182"/>
      <c r="D520" s="239"/>
      <c r="E520" s="232"/>
      <c r="F520" s="151"/>
      <c r="G520" s="120"/>
    </row>
    <row r="521" spans="1:7">
      <c r="A521" s="151"/>
      <c r="B521" s="241"/>
      <c r="C521" s="182"/>
      <c r="D521" s="239"/>
      <c r="E521" s="232"/>
      <c r="F521" s="151"/>
      <c r="G521" s="120"/>
    </row>
    <row r="522" spans="1:7">
      <c r="A522" s="151"/>
      <c r="B522" s="241"/>
      <c r="C522" s="182"/>
      <c r="D522" s="239"/>
      <c r="E522" s="232"/>
      <c r="F522" s="151"/>
      <c r="G522" s="120"/>
    </row>
    <row r="523" spans="1:7">
      <c r="A523" s="151"/>
      <c r="B523" s="241"/>
      <c r="C523" s="182"/>
      <c r="D523" s="239"/>
      <c r="E523" s="232"/>
      <c r="F523" s="151"/>
      <c r="G523" s="120"/>
    </row>
    <row r="524" spans="1:7">
      <c r="A524" s="151"/>
      <c r="B524" s="241"/>
      <c r="C524" s="182"/>
      <c r="D524" s="239"/>
      <c r="E524" s="232"/>
      <c r="F524" s="151"/>
      <c r="G524" s="120"/>
    </row>
    <row r="525" spans="1:7">
      <c r="A525" s="151"/>
      <c r="B525" s="151"/>
      <c r="C525" s="188"/>
      <c r="D525" s="94"/>
      <c r="E525" s="120"/>
      <c r="F525" s="151"/>
      <c r="G525" s="120"/>
    </row>
    <row r="526" spans="1:7">
      <c r="A526" s="151"/>
      <c r="B526" s="93"/>
      <c r="C526" s="82"/>
      <c r="D526" s="93"/>
      <c r="E526" s="140"/>
      <c r="F526" s="151"/>
      <c r="G526" s="120"/>
    </row>
    <row r="527" spans="1:7">
      <c r="A527" s="151"/>
      <c r="B527" s="151"/>
      <c r="C527" s="82"/>
      <c r="D527" s="105"/>
      <c r="E527" s="120"/>
      <c r="F527" s="151"/>
      <c r="G527" s="120"/>
    </row>
    <row r="528" spans="1:7">
      <c r="A528" s="151"/>
      <c r="B528" s="227"/>
      <c r="C528" s="242"/>
      <c r="D528" s="227"/>
      <c r="E528" s="237"/>
      <c r="F528" s="151"/>
      <c r="G528" s="120"/>
    </row>
    <row r="529" spans="1:7">
      <c r="A529" s="151"/>
      <c r="B529" s="227"/>
      <c r="C529" s="242"/>
      <c r="D529" s="227"/>
      <c r="E529" s="237"/>
      <c r="F529" s="151"/>
      <c r="G529" s="120"/>
    </row>
    <row r="530" spans="1:7">
      <c r="A530" s="151"/>
      <c r="B530" s="227"/>
      <c r="C530" s="242"/>
      <c r="D530" s="227"/>
      <c r="E530" s="237"/>
      <c r="F530" s="151"/>
      <c r="G530" s="120"/>
    </row>
    <row r="531" spans="1:7">
      <c r="A531" s="151"/>
      <c r="B531" s="227"/>
      <c r="C531" s="242"/>
      <c r="D531" s="227"/>
      <c r="E531" s="237"/>
      <c r="F531" s="151"/>
      <c r="G531" s="120"/>
    </row>
    <row r="532" spans="1:7">
      <c r="A532" s="151"/>
      <c r="B532" s="227"/>
      <c r="C532" s="242"/>
      <c r="D532" s="227"/>
      <c r="E532" s="237"/>
      <c r="F532" s="151"/>
      <c r="G532" s="120"/>
    </row>
    <row r="533" spans="1:7">
      <c r="A533" s="151"/>
      <c r="B533" s="227"/>
      <c r="C533" s="242"/>
      <c r="D533" s="227"/>
      <c r="E533" s="237"/>
      <c r="F533" s="151"/>
      <c r="G533" s="120"/>
    </row>
    <row r="534" spans="1:7">
      <c r="A534" s="151"/>
      <c r="B534" s="227"/>
      <c r="C534" s="242"/>
      <c r="D534" s="227"/>
      <c r="E534" s="237"/>
      <c r="F534" s="151"/>
      <c r="G534" s="120"/>
    </row>
    <row r="535" spans="1:7">
      <c r="A535" s="151"/>
      <c r="B535" s="227"/>
      <c r="C535" s="242"/>
      <c r="D535" s="227"/>
      <c r="E535" s="237"/>
      <c r="F535" s="151"/>
      <c r="G535" s="120"/>
    </row>
    <row r="536" spans="1:7">
      <c r="A536" s="151"/>
      <c r="B536" s="227"/>
      <c r="C536" s="242"/>
      <c r="D536" s="227"/>
      <c r="E536" s="237"/>
      <c r="F536" s="151"/>
      <c r="G536" s="120"/>
    </row>
    <row r="537" spans="1:7">
      <c r="A537" s="151"/>
      <c r="B537" s="227"/>
      <c r="C537" s="242"/>
      <c r="D537" s="227"/>
      <c r="E537" s="237"/>
      <c r="F537" s="151"/>
      <c r="G537" s="120"/>
    </row>
    <row r="538" spans="1:7">
      <c r="A538" s="151"/>
      <c r="B538" s="227"/>
      <c r="C538" s="242"/>
      <c r="D538" s="227"/>
      <c r="E538" s="237"/>
      <c r="F538" s="151"/>
      <c r="G538" s="120"/>
    </row>
    <row r="539" spans="1:7">
      <c r="A539" s="151"/>
      <c r="B539" s="227"/>
      <c r="C539" s="242"/>
      <c r="D539" s="227"/>
      <c r="E539" s="237"/>
      <c r="F539" s="151"/>
      <c r="G539" s="120"/>
    </row>
    <row r="540" spans="1:7">
      <c r="A540" s="151"/>
      <c r="B540" s="227"/>
      <c r="C540" s="242"/>
      <c r="D540" s="227"/>
      <c r="E540" s="237"/>
      <c r="F540" s="151"/>
      <c r="G540" s="120"/>
    </row>
    <row r="541" spans="1:7">
      <c r="A541" s="151"/>
      <c r="B541" s="227"/>
      <c r="C541" s="242"/>
      <c r="D541" s="227"/>
      <c r="E541" s="237"/>
      <c r="F541" s="151"/>
      <c r="G541" s="120"/>
    </row>
    <row r="542" spans="1:7">
      <c r="A542" s="151"/>
      <c r="B542" s="227"/>
      <c r="C542" s="242"/>
      <c r="D542" s="105"/>
      <c r="E542" s="237"/>
      <c r="F542" s="151"/>
      <c r="G542" s="120"/>
    </row>
    <row r="543" spans="1:7">
      <c r="A543" s="151"/>
      <c r="B543" s="227"/>
      <c r="C543" s="242"/>
      <c r="D543" s="105"/>
      <c r="E543" s="237"/>
      <c r="F543" s="151"/>
      <c r="G543" s="120"/>
    </row>
    <row r="544" spans="1:7">
      <c r="A544" s="151"/>
      <c r="B544" s="227"/>
      <c r="C544" s="242"/>
      <c r="D544" s="105"/>
      <c r="E544" s="237"/>
      <c r="F544" s="151"/>
      <c r="G544" s="120"/>
    </row>
    <row r="545" spans="1:7">
      <c r="A545" s="151"/>
      <c r="B545" s="227"/>
      <c r="C545" s="242"/>
      <c r="D545" s="105"/>
      <c r="E545" s="237"/>
      <c r="F545" s="151"/>
      <c r="G545" s="120"/>
    </row>
    <row r="546" spans="1:7">
      <c r="A546" s="151"/>
      <c r="B546" s="227"/>
      <c r="C546" s="242"/>
      <c r="D546" s="105"/>
      <c r="E546" s="237"/>
      <c r="F546" s="151"/>
      <c r="G546" s="120"/>
    </row>
    <row r="547" spans="1:7">
      <c r="A547" s="151"/>
      <c r="B547" s="227"/>
      <c r="C547" s="242"/>
      <c r="D547" s="105"/>
      <c r="E547" s="237"/>
      <c r="F547" s="151"/>
      <c r="G547" s="120"/>
    </row>
    <row r="548" spans="1:7">
      <c r="A548" s="151"/>
      <c r="B548" s="267"/>
      <c r="C548" s="242"/>
      <c r="D548" s="227"/>
      <c r="E548" s="237"/>
      <c r="F548" s="151"/>
      <c r="G548" s="120"/>
    </row>
    <row r="549" spans="1:7">
      <c r="A549" s="151"/>
      <c r="B549" s="267"/>
      <c r="C549" s="242"/>
      <c r="D549" s="227"/>
      <c r="E549" s="237"/>
      <c r="F549" s="151"/>
      <c r="G549" s="120"/>
    </row>
    <row r="550" spans="1:7">
      <c r="A550" s="151"/>
      <c r="B550" s="241"/>
      <c r="C550" s="236"/>
      <c r="D550" s="266"/>
      <c r="E550" s="232"/>
      <c r="F550" s="151"/>
      <c r="G550" s="120"/>
    </row>
    <row r="551" spans="1:7">
      <c r="A551" s="151"/>
      <c r="B551" s="227"/>
      <c r="C551" s="236"/>
      <c r="D551" s="227"/>
      <c r="E551" s="237"/>
      <c r="F551" s="151"/>
      <c r="G551" s="120"/>
    </row>
    <row r="552" spans="1:7">
      <c r="A552" s="151"/>
      <c r="B552" s="227"/>
      <c r="C552" s="236"/>
      <c r="D552" s="93"/>
      <c r="E552" s="237"/>
      <c r="F552" s="151"/>
      <c r="G552" s="120"/>
    </row>
    <row r="553" spans="1:7">
      <c r="A553" s="151"/>
      <c r="B553" s="227"/>
      <c r="C553" s="236"/>
      <c r="D553" s="93"/>
      <c r="E553" s="237"/>
      <c r="F553" s="151"/>
      <c r="G553" s="120"/>
    </row>
    <row r="554" spans="1:7">
      <c r="A554" s="151"/>
      <c r="B554" s="227"/>
      <c r="C554" s="236"/>
      <c r="D554" s="265"/>
      <c r="E554" s="237"/>
      <c r="F554" s="151"/>
      <c r="G554" s="120"/>
    </row>
    <row r="555" spans="1:7">
      <c r="A555" s="151"/>
      <c r="B555" s="226"/>
      <c r="C555" s="82"/>
      <c r="D555" s="266"/>
      <c r="E555" s="120"/>
      <c r="F555" s="151"/>
      <c r="G555" s="120"/>
    </row>
    <row r="556" spans="1:7">
      <c r="A556" s="151"/>
      <c r="B556" s="151"/>
      <c r="C556" s="82"/>
      <c r="D556" s="93"/>
      <c r="E556" s="120"/>
      <c r="F556" s="151"/>
      <c r="G556" s="120"/>
    </row>
    <row r="557" spans="1:7">
      <c r="A557" s="151"/>
      <c r="B557" s="151"/>
      <c r="C557" s="82"/>
      <c r="D557" s="93"/>
      <c r="E557" s="120"/>
      <c r="F557" s="151"/>
      <c r="G557" s="120"/>
    </row>
    <row r="558" spans="1:7">
      <c r="A558" s="151"/>
      <c r="B558" s="227"/>
      <c r="C558" s="236"/>
      <c r="D558" s="266"/>
      <c r="E558" s="237"/>
      <c r="F558" s="151"/>
      <c r="G558" s="120"/>
    </row>
    <row r="559" spans="1:7">
      <c r="A559" s="151"/>
      <c r="B559" s="330"/>
      <c r="C559" s="282"/>
      <c r="D559" s="281"/>
      <c r="E559" s="191"/>
      <c r="F559" s="151"/>
      <c r="G559" s="120"/>
    </row>
    <row r="560" spans="1:7">
      <c r="A560" s="151"/>
      <c r="B560" s="281"/>
      <c r="C560" s="282"/>
      <c r="D560" s="281"/>
      <c r="E560" s="191"/>
      <c r="F560" s="151"/>
      <c r="G560" s="120"/>
    </row>
    <row r="561" spans="1:7" ht="15.75" thickBot="1">
      <c r="A561" s="151"/>
      <c r="B561" s="241"/>
      <c r="C561" s="331"/>
      <c r="D561" s="230"/>
      <c r="E561" s="114"/>
      <c r="F561" s="151"/>
      <c r="G561" s="120"/>
    </row>
    <row r="562" spans="1:7" ht="15.75" thickBot="1">
      <c r="A562" s="151"/>
      <c r="B562" s="241"/>
      <c r="C562" s="331"/>
      <c r="D562" s="230"/>
      <c r="E562" s="336"/>
      <c r="F562" s="151"/>
      <c r="G562" s="120"/>
    </row>
    <row r="563" spans="1:7">
      <c r="A563" s="151"/>
      <c r="B563" s="230"/>
      <c r="C563" s="58"/>
      <c r="D563" s="230"/>
      <c r="E563" s="114"/>
      <c r="F563" s="151"/>
      <c r="G563" s="120"/>
    </row>
    <row r="564" spans="1:7">
      <c r="A564" s="151"/>
      <c r="B564" s="230"/>
      <c r="C564" s="58"/>
      <c r="D564" s="230"/>
      <c r="E564" s="114"/>
      <c r="F564" s="151"/>
      <c r="G564" s="120"/>
    </row>
    <row r="565" spans="1:7">
      <c r="A565" s="151"/>
      <c r="B565" s="230"/>
      <c r="C565" s="58"/>
      <c r="D565" s="230"/>
      <c r="E565" s="114"/>
      <c r="F565" s="151"/>
      <c r="G565" s="120"/>
    </row>
    <row r="566" spans="1:7">
      <c r="A566" s="151"/>
      <c r="B566" s="230"/>
      <c r="C566" s="58"/>
      <c r="D566" s="230"/>
      <c r="E566" s="114"/>
      <c r="F566" s="151"/>
      <c r="G566" s="120"/>
    </row>
    <row r="567" spans="1:7">
      <c r="A567" s="151"/>
      <c r="B567" s="230"/>
      <c r="C567" s="58"/>
      <c r="D567" s="230"/>
      <c r="E567" s="114"/>
      <c r="F567" s="151"/>
      <c r="G567" s="120"/>
    </row>
    <row r="568" spans="1:7">
      <c r="A568" s="151"/>
      <c r="B568" s="230"/>
      <c r="C568" s="58"/>
      <c r="D568" s="230"/>
      <c r="E568" s="114"/>
      <c r="F568" s="151"/>
      <c r="G568" s="120"/>
    </row>
    <row r="569" spans="1:7">
      <c r="A569" s="151"/>
      <c r="B569" s="322"/>
      <c r="C569" s="282"/>
      <c r="D569" s="322"/>
      <c r="E569" s="114"/>
      <c r="F569" s="151"/>
      <c r="G569" s="120"/>
    </row>
    <row r="570" spans="1:7">
      <c r="A570" s="151"/>
      <c r="B570" s="322"/>
      <c r="C570" s="282"/>
      <c r="D570" s="282"/>
      <c r="E570" s="305"/>
      <c r="F570" s="151"/>
      <c r="G570" s="120"/>
    </row>
    <row r="571" spans="1:7">
      <c r="A571" s="151"/>
      <c r="B571" s="322"/>
      <c r="C571" s="282"/>
      <c r="D571" s="282"/>
      <c r="E571" s="305"/>
      <c r="F571" s="151"/>
      <c r="G571" s="120"/>
    </row>
    <row r="572" spans="1:7">
      <c r="A572" s="151"/>
      <c r="B572" s="322"/>
      <c r="C572" s="282"/>
      <c r="D572" s="282"/>
      <c r="E572" s="305"/>
      <c r="F572" s="151"/>
      <c r="G572" s="120"/>
    </row>
    <row r="573" spans="1:7">
      <c r="A573" s="151"/>
      <c r="B573" s="322"/>
      <c r="C573" s="282"/>
      <c r="D573" s="282"/>
      <c r="E573" s="305"/>
      <c r="F573" s="151"/>
      <c r="G573" s="120"/>
    </row>
    <row r="574" spans="1:7">
      <c r="A574" s="151"/>
      <c r="B574" s="322"/>
      <c r="C574" s="282"/>
      <c r="D574" s="282"/>
      <c r="E574" s="305"/>
      <c r="F574" s="151"/>
      <c r="G574" s="120"/>
    </row>
    <row r="575" spans="1:7">
      <c r="A575" s="151"/>
      <c r="B575" s="322"/>
      <c r="C575" s="282"/>
      <c r="D575" s="282"/>
      <c r="E575" s="305"/>
      <c r="F575" s="151"/>
      <c r="G575" s="120"/>
    </row>
    <row r="576" spans="1:7">
      <c r="A576" s="151"/>
      <c r="B576" s="322"/>
      <c r="C576" s="282"/>
      <c r="D576" s="282"/>
      <c r="E576" s="305"/>
      <c r="F576" s="151"/>
      <c r="G576" s="120"/>
    </row>
    <row r="577" spans="1:7">
      <c r="A577" s="151"/>
      <c r="B577" s="322"/>
      <c r="C577" s="282"/>
      <c r="D577" s="282"/>
      <c r="E577" s="305"/>
      <c r="F577" s="151"/>
      <c r="G577" s="120"/>
    </row>
    <row r="578" spans="1:7">
      <c r="A578" s="151"/>
      <c r="B578" s="322"/>
      <c r="C578" s="282"/>
      <c r="D578" s="282"/>
      <c r="E578" s="305"/>
      <c r="F578" s="151"/>
      <c r="G578" s="120"/>
    </row>
    <row r="579" spans="1:7">
      <c r="A579" s="151"/>
      <c r="B579" s="322"/>
      <c r="C579" s="282"/>
      <c r="D579" s="282"/>
      <c r="E579" s="305"/>
      <c r="F579" s="151"/>
      <c r="G579" s="120"/>
    </row>
    <row r="580" spans="1:7">
      <c r="A580" s="151"/>
      <c r="B580" s="322"/>
      <c r="C580" s="282"/>
      <c r="D580" s="282"/>
      <c r="E580" s="305"/>
      <c r="F580" s="151"/>
      <c r="G580" s="120"/>
    </row>
    <row r="581" spans="1:7">
      <c r="A581" s="151"/>
      <c r="B581" s="322"/>
      <c r="C581" s="282"/>
      <c r="D581" s="282"/>
      <c r="E581" s="305"/>
      <c r="F581" s="151"/>
      <c r="G581" s="120"/>
    </row>
    <row r="582" spans="1:7">
      <c r="A582" s="151"/>
      <c r="B582" s="322"/>
      <c r="C582" s="282"/>
      <c r="D582" s="282"/>
      <c r="E582" s="305"/>
      <c r="F582" s="151"/>
      <c r="G582" s="120"/>
    </row>
    <row r="583" spans="1:7">
      <c r="A583" s="151"/>
      <c r="B583" s="322"/>
      <c r="C583" s="282"/>
      <c r="D583" s="282"/>
      <c r="E583" s="305"/>
      <c r="F583" s="151"/>
      <c r="G583" s="120"/>
    </row>
    <row r="584" spans="1:7">
      <c r="A584" s="151"/>
      <c r="B584" s="322"/>
      <c r="C584" s="282"/>
      <c r="D584" s="282"/>
      <c r="E584" s="305"/>
      <c r="F584" s="151"/>
      <c r="G584" s="120"/>
    </row>
    <row r="585" spans="1:7">
      <c r="A585" s="151"/>
      <c r="B585" s="322"/>
      <c r="C585" s="282"/>
      <c r="D585" s="282"/>
      <c r="E585" s="305"/>
      <c r="F585" s="151"/>
      <c r="G585" s="120"/>
    </row>
    <row r="586" spans="1:7">
      <c r="A586" s="151"/>
      <c r="B586" s="322"/>
      <c r="C586" s="282"/>
      <c r="D586" s="282"/>
      <c r="E586" s="305"/>
      <c r="F586" s="151"/>
      <c r="G586" s="120"/>
    </row>
    <row r="587" spans="1:7">
      <c r="A587" s="151"/>
      <c r="B587" s="322"/>
      <c r="C587" s="282"/>
      <c r="D587" s="282"/>
      <c r="E587" s="305"/>
      <c r="F587" s="151"/>
      <c r="G587" s="120"/>
    </row>
    <row r="588" spans="1:7">
      <c r="A588" s="151"/>
      <c r="B588" s="322"/>
      <c r="C588" s="282"/>
      <c r="D588" s="282"/>
      <c r="E588" s="305"/>
      <c r="F588" s="151"/>
      <c r="G588" s="120"/>
    </row>
    <row r="589" spans="1:7">
      <c r="A589" s="151"/>
      <c r="B589" s="322"/>
      <c r="C589" s="282"/>
      <c r="D589" s="282"/>
      <c r="E589" s="305"/>
      <c r="F589" s="151"/>
      <c r="G589" s="120"/>
    </row>
    <row r="590" spans="1:7">
      <c r="A590" s="151"/>
      <c r="B590" s="322"/>
      <c r="C590" s="282"/>
      <c r="D590" s="282"/>
      <c r="E590" s="305"/>
      <c r="F590" s="151"/>
      <c r="G590" s="120"/>
    </row>
    <row r="591" spans="1:7">
      <c r="A591" s="151"/>
      <c r="B591" s="322"/>
      <c r="C591" s="282"/>
      <c r="D591" s="282"/>
      <c r="E591" s="305"/>
      <c r="F591" s="151"/>
      <c r="G591" s="120"/>
    </row>
    <row r="592" spans="1:7">
      <c r="A592" s="151"/>
      <c r="B592" s="322"/>
      <c r="C592" s="282"/>
      <c r="D592" s="282"/>
      <c r="E592" s="305"/>
      <c r="F592" s="151"/>
      <c r="G592" s="120"/>
    </row>
    <row r="593" spans="1:7">
      <c r="A593" s="151"/>
      <c r="B593" s="322"/>
      <c r="C593" s="282"/>
      <c r="D593" s="282"/>
      <c r="E593" s="305"/>
      <c r="F593" s="151"/>
      <c r="G593" s="120"/>
    </row>
    <row r="594" spans="1:7">
      <c r="A594" s="151"/>
      <c r="B594" s="322"/>
      <c r="C594" s="282"/>
      <c r="D594" s="282"/>
      <c r="E594" s="305"/>
      <c r="F594" s="151"/>
      <c r="G594" s="120"/>
    </row>
    <row r="595" spans="1:7">
      <c r="A595" s="151"/>
      <c r="B595" s="322"/>
      <c r="C595" s="282"/>
      <c r="D595" s="282"/>
      <c r="E595" s="305"/>
      <c r="F595" s="151"/>
      <c r="G595" s="120"/>
    </row>
    <row r="596" spans="1:7">
      <c r="A596" s="151"/>
      <c r="B596" s="322"/>
      <c r="C596" s="282"/>
      <c r="D596" s="282"/>
      <c r="E596" s="305"/>
      <c r="F596" s="151"/>
      <c r="G596" s="120"/>
    </row>
    <row r="597" spans="1:7">
      <c r="A597" s="151"/>
      <c r="B597" s="322"/>
      <c r="C597" s="282"/>
      <c r="D597" s="282"/>
      <c r="E597" s="305"/>
      <c r="F597" s="151"/>
      <c r="G597" s="120"/>
    </row>
    <row r="598" spans="1:7">
      <c r="A598" s="151"/>
      <c r="B598" s="322"/>
      <c r="C598" s="282"/>
      <c r="D598" s="282"/>
      <c r="E598" s="305"/>
      <c r="F598" s="151"/>
      <c r="G598" s="120"/>
    </row>
    <row r="599" spans="1:7">
      <c r="A599" s="151"/>
      <c r="B599" s="322"/>
      <c r="C599" s="282"/>
      <c r="D599" s="282"/>
      <c r="E599" s="305"/>
      <c r="F599" s="151"/>
      <c r="G599" s="120"/>
    </row>
    <row r="600" spans="1:7">
      <c r="A600" s="151"/>
      <c r="B600" s="322"/>
      <c r="C600" s="282"/>
      <c r="D600" s="282"/>
      <c r="E600" s="305"/>
      <c r="F600" s="151"/>
      <c r="G600" s="120"/>
    </row>
    <row r="601" spans="1:7">
      <c r="A601" s="151"/>
      <c r="B601" s="322"/>
      <c r="C601" s="282"/>
      <c r="D601" s="282"/>
      <c r="E601" s="305"/>
      <c r="F601" s="151"/>
      <c r="G601" s="120"/>
    </row>
    <row r="602" spans="1:7">
      <c r="A602" s="151"/>
      <c r="B602" s="322"/>
      <c r="C602" s="282"/>
      <c r="D602" s="282"/>
      <c r="E602" s="305"/>
      <c r="F602" s="151"/>
      <c r="G602" s="120"/>
    </row>
    <row r="603" spans="1:7">
      <c r="A603" s="151"/>
      <c r="B603" s="322"/>
      <c r="C603" s="282"/>
      <c r="D603" s="282"/>
      <c r="E603" s="305"/>
      <c r="F603" s="151"/>
      <c r="G603" s="120"/>
    </row>
    <row r="604" spans="1:7">
      <c r="A604" s="151"/>
      <c r="B604" s="322"/>
      <c r="C604" s="282"/>
      <c r="D604" s="282"/>
      <c r="E604" s="305"/>
      <c r="F604" s="151"/>
      <c r="G604" s="120"/>
    </row>
    <row r="605" spans="1:7">
      <c r="A605" s="151"/>
      <c r="B605" s="322"/>
      <c r="C605" s="282"/>
      <c r="D605" s="282"/>
      <c r="E605" s="305"/>
      <c r="F605" s="151"/>
      <c r="G605" s="120"/>
    </row>
    <row r="606" spans="1:7">
      <c r="A606" s="151"/>
      <c r="B606" s="322"/>
      <c r="C606" s="282"/>
      <c r="D606" s="282"/>
      <c r="E606" s="305"/>
      <c r="F606" s="151"/>
      <c r="G606" s="120"/>
    </row>
    <row r="607" spans="1:7">
      <c r="A607" s="151"/>
      <c r="B607" s="322"/>
      <c r="C607" s="282"/>
      <c r="D607" s="282"/>
      <c r="E607" s="305"/>
      <c r="F607" s="151"/>
      <c r="G607" s="120"/>
    </row>
    <row r="608" spans="1:7">
      <c r="A608" s="151"/>
      <c r="B608" s="322"/>
      <c r="C608" s="282"/>
      <c r="D608" s="282"/>
      <c r="E608" s="305"/>
      <c r="F608" s="151"/>
      <c r="G608" s="120"/>
    </row>
    <row r="609" spans="1:7">
      <c r="A609" s="151"/>
      <c r="B609" s="322"/>
      <c r="C609" s="282"/>
      <c r="D609" s="282"/>
      <c r="E609" s="305"/>
      <c r="F609" s="151"/>
      <c r="G609" s="120"/>
    </row>
    <row r="610" spans="1:7">
      <c r="A610" s="151"/>
      <c r="B610" s="322"/>
      <c r="C610" s="282"/>
      <c r="D610" s="282"/>
      <c r="E610" s="305"/>
      <c r="F610" s="151"/>
      <c r="G610" s="120"/>
    </row>
    <row r="611" spans="1:7">
      <c r="A611" s="151"/>
      <c r="B611" s="322"/>
      <c r="C611" s="282"/>
      <c r="D611" s="282"/>
      <c r="E611" s="305"/>
      <c r="F611" s="151"/>
      <c r="G611" s="120"/>
    </row>
    <row r="612" spans="1:7">
      <c r="A612" s="151"/>
      <c r="B612" s="322"/>
      <c r="C612" s="282"/>
      <c r="D612" s="282"/>
      <c r="E612" s="305"/>
      <c r="F612" s="151"/>
      <c r="G612" s="120"/>
    </row>
    <row r="613" spans="1:7">
      <c r="A613" s="151"/>
      <c r="B613" s="322"/>
      <c r="C613" s="282"/>
      <c r="D613" s="282"/>
      <c r="E613" s="305"/>
      <c r="F613" s="151"/>
      <c r="G613" s="120"/>
    </row>
    <row r="614" spans="1:7">
      <c r="A614" s="151"/>
      <c r="B614" s="322"/>
      <c r="C614" s="282"/>
      <c r="D614" s="282"/>
      <c r="E614" s="305"/>
      <c r="F614" s="151"/>
      <c r="G614" s="120"/>
    </row>
    <row r="615" spans="1:7">
      <c r="A615" s="151"/>
      <c r="B615" s="322"/>
      <c r="C615" s="282"/>
      <c r="D615" s="282"/>
      <c r="E615" s="305"/>
      <c r="F615" s="151"/>
      <c r="G615" s="120"/>
    </row>
    <row r="616" spans="1:7">
      <c r="A616" s="151"/>
      <c r="B616" s="322"/>
      <c r="C616" s="282"/>
      <c r="D616" s="282"/>
      <c r="E616" s="305"/>
      <c r="F616" s="151"/>
      <c r="G616" s="120"/>
    </row>
    <row r="617" spans="1:7">
      <c r="A617" s="151"/>
      <c r="B617" s="322"/>
      <c r="C617" s="282"/>
      <c r="D617" s="282"/>
      <c r="E617" s="305"/>
      <c r="F617" s="151"/>
      <c r="G617" s="120"/>
    </row>
    <row r="618" spans="1:7">
      <c r="A618" s="151"/>
      <c r="B618" s="322"/>
      <c r="C618" s="282"/>
      <c r="D618" s="282"/>
      <c r="E618" s="146"/>
      <c r="F618" s="151"/>
      <c r="G618" s="120"/>
    </row>
    <row r="619" spans="1:7">
      <c r="A619" s="151"/>
      <c r="B619" s="322"/>
      <c r="C619" s="282"/>
      <c r="D619" s="282"/>
      <c r="E619" s="146"/>
      <c r="F619" s="151"/>
      <c r="G619" s="120"/>
    </row>
    <row r="620" spans="1:7">
      <c r="A620" s="151"/>
      <c r="B620" s="322"/>
      <c r="C620" s="282"/>
      <c r="D620" s="282"/>
      <c r="E620" s="146"/>
      <c r="F620" s="151"/>
      <c r="G620" s="120"/>
    </row>
    <row r="621" spans="1:7">
      <c r="A621" s="151"/>
      <c r="B621" s="322"/>
      <c r="C621" s="282"/>
      <c r="D621" s="282"/>
      <c r="E621" s="146"/>
      <c r="F621" s="151"/>
      <c r="G621" s="120"/>
    </row>
    <row r="622" spans="1:7">
      <c r="A622" s="151"/>
      <c r="B622" s="322"/>
      <c r="C622" s="282"/>
      <c r="D622" s="282"/>
      <c r="E622" s="146"/>
      <c r="F622" s="151"/>
      <c r="G622" s="120"/>
    </row>
    <row r="623" spans="1:7">
      <c r="A623" s="151"/>
      <c r="B623" s="322"/>
      <c r="C623" s="282"/>
      <c r="D623" s="282"/>
      <c r="E623" s="146"/>
      <c r="F623" s="151"/>
      <c r="G623" s="120"/>
    </row>
    <row r="624" spans="1:7">
      <c r="A624" s="151"/>
      <c r="B624" s="322"/>
      <c r="C624" s="282"/>
      <c r="D624" s="282"/>
      <c r="E624" s="146"/>
      <c r="F624" s="151"/>
      <c r="G624" s="120"/>
    </row>
    <row r="625" spans="1:7">
      <c r="A625" s="151"/>
      <c r="B625" s="322"/>
      <c r="C625" s="282"/>
      <c r="D625" s="282"/>
      <c r="E625" s="146"/>
      <c r="F625" s="151"/>
      <c r="G625" s="120"/>
    </row>
    <row r="626" spans="1:7">
      <c r="A626" s="151"/>
      <c r="B626" s="322"/>
      <c r="C626" s="282"/>
      <c r="D626" s="282"/>
      <c r="E626" s="146"/>
      <c r="F626" s="151"/>
      <c r="G626" s="120"/>
    </row>
    <row r="627" spans="1:7">
      <c r="A627" s="151"/>
      <c r="B627" s="322"/>
      <c r="C627" s="282"/>
      <c r="D627" s="282"/>
      <c r="E627" s="146"/>
      <c r="F627" s="151"/>
      <c r="G627" s="120"/>
    </row>
    <row r="628" spans="1:7">
      <c r="A628" s="151"/>
      <c r="B628" s="322"/>
      <c r="C628" s="282"/>
      <c r="D628" s="282"/>
      <c r="E628" s="146"/>
      <c r="F628" s="151"/>
      <c r="G628" s="120"/>
    </row>
    <row r="629" spans="1:7">
      <c r="A629" s="151"/>
      <c r="B629" s="322"/>
      <c r="C629" s="282"/>
      <c r="D629" s="282"/>
      <c r="E629" s="146"/>
      <c r="F629" s="151"/>
      <c r="G629" s="120"/>
    </row>
    <row r="630" spans="1:7">
      <c r="A630" s="151"/>
      <c r="B630" s="322"/>
      <c r="C630" s="282"/>
      <c r="D630" s="282"/>
      <c r="E630" s="146"/>
      <c r="F630" s="151"/>
      <c r="G630" s="120"/>
    </row>
    <row r="631" spans="1:7">
      <c r="A631" s="151"/>
      <c r="B631" s="322"/>
      <c r="C631" s="282"/>
      <c r="D631" s="282"/>
      <c r="E631" s="146"/>
      <c r="F631" s="151"/>
      <c r="G631" s="120"/>
    </row>
    <row r="632" spans="1:7">
      <c r="A632" s="151"/>
      <c r="B632" s="322"/>
      <c r="C632" s="282"/>
      <c r="D632" s="282"/>
      <c r="E632" s="146"/>
      <c r="F632" s="151"/>
      <c r="G632" s="120"/>
    </row>
    <row r="633" spans="1:7">
      <c r="A633" s="151"/>
      <c r="B633" s="322"/>
      <c r="C633" s="282"/>
      <c r="D633" s="282"/>
      <c r="E633" s="146"/>
      <c r="F633" s="151"/>
      <c r="G633" s="120"/>
    </row>
    <row r="634" spans="1:7">
      <c r="A634" s="151"/>
      <c r="B634" s="322"/>
      <c r="C634" s="282"/>
      <c r="D634" s="282"/>
      <c r="E634" s="146"/>
      <c r="F634" s="151"/>
      <c r="G634" s="120"/>
    </row>
    <row r="635" spans="1:7">
      <c r="A635" s="151"/>
      <c r="B635" s="322"/>
      <c r="C635" s="282"/>
      <c r="D635" s="282"/>
      <c r="E635" s="146"/>
      <c r="F635" s="151"/>
      <c r="G635" s="120"/>
    </row>
    <row r="636" spans="1:7">
      <c r="A636" s="151"/>
      <c r="B636" s="332"/>
      <c r="C636" s="333"/>
      <c r="D636" s="334"/>
      <c r="E636" s="140"/>
      <c r="F636" s="151"/>
      <c r="G636" s="120"/>
    </row>
    <row r="637" spans="1:7">
      <c r="B637" s="254"/>
      <c r="C637" s="255"/>
      <c r="D637" s="253"/>
      <c r="E637" s="252"/>
    </row>
    <row r="638" spans="1:7">
      <c r="B638" s="254"/>
      <c r="C638" s="255"/>
      <c r="D638" s="253"/>
      <c r="E638" s="252"/>
    </row>
    <row r="639" spans="1:7">
      <c r="B639" s="254"/>
      <c r="C639" s="255"/>
      <c r="D639" s="253"/>
      <c r="E639" s="252"/>
    </row>
    <row r="640" spans="1:7">
      <c r="B640" s="254"/>
      <c r="C640" s="255"/>
      <c r="D640" s="253"/>
      <c r="E640" s="252"/>
    </row>
    <row r="641" spans="2:5">
      <c r="B641" s="254"/>
      <c r="C641" s="255"/>
      <c r="D641" s="253"/>
      <c r="E641" s="252"/>
    </row>
    <row r="642" spans="2:5">
      <c r="B642" s="254"/>
      <c r="C642" s="255"/>
      <c r="D642" s="253"/>
      <c r="E642" s="252"/>
    </row>
    <row r="643" spans="2:5">
      <c r="B643" s="254"/>
      <c r="C643" s="255"/>
      <c r="D643" s="253"/>
      <c r="E643" s="252"/>
    </row>
    <row r="644" spans="2:5">
      <c r="B644" s="254"/>
      <c r="C644" s="255"/>
      <c r="D644" s="253"/>
      <c r="E644" s="252"/>
    </row>
    <row r="645" spans="2:5">
      <c r="B645" s="254"/>
      <c r="C645" s="255"/>
      <c r="D645" s="253"/>
      <c r="E645" s="252"/>
    </row>
    <row r="646" spans="2:5">
      <c r="B646" s="254"/>
      <c r="C646" s="255"/>
      <c r="D646" s="253"/>
      <c r="E646" s="252"/>
    </row>
    <row r="647" spans="2:5">
      <c r="B647" s="254"/>
      <c r="C647" s="255"/>
      <c r="D647" s="253"/>
      <c r="E647" s="252"/>
    </row>
    <row r="648" spans="2:5">
      <c r="B648" s="254"/>
      <c r="C648" s="255"/>
      <c r="D648" s="253"/>
      <c r="E648" s="252"/>
    </row>
    <row r="649" spans="2:5">
      <c r="B649" s="254"/>
      <c r="C649" s="255"/>
      <c r="D649" s="253"/>
      <c r="E649" s="252"/>
    </row>
    <row r="650" spans="2:5">
      <c r="B650" s="254"/>
      <c r="C650" s="255"/>
      <c r="D650" s="253"/>
      <c r="E650" s="252"/>
    </row>
    <row r="651" spans="2:5">
      <c r="B651" s="254"/>
      <c r="C651" s="255"/>
      <c r="D651" s="253"/>
      <c r="E651" s="252"/>
    </row>
    <row r="652" spans="2:5">
      <c r="B652" s="254"/>
      <c r="C652" s="255"/>
      <c r="D652" s="253"/>
      <c r="E652" s="252"/>
    </row>
    <row r="653" spans="2:5">
      <c r="B653" s="254"/>
      <c r="C653" s="255"/>
      <c r="D653" s="253"/>
      <c r="E653" s="252"/>
    </row>
    <row r="654" spans="2:5">
      <c r="B654" s="254"/>
      <c r="C654" s="255"/>
      <c r="D654" s="253"/>
      <c r="E654" s="252"/>
    </row>
    <row r="655" spans="2:5">
      <c r="B655" s="254"/>
      <c r="C655" s="255"/>
      <c r="D655" s="253"/>
      <c r="E655" s="252"/>
    </row>
    <row r="656" spans="2:5">
      <c r="B656" s="254"/>
      <c r="C656" s="255"/>
      <c r="D656" s="253"/>
      <c r="E656" s="252"/>
    </row>
    <row r="657" spans="2:6">
      <c r="B657" s="254"/>
      <c r="C657" s="255"/>
      <c r="D657" s="253"/>
      <c r="E657" s="252"/>
      <c r="F657" s="250"/>
    </row>
    <row r="658" spans="2:6">
      <c r="B658" s="254"/>
      <c r="C658" s="255"/>
      <c r="D658" s="253"/>
      <c r="E658" s="252"/>
    </row>
    <row r="659" spans="2:6">
      <c r="B659" s="254"/>
      <c r="C659" s="255"/>
      <c r="D659" s="253"/>
      <c r="E659" s="252"/>
    </row>
    <row r="660" spans="2:6">
      <c r="B660" s="254"/>
      <c r="C660" s="255"/>
      <c r="D660" s="253"/>
      <c r="E660" s="252"/>
    </row>
    <row r="661" spans="2:6">
      <c r="B661" s="254"/>
      <c r="C661" s="255"/>
      <c r="D661" s="253"/>
      <c r="E661" s="252"/>
    </row>
    <row r="662" spans="2:6">
      <c r="B662" s="254"/>
      <c r="C662" s="255"/>
      <c r="D662" s="253"/>
      <c r="E662" s="252"/>
    </row>
    <row r="663" spans="2:6">
      <c r="B663" s="254"/>
      <c r="C663" s="255"/>
      <c r="D663" s="253"/>
      <c r="E663" s="252"/>
    </row>
    <row r="664" spans="2:6">
      <c r="B664" s="254"/>
      <c r="C664" s="255"/>
      <c r="D664" s="253"/>
      <c r="E664" s="252"/>
    </row>
    <row r="665" spans="2:6">
      <c r="B665" s="254"/>
      <c r="C665" s="255"/>
      <c r="D665" s="253"/>
      <c r="E665" s="252"/>
    </row>
    <row r="666" spans="2:6">
      <c r="B666" s="254"/>
      <c r="C666" s="255"/>
      <c r="D666" s="253"/>
      <c r="E666" s="252"/>
    </row>
    <row r="667" spans="2:6">
      <c r="B667" s="254"/>
      <c r="C667" s="255"/>
      <c r="D667" s="253"/>
      <c r="E667" s="252"/>
    </row>
    <row r="668" spans="2:6">
      <c r="B668" s="254"/>
      <c r="C668" s="255"/>
      <c r="D668" s="253"/>
      <c r="E668" s="252"/>
    </row>
    <row r="669" spans="2:6">
      <c r="B669" s="254"/>
      <c r="C669" s="255"/>
      <c r="D669" s="253"/>
      <c r="E669" s="252"/>
    </row>
    <row r="670" spans="2:6">
      <c r="B670" s="254"/>
      <c r="C670" s="255"/>
      <c r="D670" s="253"/>
      <c r="E670" s="252"/>
    </row>
    <row r="671" spans="2:6">
      <c r="B671" s="254"/>
      <c r="C671" s="255"/>
      <c r="D671" s="253"/>
      <c r="E671" s="252"/>
    </row>
    <row r="672" spans="2:6">
      <c r="B672" s="254"/>
      <c r="C672" s="255"/>
      <c r="D672" s="253"/>
      <c r="E672" s="252"/>
    </row>
    <row r="673" spans="2:5">
      <c r="B673" s="254"/>
      <c r="C673" s="255"/>
      <c r="D673" s="253"/>
      <c r="E673" s="252"/>
    </row>
    <row r="674" spans="2:5">
      <c r="B674" s="254"/>
      <c r="C674" s="255"/>
      <c r="D674" s="253"/>
      <c r="E674" s="252"/>
    </row>
    <row r="675" spans="2:5">
      <c r="B675" s="254"/>
      <c r="C675" s="255"/>
      <c r="D675" s="253"/>
      <c r="E675" s="252"/>
    </row>
    <row r="676" spans="2:5">
      <c r="B676" s="254"/>
      <c r="C676" s="255"/>
      <c r="D676" s="253"/>
      <c r="E676" s="252"/>
    </row>
    <row r="677" spans="2:5">
      <c r="B677" s="254"/>
      <c r="C677" s="255"/>
      <c r="D677" s="253"/>
      <c r="E677" s="252"/>
    </row>
    <row r="678" spans="2:5">
      <c r="B678" s="254"/>
      <c r="C678" s="255"/>
      <c r="D678" s="253"/>
      <c r="E678" s="252"/>
    </row>
    <row r="679" spans="2:5">
      <c r="B679" s="254"/>
      <c r="C679" s="255"/>
      <c r="D679" s="253"/>
      <c r="E679" s="252"/>
    </row>
    <row r="680" spans="2:5">
      <c r="B680" s="254"/>
      <c r="C680" s="255"/>
      <c r="D680" s="253"/>
      <c r="E680" s="252"/>
    </row>
    <row r="681" spans="2:5">
      <c r="B681" s="254"/>
      <c r="C681" s="255"/>
      <c r="D681" s="253"/>
      <c r="E681" s="252"/>
    </row>
    <row r="682" spans="2:5">
      <c r="B682" s="254"/>
      <c r="C682" s="255"/>
      <c r="D682" s="253"/>
      <c r="E682" s="252"/>
    </row>
    <row r="683" spans="2:5">
      <c r="B683" s="254"/>
      <c r="C683" s="255"/>
      <c r="D683" s="253"/>
      <c r="E683" s="252"/>
    </row>
    <row r="684" spans="2:5">
      <c r="B684" s="254"/>
      <c r="C684" s="255"/>
      <c r="D684" s="253"/>
      <c r="E684" s="252"/>
    </row>
    <row r="685" spans="2:5">
      <c r="B685" s="254"/>
      <c r="C685" s="255"/>
      <c r="D685" s="253"/>
      <c r="E685" s="252"/>
    </row>
    <row r="686" spans="2:5">
      <c r="B686" s="254"/>
      <c r="C686" s="255"/>
      <c r="D686" s="253"/>
      <c r="E686" s="252"/>
    </row>
    <row r="687" spans="2:5">
      <c r="B687" s="254"/>
      <c r="C687" s="255"/>
      <c r="D687" s="253"/>
      <c r="E687" s="252"/>
    </row>
    <row r="688" spans="2:5">
      <c r="B688" s="254"/>
      <c r="C688" s="255"/>
      <c r="D688" s="253"/>
      <c r="E688" s="252"/>
    </row>
    <row r="689" spans="2:5">
      <c r="B689" s="254"/>
      <c r="C689" s="255"/>
      <c r="D689" s="253"/>
      <c r="E689" s="252"/>
    </row>
    <row r="690" spans="2:5">
      <c r="B690" s="254"/>
      <c r="C690" s="255"/>
      <c r="D690" s="253"/>
      <c r="E690" s="252"/>
    </row>
    <row r="691" spans="2:5">
      <c r="B691" s="254"/>
      <c r="C691" s="255"/>
      <c r="D691" s="253"/>
      <c r="E691" s="252"/>
    </row>
    <row r="692" spans="2:5">
      <c r="B692" s="254"/>
      <c r="C692" s="255"/>
      <c r="D692" s="253"/>
      <c r="E692" s="252"/>
    </row>
    <row r="693" spans="2:5">
      <c r="B693" s="254"/>
      <c r="C693" s="255"/>
      <c r="D693" s="253"/>
      <c r="E693" s="252"/>
    </row>
    <row r="694" spans="2:5">
      <c r="B694" s="254"/>
      <c r="C694" s="255"/>
      <c r="D694" s="253"/>
      <c r="E694" s="252"/>
    </row>
    <row r="695" spans="2:5">
      <c r="B695" s="254"/>
      <c r="C695" s="255"/>
      <c r="D695" s="253"/>
      <c r="E695" s="252"/>
    </row>
    <row r="696" spans="2:5">
      <c r="B696" s="254"/>
      <c r="C696" s="255"/>
      <c r="D696" s="253"/>
      <c r="E696" s="252"/>
    </row>
    <row r="697" spans="2:5">
      <c r="B697" s="254"/>
      <c r="C697" s="255"/>
      <c r="D697" s="253"/>
      <c r="E697" s="252"/>
    </row>
    <row r="698" spans="2:5">
      <c r="B698" s="254"/>
      <c r="C698" s="255"/>
      <c r="D698" s="253"/>
      <c r="E698" s="252"/>
    </row>
    <row r="699" spans="2:5">
      <c r="B699" s="254"/>
      <c r="C699" s="255"/>
      <c r="D699" s="253"/>
      <c r="E699" s="252"/>
    </row>
    <row r="700" spans="2:5">
      <c r="B700" s="254"/>
      <c r="C700" s="255"/>
      <c r="D700" s="253"/>
      <c r="E700" s="252"/>
    </row>
    <row r="701" spans="2:5">
      <c r="B701" s="254"/>
      <c r="C701" s="255"/>
      <c r="D701" s="253"/>
      <c r="E701" s="252"/>
    </row>
    <row r="702" spans="2:5">
      <c r="B702" s="254"/>
      <c r="C702" s="255"/>
      <c r="D702" s="253"/>
      <c r="E702" s="252"/>
    </row>
    <row r="703" spans="2:5">
      <c r="B703" s="254"/>
      <c r="C703" s="255"/>
      <c r="D703" s="253"/>
      <c r="E703" s="252"/>
    </row>
    <row r="704" spans="2:5">
      <c r="B704" s="254"/>
      <c r="C704" s="255"/>
      <c r="D704" s="253"/>
      <c r="E704" s="252"/>
    </row>
    <row r="705" spans="2:5">
      <c r="B705" s="254"/>
      <c r="C705" s="255"/>
      <c r="D705" s="253"/>
      <c r="E705" s="252"/>
    </row>
    <row r="706" spans="2:5">
      <c r="B706" s="254"/>
      <c r="C706" s="255"/>
      <c r="D706" s="253"/>
      <c r="E706" s="252"/>
    </row>
    <row r="707" spans="2:5">
      <c r="B707" s="254"/>
      <c r="C707" s="255"/>
      <c r="D707" s="253"/>
      <c r="E707" s="252"/>
    </row>
    <row r="708" spans="2:5">
      <c r="B708" s="254"/>
      <c r="C708" s="255"/>
      <c r="D708" s="253"/>
      <c r="E708" s="252"/>
    </row>
    <row r="709" spans="2:5">
      <c r="B709" s="254"/>
      <c r="C709" s="255"/>
      <c r="D709" s="253"/>
      <c r="E709" s="252"/>
    </row>
    <row r="710" spans="2:5">
      <c r="B710" s="254"/>
      <c r="C710" s="255"/>
      <c r="D710" s="253"/>
      <c r="E710" s="252"/>
    </row>
    <row r="711" spans="2:5">
      <c r="B711" s="254"/>
      <c r="C711" s="255"/>
      <c r="D711" s="253"/>
      <c r="E711" s="252"/>
    </row>
    <row r="712" spans="2:5">
      <c r="B712" s="254"/>
      <c r="C712" s="255"/>
      <c r="D712" s="253"/>
      <c r="E712" s="252"/>
    </row>
    <row r="713" spans="2:5">
      <c r="B713" s="254"/>
      <c r="C713" s="255"/>
      <c r="D713" s="253"/>
      <c r="E713" s="252"/>
    </row>
    <row r="714" spans="2:5">
      <c r="B714" s="254"/>
      <c r="C714" s="255"/>
      <c r="D714" s="253"/>
      <c r="E714" s="252"/>
    </row>
    <row r="715" spans="2:5">
      <c r="B715" s="254"/>
      <c r="C715" s="255"/>
      <c r="D715" s="253"/>
      <c r="E715" s="252"/>
    </row>
    <row r="716" spans="2:5">
      <c r="B716" s="254"/>
      <c r="C716" s="255"/>
      <c r="D716" s="253"/>
      <c r="E716" s="252"/>
    </row>
    <row r="717" spans="2:5">
      <c r="B717" s="254"/>
      <c r="C717" s="255"/>
      <c r="D717" s="253"/>
      <c r="E717" s="252"/>
    </row>
    <row r="718" spans="2:5">
      <c r="B718" s="254"/>
      <c r="C718" s="255"/>
      <c r="D718" s="253"/>
      <c r="E718" s="252"/>
    </row>
    <row r="719" spans="2:5">
      <c r="B719" s="254"/>
      <c r="C719" s="255"/>
      <c r="D719" s="253"/>
      <c r="E719" s="252"/>
    </row>
    <row r="720" spans="2:5">
      <c r="B720" s="254"/>
      <c r="C720" s="255"/>
      <c r="D720" s="253"/>
      <c r="E720" s="252"/>
    </row>
    <row r="721" spans="2:5">
      <c r="B721" s="254"/>
      <c r="C721" s="255"/>
      <c r="D721" s="253"/>
      <c r="E721" s="252"/>
    </row>
    <row r="722" spans="2:5">
      <c r="B722" s="254"/>
      <c r="C722" s="255"/>
      <c r="D722" s="253"/>
      <c r="E722" s="252"/>
    </row>
    <row r="723" spans="2:5">
      <c r="B723" s="254"/>
      <c r="C723" s="255"/>
      <c r="D723" s="253"/>
      <c r="E723" s="252"/>
    </row>
    <row r="724" spans="2:5">
      <c r="B724" s="254"/>
      <c r="C724" s="255"/>
      <c r="D724" s="253"/>
      <c r="E724" s="252"/>
    </row>
    <row r="725" spans="2:5">
      <c r="B725" s="254"/>
      <c r="C725" s="255"/>
      <c r="D725" s="253"/>
      <c r="E725" s="252"/>
    </row>
    <row r="726" spans="2:5">
      <c r="B726" s="254"/>
      <c r="C726" s="255"/>
      <c r="D726" s="253"/>
      <c r="E726" s="252"/>
    </row>
    <row r="727" spans="2:5">
      <c r="B727" s="254"/>
      <c r="C727" s="255"/>
      <c r="D727" s="253"/>
      <c r="E727" s="252"/>
    </row>
    <row r="728" spans="2:5">
      <c r="B728" s="254"/>
      <c r="C728" s="255"/>
      <c r="D728" s="253"/>
      <c r="E728" s="252"/>
    </row>
    <row r="729" spans="2:5">
      <c r="B729" s="254"/>
      <c r="C729" s="255"/>
      <c r="D729" s="253"/>
      <c r="E729" s="252"/>
    </row>
    <row r="730" spans="2:5">
      <c r="B730" s="254"/>
      <c r="C730" s="255"/>
      <c r="D730" s="253"/>
      <c r="E730" s="252"/>
    </row>
    <row r="731" spans="2:5">
      <c r="B731" s="254"/>
      <c r="C731" s="255"/>
      <c r="D731" s="253"/>
      <c r="E731" s="252"/>
    </row>
    <row r="732" spans="2:5">
      <c r="B732" s="254"/>
      <c r="C732" s="255"/>
      <c r="D732" s="253"/>
      <c r="E732" s="252"/>
    </row>
    <row r="733" spans="2:5">
      <c r="B733" s="254"/>
      <c r="C733" s="255"/>
      <c r="D733" s="253"/>
      <c r="E733" s="252"/>
    </row>
    <row r="734" spans="2:5">
      <c r="B734" s="254"/>
      <c r="C734" s="255"/>
      <c r="D734" s="253"/>
      <c r="E734" s="252"/>
    </row>
    <row r="735" spans="2:5">
      <c r="B735" s="254"/>
      <c r="C735" s="255"/>
      <c r="D735" s="253"/>
      <c r="E735" s="252"/>
    </row>
    <row r="736" spans="2:5">
      <c r="B736" s="254"/>
      <c r="C736" s="255"/>
      <c r="D736" s="253"/>
      <c r="E736" s="252"/>
    </row>
    <row r="737" spans="2:5">
      <c r="B737" s="254"/>
      <c r="C737" s="255"/>
      <c r="D737" s="253"/>
      <c r="E737" s="252"/>
    </row>
    <row r="738" spans="2:5">
      <c r="B738" s="254"/>
      <c r="C738" s="255"/>
      <c r="D738" s="253"/>
      <c r="E738" s="252"/>
    </row>
    <row r="739" spans="2:5">
      <c r="B739" s="254"/>
      <c r="C739" s="255"/>
      <c r="D739" s="253"/>
      <c r="E739" s="252"/>
    </row>
    <row r="740" spans="2:5">
      <c r="B740" s="254"/>
      <c r="C740" s="255"/>
      <c r="D740" s="253"/>
      <c r="E740" s="252"/>
    </row>
    <row r="741" spans="2:5">
      <c r="B741" s="254"/>
      <c r="C741" s="255"/>
      <c r="D741" s="253"/>
      <c r="E741" s="252"/>
    </row>
    <row r="742" spans="2:5">
      <c r="B742" s="254"/>
      <c r="C742" s="255"/>
      <c r="D742" s="253"/>
      <c r="E742" s="252"/>
    </row>
    <row r="743" spans="2:5">
      <c r="B743" s="254"/>
      <c r="C743" s="255"/>
      <c r="D743" s="253"/>
      <c r="E743" s="252"/>
    </row>
    <row r="744" spans="2:5">
      <c r="B744" s="254"/>
      <c r="C744" s="255"/>
      <c r="D744" s="253"/>
      <c r="E744" s="252"/>
    </row>
    <row r="745" spans="2:5">
      <c r="B745" s="254"/>
      <c r="C745" s="255"/>
      <c r="D745" s="253"/>
      <c r="E745" s="252"/>
    </row>
    <row r="746" spans="2:5">
      <c r="B746" s="254"/>
      <c r="C746" s="255"/>
      <c r="D746" s="253"/>
      <c r="E746" s="252"/>
    </row>
    <row r="747" spans="2:5">
      <c r="B747" s="254"/>
      <c r="C747" s="255"/>
      <c r="D747" s="253"/>
      <c r="E747" s="252"/>
    </row>
    <row r="748" spans="2:5">
      <c r="B748" s="254"/>
      <c r="C748" s="255"/>
      <c r="D748" s="253"/>
      <c r="E748" s="252"/>
    </row>
    <row r="749" spans="2:5">
      <c r="B749" s="254"/>
      <c r="C749" s="255"/>
      <c r="D749" s="253"/>
      <c r="E749" s="252"/>
    </row>
    <row r="750" spans="2:5">
      <c r="B750" s="254"/>
      <c r="C750" s="255"/>
      <c r="D750" s="253"/>
      <c r="E750" s="252"/>
    </row>
    <row r="751" spans="2:5">
      <c r="B751" s="254"/>
      <c r="C751" s="255"/>
      <c r="D751" s="253"/>
      <c r="E751" s="252"/>
    </row>
    <row r="752" spans="2:5">
      <c r="B752" s="254"/>
      <c r="C752" s="255"/>
      <c r="D752" s="253"/>
      <c r="E752" s="252"/>
    </row>
    <row r="753" spans="2:5">
      <c r="B753" s="254"/>
      <c r="C753" s="255"/>
      <c r="D753" s="253"/>
      <c r="E753" s="252"/>
    </row>
    <row r="754" spans="2:5">
      <c r="B754" s="254"/>
      <c r="C754" s="255"/>
      <c r="D754" s="253"/>
      <c r="E754" s="252"/>
    </row>
    <row r="755" spans="2:5">
      <c r="B755" s="254"/>
      <c r="C755" s="255"/>
      <c r="D755" s="253"/>
      <c r="E755" s="252"/>
    </row>
    <row r="756" spans="2:5">
      <c r="B756" s="254"/>
      <c r="C756" s="255"/>
      <c r="D756" s="253"/>
      <c r="E756" s="252"/>
    </row>
    <row r="757" spans="2:5">
      <c r="B757" s="254"/>
      <c r="C757" s="255"/>
      <c r="D757" s="253"/>
      <c r="E757" s="252"/>
    </row>
    <row r="758" spans="2:5">
      <c r="B758" s="254"/>
      <c r="C758" s="255"/>
      <c r="D758" s="253"/>
      <c r="E758" s="252"/>
    </row>
    <row r="759" spans="2:5">
      <c r="B759" s="254"/>
      <c r="C759" s="255"/>
      <c r="D759" s="253"/>
      <c r="E759" s="252"/>
    </row>
    <row r="760" spans="2:5">
      <c r="B760" s="254"/>
      <c r="C760" s="255"/>
      <c r="D760" s="253"/>
      <c r="E760" s="252"/>
    </row>
    <row r="761" spans="2:5">
      <c r="B761" s="254"/>
      <c r="C761" s="255"/>
      <c r="D761" s="253"/>
      <c r="E761" s="252"/>
    </row>
    <row r="762" spans="2:5">
      <c r="B762" s="254"/>
      <c r="C762" s="255"/>
      <c r="D762" s="253"/>
      <c r="E762" s="252"/>
    </row>
    <row r="763" spans="2:5">
      <c r="B763" s="254"/>
      <c r="C763" s="255"/>
      <c r="D763" s="253"/>
      <c r="E763" s="252"/>
    </row>
    <row r="764" spans="2:5">
      <c r="B764" s="254"/>
      <c r="C764" s="255"/>
      <c r="D764" s="253"/>
      <c r="E764" s="252"/>
    </row>
    <row r="765" spans="2:5">
      <c r="B765" s="254"/>
      <c r="C765" s="255"/>
      <c r="D765" s="253"/>
      <c r="E765" s="252"/>
    </row>
    <row r="766" spans="2:5">
      <c r="B766" s="254"/>
      <c r="C766" s="255"/>
      <c r="D766" s="253"/>
      <c r="E766" s="252"/>
    </row>
    <row r="767" spans="2:5">
      <c r="B767" s="254"/>
      <c r="C767" s="255"/>
      <c r="D767" s="253"/>
      <c r="E767" s="252"/>
    </row>
    <row r="768" spans="2:5">
      <c r="B768" s="254"/>
      <c r="C768" s="255"/>
      <c r="D768" s="253"/>
      <c r="E768" s="252"/>
    </row>
    <row r="769" spans="2:5">
      <c r="B769" s="254"/>
      <c r="C769" s="255"/>
      <c r="D769" s="253"/>
      <c r="E769" s="252"/>
    </row>
    <row r="770" spans="2:5">
      <c r="B770" s="254"/>
      <c r="C770" s="255"/>
      <c r="D770" s="253"/>
      <c r="E770" s="252"/>
    </row>
    <row r="771" spans="2:5">
      <c r="B771" s="254"/>
      <c r="C771" s="255"/>
      <c r="D771" s="253"/>
      <c r="E771" s="252"/>
    </row>
    <row r="772" spans="2:5">
      <c r="B772" s="254"/>
      <c r="C772" s="255"/>
      <c r="D772" s="253"/>
      <c r="E772" s="252"/>
    </row>
    <row r="773" spans="2:5">
      <c r="B773" s="254"/>
      <c r="C773" s="255"/>
      <c r="D773" s="253"/>
      <c r="E773" s="252"/>
    </row>
    <row r="774" spans="2:5">
      <c r="B774" s="254"/>
      <c r="C774" s="255"/>
      <c r="D774" s="253"/>
      <c r="E774" s="252"/>
    </row>
    <row r="775" spans="2:5">
      <c r="B775" s="254"/>
      <c r="C775" s="255"/>
      <c r="D775" s="253"/>
      <c r="E775" s="252"/>
    </row>
    <row r="776" spans="2:5">
      <c r="B776" s="254"/>
      <c r="C776" s="255"/>
      <c r="D776" s="253"/>
      <c r="E776" s="252"/>
    </row>
    <row r="777" spans="2:5">
      <c r="B777" s="254"/>
      <c r="C777" s="255"/>
      <c r="D777" s="253"/>
      <c r="E777" s="252"/>
    </row>
    <row r="778" spans="2:5">
      <c r="B778" s="254"/>
      <c r="C778" s="255"/>
      <c r="D778" s="253"/>
      <c r="E778" s="252"/>
    </row>
    <row r="779" spans="2:5">
      <c r="B779" s="254"/>
      <c r="C779" s="255"/>
      <c r="D779" s="253"/>
      <c r="E779" s="252"/>
    </row>
    <row r="780" spans="2:5">
      <c r="B780" s="254"/>
      <c r="C780" s="255"/>
      <c r="D780" s="253"/>
      <c r="E780" s="252"/>
    </row>
    <row r="781" spans="2:5">
      <c r="B781" s="254"/>
      <c r="C781" s="255"/>
      <c r="D781" s="253"/>
      <c r="E781" s="252"/>
    </row>
    <row r="782" spans="2:5">
      <c r="B782" s="254"/>
      <c r="C782" s="255"/>
      <c r="D782" s="253"/>
      <c r="E782" s="252"/>
    </row>
    <row r="783" spans="2:5">
      <c r="B783" s="254"/>
      <c r="C783" s="255"/>
      <c r="D783" s="253"/>
      <c r="E783" s="252"/>
    </row>
    <row r="784" spans="2:5">
      <c r="B784" s="254"/>
      <c r="C784" s="255"/>
      <c r="D784" s="253"/>
      <c r="E784" s="252"/>
    </row>
    <row r="785" spans="2:5">
      <c r="B785" s="254"/>
      <c r="C785" s="255"/>
      <c r="D785" s="253"/>
      <c r="E785" s="252"/>
    </row>
    <row r="786" spans="2:5">
      <c r="B786" s="254"/>
      <c r="C786" s="255"/>
      <c r="D786" s="253"/>
      <c r="E786" s="252"/>
    </row>
    <row r="787" spans="2:5">
      <c r="B787" s="254"/>
      <c r="C787" s="255"/>
      <c r="D787" s="253"/>
      <c r="E787" s="252"/>
    </row>
    <row r="788" spans="2:5">
      <c r="B788" s="254"/>
      <c r="C788" s="255"/>
      <c r="D788" s="253"/>
      <c r="E788" s="252"/>
    </row>
    <row r="789" spans="2:5">
      <c r="B789" s="254"/>
      <c r="C789" s="255"/>
      <c r="D789" s="253"/>
      <c r="E789" s="252"/>
    </row>
    <row r="790" spans="2:5">
      <c r="B790" s="254"/>
      <c r="C790" s="255"/>
      <c r="D790" s="253"/>
      <c r="E790" s="252"/>
    </row>
    <row r="791" spans="2:5">
      <c r="B791" s="254"/>
      <c r="C791" s="255"/>
      <c r="D791" s="253"/>
      <c r="E791" s="252"/>
    </row>
    <row r="792" spans="2:5">
      <c r="B792" s="254"/>
      <c r="C792" s="255"/>
      <c r="D792" s="253"/>
      <c r="E792" s="252"/>
    </row>
    <row r="793" spans="2:5">
      <c r="B793" s="254"/>
      <c r="C793" s="255"/>
      <c r="D793" s="253"/>
      <c r="E793" s="252"/>
    </row>
    <row r="794" spans="2:5">
      <c r="B794" s="254"/>
      <c r="C794" s="255"/>
      <c r="D794" s="253"/>
      <c r="E794" s="252"/>
    </row>
    <row r="795" spans="2:5">
      <c r="B795" s="254"/>
      <c r="C795" s="255"/>
      <c r="D795" s="253"/>
      <c r="E795" s="252"/>
    </row>
    <row r="796" spans="2:5">
      <c r="B796" s="254"/>
      <c r="C796" s="255"/>
      <c r="D796" s="253"/>
      <c r="E796" s="252"/>
    </row>
    <row r="797" spans="2:5">
      <c r="B797" s="254"/>
      <c r="C797" s="255"/>
      <c r="D797" s="253"/>
      <c r="E797" s="252"/>
    </row>
    <row r="798" spans="2:5">
      <c r="B798" s="254"/>
      <c r="C798" s="255"/>
      <c r="D798" s="253"/>
      <c r="E798" s="252"/>
    </row>
    <row r="799" spans="2:5">
      <c r="B799" s="254"/>
      <c r="C799" s="255"/>
      <c r="D799" s="253"/>
      <c r="E799" s="252"/>
    </row>
    <row r="800" spans="2:5">
      <c r="B800" s="254"/>
      <c r="C800" s="255"/>
      <c r="D800" s="253"/>
      <c r="E800" s="252"/>
    </row>
    <row r="801" spans="2:5">
      <c r="B801" s="254"/>
      <c r="C801" s="255"/>
      <c r="D801" s="253"/>
      <c r="E801" s="252"/>
    </row>
    <row r="802" spans="2:5">
      <c r="B802" s="254"/>
      <c r="C802" s="255"/>
      <c r="D802" s="253"/>
      <c r="E802" s="252"/>
    </row>
    <row r="803" spans="2:5">
      <c r="B803" s="254"/>
      <c r="C803" s="255"/>
      <c r="D803" s="253"/>
      <c r="E803" s="252"/>
    </row>
    <row r="804" spans="2:5">
      <c r="B804" s="254"/>
      <c r="C804" s="255"/>
      <c r="D804" s="253"/>
      <c r="E804" s="252"/>
    </row>
    <row r="805" spans="2:5">
      <c r="B805" s="254"/>
      <c r="C805" s="255"/>
      <c r="D805" s="253"/>
      <c r="E805" s="252"/>
    </row>
    <row r="806" spans="2:5">
      <c r="B806" s="254"/>
      <c r="C806" s="255"/>
      <c r="D806" s="253"/>
      <c r="E806" s="252"/>
    </row>
    <row r="807" spans="2:5">
      <c r="B807" s="254"/>
      <c r="C807" s="255"/>
      <c r="D807" s="253"/>
      <c r="E807" s="252"/>
    </row>
    <row r="808" spans="2:5">
      <c r="B808" s="254"/>
      <c r="C808" s="255"/>
      <c r="D808" s="253"/>
      <c r="E808" s="252"/>
    </row>
    <row r="809" spans="2:5">
      <c r="B809" s="254"/>
      <c r="C809" s="255"/>
      <c r="D809" s="253"/>
      <c r="E809" s="252"/>
    </row>
    <row r="810" spans="2:5">
      <c r="B810" s="254"/>
      <c r="C810" s="255"/>
      <c r="D810" s="253"/>
      <c r="E810" s="252"/>
    </row>
    <row r="811" spans="2:5">
      <c r="B811" s="254"/>
      <c r="C811" s="255"/>
      <c r="D811" s="253"/>
      <c r="E811" s="252"/>
    </row>
    <row r="812" spans="2:5">
      <c r="B812" s="254"/>
      <c r="C812" s="255"/>
      <c r="D812" s="253"/>
      <c r="E812" s="252"/>
    </row>
    <row r="813" spans="2:5">
      <c r="B813" s="254"/>
      <c r="C813" s="255"/>
      <c r="D813" s="253"/>
      <c r="E813" s="252"/>
    </row>
    <row r="814" spans="2:5">
      <c r="B814" s="254"/>
      <c r="C814" s="255"/>
      <c r="D814" s="253"/>
      <c r="E814" s="252"/>
    </row>
    <row r="815" spans="2:5">
      <c r="B815" s="254"/>
      <c r="C815" s="255"/>
      <c r="D815" s="253"/>
      <c r="E815" s="252"/>
    </row>
    <row r="816" spans="2:5">
      <c r="B816" s="254"/>
      <c r="C816" s="255"/>
      <c r="D816" s="253"/>
      <c r="E816" s="252"/>
    </row>
    <row r="817" spans="2:5">
      <c r="B817" s="254"/>
      <c r="C817" s="255"/>
      <c r="D817" s="253"/>
      <c r="E817" s="252"/>
    </row>
    <row r="818" spans="2:5">
      <c r="B818" s="254"/>
      <c r="C818" s="255"/>
      <c r="D818" s="253"/>
      <c r="E818" s="252"/>
    </row>
    <row r="819" spans="2:5">
      <c r="B819" s="254"/>
      <c r="C819" s="255"/>
      <c r="D819" s="253"/>
      <c r="E819" s="252"/>
    </row>
    <row r="820" spans="2:5">
      <c r="B820" s="254"/>
      <c r="C820" s="255"/>
      <c r="D820" s="253"/>
      <c r="E820" s="252"/>
    </row>
    <row r="821" spans="2:5">
      <c r="B821" s="254"/>
      <c r="C821" s="255"/>
      <c r="D821" s="253"/>
      <c r="E821" s="252"/>
    </row>
    <row r="822" spans="2:5">
      <c r="B822" s="254"/>
      <c r="C822" s="255"/>
      <c r="D822" s="253"/>
      <c r="E822" s="252"/>
    </row>
    <row r="823" spans="2:5">
      <c r="B823" s="254"/>
      <c r="C823" s="255"/>
      <c r="D823" s="253"/>
      <c r="E823" s="252"/>
    </row>
    <row r="824" spans="2:5">
      <c r="B824" s="254"/>
      <c r="C824" s="255"/>
      <c r="D824" s="253"/>
      <c r="E824" s="252"/>
    </row>
    <row r="825" spans="2:5">
      <c r="B825" s="254"/>
      <c r="C825" s="255"/>
      <c r="D825" s="253"/>
      <c r="E825" s="252"/>
    </row>
    <row r="826" spans="2:5">
      <c r="B826" s="254"/>
      <c r="C826" s="255"/>
      <c r="D826" s="253"/>
      <c r="E826" s="252"/>
    </row>
    <row r="827" spans="2:5">
      <c r="B827" s="254"/>
      <c r="C827" s="255"/>
      <c r="D827" s="253"/>
      <c r="E827" s="252"/>
    </row>
    <row r="828" spans="2:5">
      <c r="B828" s="254"/>
      <c r="C828" s="255"/>
      <c r="D828" s="253"/>
      <c r="E828" s="252"/>
    </row>
    <row r="829" spans="2:5">
      <c r="B829" s="254"/>
      <c r="C829" s="255"/>
      <c r="D829" s="253"/>
      <c r="E829" s="252"/>
    </row>
    <row r="830" spans="2:5">
      <c r="B830" s="254"/>
      <c r="C830" s="255"/>
      <c r="D830" s="253"/>
      <c r="E830" s="252"/>
    </row>
    <row r="831" spans="2:5">
      <c r="B831" s="254"/>
      <c r="C831" s="255"/>
      <c r="D831" s="253"/>
      <c r="E831" s="252"/>
    </row>
    <row r="832" spans="2:5">
      <c r="B832" s="254"/>
      <c r="C832" s="255"/>
      <c r="D832" s="253"/>
      <c r="E832" s="252"/>
    </row>
    <row r="833" spans="2:5">
      <c r="B833" s="254"/>
      <c r="C833" s="255"/>
      <c r="D833" s="253"/>
      <c r="E833" s="252"/>
    </row>
    <row r="834" spans="2:5">
      <c r="B834" s="254"/>
      <c r="C834" s="255"/>
      <c r="D834" s="253"/>
      <c r="E834" s="252"/>
    </row>
    <row r="835" spans="2:5">
      <c r="B835" s="254"/>
      <c r="C835" s="255"/>
      <c r="D835" s="253"/>
      <c r="E835" s="252"/>
    </row>
    <row r="836" spans="2:5">
      <c r="B836" s="254"/>
      <c r="C836" s="255"/>
      <c r="D836" s="253"/>
      <c r="E836" s="252"/>
    </row>
    <row r="837" spans="2:5">
      <c r="B837" s="254"/>
      <c r="C837" s="255"/>
      <c r="D837" s="253"/>
      <c r="E837" s="252"/>
    </row>
    <row r="838" spans="2:5">
      <c r="B838" s="254"/>
      <c r="C838" s="255"/>
      <c r="D838" s="253"/>
      <c r="E838" s="252"/>
    </row>
    <row r="839" spans="2:5">
      <c r="B839" s="254"/>
      <c r="C839" s="255"/>
      <c r="D839" s="253"/>
      <c r="E839" s="252"/>
    </row>
    <row r="840" spans="2:5">
      <c r="B840" s="254"/>
      <c r="C840" s="255"/>
      <c r="D840" s="253"/>
      <c r="E840" s="252"/>
    </row>
    <row r="841" spans="2:5">
      <c r="B841" s="254"/>
      <c r="C841" s="255"/>
      <c r="D841" s="253"/>
      <c r="E841" s="252"/>
    </row>
    <row r="842" spans="2:5">
      <c r="B842" s="254"/>
      <c r="C842" s="255"/>
      <c r="D842" s="253"/>
      <c r="E842" s="252"/>
    </row>
    <row r="843" spans="2:5">
      <c r="B843" s="254"/>
      <c r="C843" s="255"/>
      <c r="D843" s="253"/>
      <c r="E843" s="252"/>
    </row>
    <row r="844" spans="2:5">
      <c r="B844" s="254"/>
      <c r="C844" s="255"/>
      <c r="D844" s="253"/>
      <c r="E844" s="252"/>
    </row>
    <row r="845" spans="2:5">
      <c r="B845" s="254"/>
      <c r="C845" s="255"/>
      <c r="D845" s="253"/>
      <c r="E845" s="252"/>
    </row>
    <row r="846" spans="2:5">
      <c r="B846" s="254"/>
      <c r="C846" s="255"/>
      <c r="D846" s="253"/>
      <c r="E846" s="252"/>
    </row>
    <row r="847" spans="2:5">
      <c r="B847" s="254"/>
      <c r="C847" s="255"/>
      <c r="D847" s="253"/>
      <c r="E847" s="252"/>
    </row>
    <row r="848" spans="2:5">
      <c r="B848" s="254"/>
      <c r="C848" s="255"/>
      <c r="D848" s="253"/>
      <c r="E848" s="252"/>
    </row>
    <row r="849" spans="2:5">
      <c r="B849" s="254"/>
      <c r="C849" s="255"/>
      <c r="D849" s="253"/>
      <c r="E849" s="252"/>
    </row>
    <row r="850" spans="2:5">
      <c r="B850" s="254"/>
      <c r="C850" s="255"/>
      <c r="D850" s="253"/>
      <c r="E850" s="252"/>
    </row>
    <row r="851" spans="2:5">
      <c r="B851" s="254"/>
      <c r="C851" s="255"/>
      <c r="D851" s="253"/>
      <c r="E851" s="252"/>
    </row>
    <row r="852" spans="2:5">
      <c r="B852" s="254"/>
      <c r="C852" s="255"/>
      <c r="D852" s="253"/>
      <c r="E852" s="252"/>
    </row>
    <row r="853" spans="2:5">
      <c r="B853" s="254"/>
      <c r="C853" s="255"/>
      <c r="D853" s="253"/>
      <c r="E853" s="252"/>
    </row>
    <row r="854" spans="2:5">
      <c r="B854" s="254"/>
      <c r="C854" s="255"/>
      <c r="D854" s="253"/>
      <c r="E854" s="252"/>
    </row>
    <row r="855" spans="2:5">
      <c r="B855" s="254"/>
      <c r="C855" s="255"/>
      <c r="D855" s="253"/>
      <c r="E855" s="252"/>
    </row>
    <row r="856" spans="2:5">
      <c r="B856" s="254"/>
      <c r="C856" s="255"/>
      <c r="D856" s="253"/>
      <c r="E856" s="252"/>
    </row>
    <row r="857" spans="2:5">
      <c r="B857" s="254"/>
      <c r="C857" s="255"/>
      <c r="D857" s="253"/>
      <c r="E857" s="252"/>
    </row>
    <row r="858" spans="2:5">
      <c r="B858" s="254"/>
      <c r="C858" s="255"/>
      <c r="D858" s="253"/>
      <c r="E858" s="252"/>
    </row>
    <row r="859" spans="2:5">
      <c r="B859" s="254"/>
      <c r="C859" s="255"/>
      <c r="D859" s="253"/>
      <c r="E859" s="252"/>
    </row>
    <row r="860" spans="2:5">
      <c r="B860" s="254"/>
      <c r="C860" s="255"/>
      <c r="D860" s="253"/>
      <c r="E860" s="252"/>
    </row>
    <row r="861" spans="2:5">
      <c r="B861" s="254"/>
      <c r="C861" s="255"/>
      <c r="D861" s="253"/>
      <c r="E861" s="252"/>
    </row>
    <row r="862" spans="2:5">
      <c r="B862" s="254"/>
      <c r="C862" s="255"/>
      <c r="D862" s="253"/>
      <c r="E862" s="252"/>
    </row>
    <row r="863" spans="2:5">
      <c r="B863" s="254"/>
      <c r="C863" s="255"/>
      <c r="D863" s="253"/>
      <c r="E863" s="252"/>
    </row>
    <row r="864" spans="2:5">
      <c r="B864" s="254"/>
      <c r="C864" s="255"/>
      <c r="D864" s="253"/>
      <c r="E864" s="252"/>
    </row>
    <row r="865" spans="2:5">
      <c r="B865" s="254"/>
      <c r="C865" s="255"/>
      <c r="D865" s="253"/>
      <c r="E865" s="252"/>
    </row>
    <row r="866" spans="2:5">
      <c r="B866" s="254"/>
      <c r="C866" s="255"/>
      <c r="D866" s="253"/>
      <c r="E866" s="252"/>
    </row>
    <row r="867" spans="2:5">
      <c r="B867" s="254"/>
      <c r="C867" s="255"/>
      <c r="D867" s="253"/>
      <c r="E867" s="252"/>
    </row>
    <row r="868" spans="2:5">
      <c r="B868" s="254"/>
      <c r="C868" s="255"/>
      <c r="D868" s="253"/>
      <c r="E868" s="252"/>
    </row>
    <row r="869" spans="2:5">
      <c r="B869" s="254"/>
      <c r="C869" s="255"/>
      <c r="D869" s="253"/>
      <c r="E869" s="252"/>
    </row>
    <row r="870" spans="2:5">
      <c r="B870" s="254"/>
      <c r="C870" s="255"/>
      <c r="D870" s="253"/>
      <c r="E870" s="252"/>
    </row>
    <row r="871" spans="2:5">
      <c r="B871" s="254"/>
      <c r="C871" s="255"/>
      <c r="D871" s="253"/>
      <c r="E871" s="252"/>
    </row>
    <row r="872" spans="2:5">
      <c r="B872" s="254"/>
      <c r="C872" s="255"/>
      <c r="D872" s="253"/>
      <c r="E872" s="252"/>
    </row>
    <row r="873" spans="2:5">
      <c r="B873" s="254"/>
      <c r="C873" s="255"/>
      <c r="D873" s="253"/>
      <c r="E873" s="252"/>
    </row>
    <row r="874" spans="2:5">
      <c r="B874" s="254"/>
      <c r="C874" s="255"/>
      <c r="D874" s="253"/>
      <c r="E874" s="252"/>
    </row>
    <row r="875" spans="2:5">
      <c r="B875" s="254"/>
      <c r="C875" s="255"/>
      <c r="D875" s="253"/>
      <c r="E875" s="252"/>
    </row>
    <row r="876" spans="2:5">
      <c r="B876" s="254"/>
      <c r="C876" s="255"/>
      <c r="D876" s="253"/>
      <c r="E876" s="252"/>
    </row>
    <row r="877" spans="2:5">
      <c r="B877" s="254"/>
      <c r="C877" s="255"/>
      <c r="D877" s="253"/>
      <c r="E877" s="252"/>
    </row>
    <row r="878" spans="2:5">
      <c r="B878" s="254"/>
      <c r="C878" s="255"/>
      <c r="D878" s="253"/>
      <c r="E878" s="252"/>
    </row>
    <row r="879" spans="2:5">
      <c r="B879" s="254"/>
      <c r="C879" s="255"/>
      <c r="D879" s="253"/>
      <c r="E879" s="252"/>
    </row>
    <row r="880" spans="2:5">
      <c r="B880" s="254"/>
      <c r="C880" s="255"/>
      <c r="D880" s="253"/>
      <c r="E880" s="252"/>
    </row>
    <row r="881" spans="2:5">
      <c r="B881" s="254"/>
      <c r="C881" s="255"/>
      <c r="D881" s="253"/>
      <c r="E881" s="252"/>
    </row>
    <row r="882" spans="2:5">
      <c r="B882" s="254"/>
      <c r="C882" s="255"/>
      <c r="D882" s="253"/>
      <c r="E882" s="252"/>
    </row>
    <row r="883" spans="2:5">
      <c r="B883" s="254"/>
      <c r="C883" s="255"/>
      <c r="D883" s="253"/>
      <c r="E883" s="252"/>
    </row>
    <row r="884" spans="2:5">
      <c r="B884" s="254"/>
      <c r="C884" s="255"/>
      <c r="D884" s="253"/>
      <c r="E884" s="252"/>
    </row>
    <row r="885" spans="2:5">
      <c r="B885" s="254"/>
      <c r="C885" s="255"/>
      <c r="D885" s="253"/>
      <c r="E885" s="252"/>
    </row>
    <row r="886" spans="2:5">
      <c r="B886" s="254"/>
      <c r="C886" s="255"/>
      <c r="D886" s="253"/>
      <c r="E886" s="252"/>
    </row>
    <row r="887" spans="2:5">
      <c r="B887" s="254"/>
      <c r="C887" s="255"/>
      <c r="D887" s="253"/>
      <c r="E887" s="252"/>
    </row>
    <row r="888" spans="2:5">
      <c r="B888" s="254"/>
      <c r="C888" s="255"/>
      <c r="D888" s="253"/>
      <c r="E888" s="252"/>
    </row>
    <row r="889" spans="2:5">
      <c r="B889" s="254"/>
      <c r="C889" s="255"/>
      <c r="D889" s="253"/>
      <c r="E889" s="252"/>
    </row>
    <row r="890" spans="2:5">
      <c r="B890" s="254"/>
      <c r="C890" s="255"/>
      <c r="D890" s="253"/>
      <c r="E890" s="252"/>
    </row>
    <row r="891" spans="2:5">
      <c r="B891" s="254"/>
      <c r="C891" s="255"/>
      <c r="D891" s="253"/>
      <c r="E891" s="252"/>
    </row>
    <row r="892" spans="2:5">
      <c r="B892" s="254"/>
      <c r="C892" s="255"/>
      <c r="D892" s="253"/>
      <c r="E892" s="252"/>
    </row>
    <row r="893" spans="2:5">
      <c r="B893" s="254"/>
      <c r="C893" s="255"/>
      <c r="D893" s="253"/>
      <c r="E893" s="252"/>
    </row>
    <row r="894" spans="2:5">
      <c r="B894" s="254"/>
      <c r="C894" s="255"/>
      <c r="D894" s="253"/>
      <c r="E894" s="252"/>
    </row>
    <row r="895" spans="2:5">
      <c r="B895" s="254"/>
      <c r="C895" s="255"/>
      <c r="D895" s="253"/>
      <c r="E895" s="252"/>
    </row>
    <row r="896" spans="2:5">
      <c r="B896" s="254"/>
      <c r="C896" s="255"/>
      <c r="D896" s="253"/>
      <c r="E896" s="252"/>
    </row>
    <row r="897" spans="2:4">
      <c r="B897" s="248"/>
      <c r="D897" s="251"/>
    </row>
    <row r="898" spans="2:4">
      <c r="B898" s="248"/>
      <c r="D898" s="251"/>
    </row>
    <row r="899" spans="2:4">
      <c r="B899" s="248"/>
      <c r="D899" s="251"/>
    </row>
    <row r="900" spans="2:4">
      <c r="B900" s="248"/>
      <c r="D900" s="251"/>
    </row>
    <row r="901" spans="2:4">
      <c r="B901" s="248"/>
      <c r="D901" s="251"/>
    </row>
    <row r="902" spans="2:4">
      <c r="B902" s="248"/>
      <c r="D902" s="251"/>
    </row>
    <row r="903" spans="2:4">
      <c r="B903" s="248"/>
      <c r="D903" s="251"/>
    </row>
    <row r="904" spans="2:4">
      <c r="B904" s="248"/>
      <c r="D904" s="251"/>
    </row>
    <row r="905" spans="2:4">
      <c r="B905" s="248"/>
      <c r="D905" s="251"/>
    </row>
    <row r="906" spans="2:4">
      <c r="B906" s="248"/>
      <c r="D906" s="251"/>
    </row>
    <row r="907" spans="2:4">
      <c r="B907" s="248"/>
      <c r="D907" s="251"/>
    </row>
    <row r="908" spans="2:4">
      <c r="B908" s="248"/>
      <c r="D908" s="251"/>
    </row>
    <row r="909" spans="2:4">
      <c r="B909" s="248"/>
      <c r="D909" s="251"/>
    </row>
    <row r="910" spans="2:4">
      <c r="B910" s="248"/>
      <c r="D910" s="251"/>
    </row>
    <row r="911" spans="2:4">
      <c r="B911" s="248"/>
      <c r="D911" s="251"/>
    </row>
    <row r="912" spans="2:4">
      <c r="B912" s="248"/>
      <c r="D912" s="251"/>
    </row>
    <row r="913" spans="2:4">
      <c r="B913" s="248"/>
      <c r="D913" s="251"/>
    </row>
    <row r="914" spans="2:4">
      <c r="B914" s="248"/>
      <c r="D914" s="251"/>
    </row>
    <row r="915" spans="2:4">
      <c r="B915" s="248"/>
      <c r="D915" s="251"/>
    </row>
    <row r="916" spans="2:4">
      <c r="B916" s="248"/>
      <c r="D916" s="251"/>
    </row>
    <row r="917" spans="2:4">
      <c r="B917" s="248"/>
      <c r="D917" s="251"/>
    </row>
    <row r="918" spans="2:4">
      <c r="B918" s="248"/>
      <c r="D918" s="251"/>
    </row>
    <row r="919" spans="2:4">
      <c r="B919" s="248"/>
      <c r="D919" s="251"/>
    </row>
    <row r="920" spans="2:4">
      <c r="B920" s="248"/>
      <c r="D920" s="251"/>
    </row>
    <row r="921" spans="2:4">
      <c r="B921" s="248"/>
      <c r="D921" s="251"/>
    </row>
    <row r="922" spans="2:4">
      <c r="B922" s="248"/>
      <c r="D922" s="251"/>
    </row>
    <row r="923" spans="2:4">
      <c r="B923" s="248"/>
      <c r="D923" s="251"/>
    </row>
    <row r="924" spans="2:4">
      <c r="B924" s="248"/>
      <c r="D924" s="251"/>
    </row>
    <row r="925" spans="2:4">
      <c r="B925" s="248"/>
      <c r="D925" s="251"/>
    </row>
    <row r="926" spans="2:4">
      <c r="B926" s="248"/>
      <c r="D926" s="251"/>
    </row>
    <row r="927" spans="2:4">
      <c r="B927" s="248"/>
      <c r="D927" s="251"/>
    </row>
    <row r="928" spans="2:4">
      <c r="B928" s="248"/>
      <c r="D928" s="251"/>
    </row>
    <row r="929" spans="2:4">
      <c r="B929" s="248"/>
      <c r="D929" s="251"/>
    </row>
    <row r="930" spans="2:4">
      <c r="B930" s="248"/>
      <c r="D930" s="251"/>
    </row>
    <row r="931" spans="2:4">
      <c r="B931" s="248"/>
      <c r="D931" s="251"/>
    </row>
    <row r="932" spans="2:4">
      <c r="B932" s="248"/>
      <c r="D932" s="251"/>
    </row>
    <row r="933" spans="2:4">
      <c r="B933" s="248"/>
      <c r="D933" s="251"/>
    </row>
    <row r="934" spans="2:4">
      <c r="B934" s="248"/>
      <c r="D934" s="251"/>
    </row>
    <row r="935" spans="2:4">
      <c r="B935" s="248"/>
      <c r="D935" s="251"/>
    </row>
    <row r="936" spans="2:4">
      <c r="B936" s="248"/>
      <c r="D936" s="251"/>
    </row>
    <row r="937" spans="2:4">
      <c r="B937" s="248"/>
      <c r="D937" s="251"/>
    </row>
    <row r="938" spans="2:4">
      <c r="B938" s="248"/>
      <c r="D938" s="251"/>
    </row>
    <row r="939" spans="2:4">
      <c r="B939" s="248"/>
      <c r="D939" s="251"/>
    </row>
    <row r="940" spans="2:4">
      <c r="B940" s="248"/>
      <c r="D940" s="251"/>
    </row>
    <row r="941" spans="2:4">
      <c r="B941" s="248"/>
      <c r="D941" s="251"/>
    </row>
    <row r="942" spans="2:4">
      <c r="B942" s="248"/>
      <c r="D942" s="251"/>
    </row>
    <row r="943" spans="2:4">
      <c r="B943" s="248"/>
      <c r="D943" s="251"/>
    </row>
    <row r="944" spans="2:4">
      <c r="B944" s="248"/>
      <c r="D944" s="251"/>
    </row>
    <row r="945" spans="2:4">
      <c r="B945" s="248"/>
      <c r="D945" s="251"/>
    </row>
    <row r="946" spans="2:4">
      <c r="B946" s="248"/>
      <c r="D946" s="251"/>
    </row>
    <row r="947" spans="2:4">
      <c r="B947" s="248"/>
      <c r="D947" s="251"/>
    </row>
    <row r="948" spans="2:4">
      <c r="B948" s="248"/>
      <c r="D948" s="251"/>
    </row>
    <row r="949" spans="2:4">
      <c r="B949" s="248"/>
      <c r="D949" s="251"/>
    </row>
    <row r="950" spans="2:4">
      <c r="B950" s="248"/>
      <c r="D950" s="251"/>
    </row>
    <row r="951" spans="2:4">
      <c r="B951" s="248"/>
      <c r="D951" s="251"/>
    </row>
    <row r="952" spans="2:4">
      <c r="B952" s="248"/>
      <c r="D952" s="251"/>
    </row>
    <row r="953" spans="2:4">
      <c r="B953" s="248"/>
      <c r="D953" s="251"/>
    </row>
    <row r="954" spans="2:4">
      <c r="B954" s="248"/>
      <c r="D954" s="251"/>
    </row>
    <row r="955" spans="2:4">
      <c r="B955" s="248"/>
      <c r="D955" s="251"/>
    </row>
    <row r="956" spans="2:4">
      <c r="B956" s="248"/>
      <c r="D956" s="251"/>
    </row>
    <row r="957" spans="2:4">
      <c r="B957" s="248"/>
      <c r="D957" s="251"/>
    </row>
    <row r="958" spans="2:4">
      <c r="B958" s="248"/>
      <c r="D958" s="251"/>
    </row>
    <row r="959" spans="2:4">
      <c r="B959" s="248"/>
      <c r="D959" s="251"/>
    </row>
    <row r="960" spans="2:4">
      <c r="B960" s="248"/>
      <c r="D960" s="251"/>
    </row>
    <row r="961" spans="2:4">
      <c r="B961" s="248"/>
      <c r="D961" s="251"/>
    </row>
    <row r="962" spans="2:4">
      <c r="B962" s="248"/>
      <c r="D962" s="251"/>
    </row>
    <row r="963" spans="2:4">
      <c r="B963" s="248"/>
      <c r="D963" s="251"/>
    </row>
    <row r="964" spans="2:4">
      <c r="B964" s="248"/>
      <c r="D964" s="251"/>
    </row>
    <row r="965" spans="2:4">
      <c r="B965" s="248"/>
      <c r="D965" s="251"/>
    </row>
    <row r="966" spans="2:4">
      <c r="B966" s="248"/>
      <c r="D966" s="251"/>
    </row>
    <row r="967" spans="2:4">
      <c r="B967" s="248"/>
      <c r="D967" s="251"/>
    </row>
    <row r="968" spans="2:4">
      <c r="B968" s="248"/>
      <c r="D968" s="251"/>
    </row>
    <row r="969" spans="2:4">
      <c r="B969" s="248"/>
      <c r="D969" s="251"/>
    </row>
    <row r="970" spans="2:4">
      <c r="B970" s="248"/>
      <c r="D970" s="251"/>
    </row>
    <row r="971" spans="2:4">
      <c r="B971" s="248"/>
      <c r="D971" s="251"/>
    </row>
    <row r="972" spans="2:4">
      <c r="B972" s="248"/>
      <c r="D972" s="251"/>
    </row>
    <row r="973" spans="2:4">
      <c r="B973" s="248"/>
      <c r="D973" s="251"/>
    </row>
    <row r="974" spans="2:4">
      <c r="B974" s="248"/>
      <c r="D974" s="251"/>
    </row>
    <row r="975" spans="2:4">
      <c r="B975" s="248"/>
      <c r="D975" s="251"/>
    </row>
    <row r="976" spans="2:4">
      <c r="B976" s="248"/>
      <c r="D976" s="251"/>
    </row>
    <row r="977" spans="2:4">
      <c r="B977" s="248"/>
      <c r="D977" s="251"/>
    </row>
    <row r="978" spans="2:4">
      <c r="B978" s="248"/>
      <c r="D978" s="251"/>
    </row>
    <row r="979" spans="2:4">
      <c r="B979" s="248"/>
      <c r="D979" s="251"/>
    </row>
    <row r="980" spans="2:4">
      <c r="B980" s="248"/>
      <c r="D980" s="251"/>
    </row>
    <row r="981" spans="2:4">
      <c r="B981" s="248"/>
      <c r="D981" s="251"/>
    </row>
    <row r="982" spans="2:4">
      <c r="B982" s="248"/>
      <c r="D982" s="251"/>
    </row>
    <row r="983" spans="2:4">
      <c r="B983" s="248"/>
      <c r="D983" s="251"/>
    </row>
    <row r="984" spans="2:4">
      <c r="B984" s="248"/>
      <c r="D984" s="251"/>
    </row>
    <row r="985" spans="2:4">
      <c r="B985" s="248"/>
      <c r="D985" s="251"/>
    </row>
    <row r="986" spans="2:4">
      <c r="B986" s="248"/>
      <c r="D986" s="251"/>
    </row>
    <row r="987" spans="2:4">
      <c r="B987" s="248"/>
      <c r="D987" s="251"/>
    </row>
    <row r="988" spans="2:4">
      <c r="B988" s="248"/>
      <c r="D988" s="251"/>
    </row>
    <row r="989" spans="2:4">
      <c r="B989" s="248"/>
      <c r="D989" s="251"/>
    </row>
    <row r="990" spans="2:4">
      <c r="B990" s="248"/>
      <c r="D990" s="251"/>
    </row>
    <row r="991" spans="2:4">
      <c r="B991" s="248"/>
      <c r="D991" s="251"/>
    </row>
    <row r="992" spans="2:4">
      <c r="B992" s="248"/>
      <c r="D992" s="251"/>
    </row>
    <row r="993" spans="2:4">
      <c r="B993" s="248"/>
      <c r="D993" s="251"/>
    </row>
    <row r="994" spans="2:4">
      <c r="B994" s="248"/>
      <c r="D994" s="251"/>
    </row>
    <row r="995" spans="2:4">
      <c r="B995" s="248"/>
      <c r="D995" s="251"/>
    </row>
    <row r="996" spans="2:4">
      <c r="B996" s="248"/>
      <c r="D996" s="251"/>
    </row>
    <row r="997" spans="2:4">
      <c r="B997" s="248"/>
      <c r="D997" s="251"/>
    </row>
    <row r="998" spans="2:4">
      <c r="B998" s="248"/>
      <c r="D998" s="251"/>
    </row>
    <row r="999" spans="2:4">
      <c r="B999" s="248"/>
      <c r="D999" s="251"/>
    </row>
    <row r="1000" spans="2:4">
      <c r="B1000" s="248"/>
      <c r="D1000" s="251"/>
    </row>
    <row r="1001" spans="2:4">
      <c r="B1001" s="248"/>
      <c r="D1001" s="251"/>
    </row>
    <row r="1002" spans="2:4">
      <c r="B1002" s="248"/>
      <c r="D1002" s="251"/>
    </row>
    <row r="1003" spans="2:4">
      <c r="B1003" s="248"/>
      <c r="D1003" s="251"/>
    </row>
    <row r="1004" spans="2:4">
      <c r="B1004" s="248"/>
      <c r="D1004" s="251"/>
    </row>
    <row r="1005" spans="2:4">
      <c r="B1005" s="248"/>
      <c r="D1005" s="251"/>
    </row>
    <row r="1006" spans="2:4">
      <c r="B1006" s="248"/>
      <c r="D1006" s="251"/>
    </row>
    <row r="1007" spans="2:4">
      <c r="B1007" s="248"/>
      <c r="D1007" s="251"/>
    </row>
    <row r="1008" spans="2:4">
      <c r="B1008" s="248"/>
      <c r="D1008" s="251"/>
    </row>
  </sheetData>
  <autoFilter ref="A1:H1008">
    <sortState ref="A2:H1007">
      <sortCondition ref="A1:A1007"/>
    </sortState>
  </autoFilter>
  <sortState ref="A2:G1009">
    <sortCondition ref="C1"/>
  </sortState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7"/>
  <sheetViews>
    <sheetView workbookViewId="0">
      <selection activeCell="H5" sqref="H5"/>
    </sheetView>
  </sheetViews>
  <sheetFormatPr defaultRowHeight="15"/>
  <cols>
    <col min="1" max="1" width="17.7109375" customWidth="1"/>
    <col min="2" max="2" width="14" customWidth="1"/>
    <col min="3" max="3" width="13.85546875" customWidth="1"/>
    <col min="4" max="4" width="17.140625" customWidth="1"/>
    <col min="5" max="5" width="10.28515625" customWidth="1"/>
    <col min="7" max="7" width="24.28515625" customWidth="1"/>
    <col min="8" max="8" width="14" customWidth="1"/>
    <col min="9" max="9" width="13.85546875" customWidth="1"/>
    <col min="10" max="10" width="17" customWidth="1"/>
    <col min="11" max="11" width="10.28515625" customWidth="1"/>
    <col min="13" max="13" width="11.140625" bestFit="1" customWidth="1"/>
  </cols>
  <sheetData>
    <row r="1" spans="1:13" ht="30">
      <c r="A1" s="7" t="s">
        <v>55</v>
      </c>
      <c r="B1" s="8" t="s">
        <v>61</v>
      </c>
      <c r="C1" s="8" t="s">
        <v>62</v>
      </c>
      <c r="D1" s="7" t="s">
        <v>60</v>
      </c>
      <c r="E1" s="8" t="s">
        <v>63</v>
      </c>
      <c r="G1" s="10" t="s">
        <v>57</v>
      </c>
      <c r="H1" s="11" t="s">
        <v>61</v>
      </c>
      <c r="I1" s="11" t="s">
        <v>62</v>
      </c>
      <c r="J1" s="10" t="s">
        <v>60</v>
      </c>
      <c r="K1" s="11" t="s">
        <v>63</v>
      </c>
    </row>
    <row r="2" spans="1:13">
      <c r="A2" s="3" t="s">
        <v>30</v>
      </c>
      <c r="B2" s="3">
        <f>COUNTIF('Awards Summary'!E:E, "Discretionary")</f>
        <v>0</v>
      </c>
      <c r="C2" s="4" t="e">
        <f>B2/B5</f>
        <v>#DIV/0!</v>
      </c>
      <c r="D2" s="2">
        <f>SUMIFS('Awards Summary'!H:H,'Awards Summary'!E:E,"Discretionary")</f>
        <v>0</v>
      </c>
      <c r="E2" s="4" t="e">
        <f>D2/D5</f>
        <v>#DIV/0!</v>
      </c>
      <c r="G2" s="3" t="s">
        <v>29</v>
      </c>
      <c r="H2" s="3">
        <f>COUNTIF('Awards Summary'!D:D, "Commodities")</f>
        <v>0</v>
      </c>
      <c r="I2" s="4" t="e">
        <f>H2/H6</f>
        <v>#DIV/0!</v>
      </c>
      <c r="J2" s="2">
        <f>SUMIFS('Awards Summary'!H:H,'Awards Summary'!D:D,"Commodities")</f>
        <v>0</v>
      </c>
      <c r="K2" s="4" t="e">
        <f>J2/J6</f>
        <v>#DIV/0!</v>
      </c>
    </row>
    <row r="3" spans="1:13">
      <c r="A3" s="3" t="s">
        <v>26</v>
      </c>
      <c r="B3" s="3">
        <f>COUNTIF('Awards Summary'!E:E, "General")</f>
        <v>0</v>
      </c>
      <c r="C3" s="4" t="e">
        <f>B3/B5</f>
        <v>#DIV/0!</v>
      </c>
      <c r="D3" s="2">
        <f>SUMIFS('Awards Summary'!H:H,'Awards Summary'!E:E,"General")</f>
        <v>0</v>
      </c>
      <c r="E3" s="4" t="e">
        <f>D3/D5</f>
        <v>#DIV/0!</v>
      </c>
      <c r="G3" s="3" t="s">
        <v>27</v>
      </c>
      <c r="H3" s="3">
        <f>COUNTIF('Awards Summary'!D:D, "Construction")</f>
        <v>0</v>
      </c>
      <c r="I3" s="4" t="e">
        <f>H3/H6</f>
        <v>#DIV/0!</v>
      </c>
      <c r="J3" s="2">
        <f>SUMIFS('Awards Summary'!H:H,'Awards Summary'!D:D,"Construction")</f>
        <v>0</v>
      </c>
      <c r="K3" s="4" t="e">
        <f>J3/J6</f>
        <v>#DIV/0!</v>
      </c>
    </row>
    <row r="4" spans="1:13">
      <c r="A4" s="3" t="s">
        <v>56</v>
      </c>
      <c r="B4" s="3">
        <f>COUNTIF('Awards Summary'!E:E, "Set-Aside")</f>
        <v>0</v>
      </c>
      <c r="C4" s="4" t="e">
        <f>B4/B5</f>
        <v>#DIV/0!</v>
      </c>
      <c r="D4" s="2">
        <f>SUMIFS('Awards Summary'!H:H,'Awards Summary'!E:E,"Set-Aside")</f>
        <v>0</v>
      </c>
      <c r="E4" s="4" t="e">
        <f>D4/D5</f>
        <v>#DIV/0!</v>
      </c>
      <c r="G4" s="3" t="s">
        <v>58</v>
      </c>
      <c r="H4" s="3">
        <f>COUNTIF('Awards Summary'!D:D, "Construction Consultants")</f>
        <v>0</v>
      </c>
      <c r="I4" s="4" t="e">
        <f>H4/H6</f>
        <v>#DIV/0!</v>
      </c>
      <c r="J4" s="2">
        <f>SUMIFS('Awards Summary'!H:H,'Awards Summary'!D:D,"Construction Consultants")</f>
        <v>0</v>
      </c>
      <c r="K4" s="4" t="e">
        <f>J4/J6</f>
        <v>#DIV/0!</v>
      </c>
    </row>
    <row r="5" spans="1:13">
      <c r="A5" s="6" t="s">
        <v>1</v>
      </c>
      <c r="B5" s="6">
        <f>SUM(B2:B4)</f>
        <v>0</v>
      </c>
      <c r="C5" s="13" t="e">
        <f>SUM(C2:C4)</f>
        <v>#DIV/0!</v>
      </c>
      <c r="D5" s="5">
        <f>SUM(D2:D4)</f>
        <v>0</v>
      </c>
      <c r="E5" s="13" t="e">
        <f>SUM(E2:E4)</f>
        <v>#DIV/0!</v>
      </c>
      <c r="G5" s="3" t="s">
        <v>33</v>
      </c>
      <c r="H5" s="3">
        <f>COUNTIF('Awards Summary'!D:D, "Services/Consultants")</f>
        <v>0</v>
      </c>
      <c r="I5" s="4" t="e">
        <f>H5/H6</f>
        <v>#DIV/0!</v>
      </c>
      <c r="J5" s="2">
        <f>SUMIFS('Awards Summary'!H:H,'Awards Summary'!D:D,"Services/Consultants")</f>
        <v>0</v>
      </c>
      <c r="K5" s="4" t="e">
        <f>J5/J6</f>
        <v>#DIV/0!</v>
      </c>
    </row>
    <row r="6" spans="1:13">
      <c r="G6" s="9" t="s">
        <v>59</v>
      </c>
      <c r="H6" s="9">
        <f>SUM(H2:H5)</f>
        <v>0</v>
      </c>
      <c r="I6" s="12" t="e">
        <f>SUM(I2:I5)</f>
        <v>#DIV/0!</v>
      </c>
      <c r="J6" s="14">
        <f>SUM(J2:J5)</f>
        <v>0</v>
      </c>
      <c r="K6" s="12" t="e">
        <f>SUM(K2:K5)</f>
        <v>#DIV/0!</v>
      </c>
    </row>
    <row r="8" spans="1:13">
      <c r="M8" s="1"/>
    </row>
    <row r="12" spans="1:13">
      <c r="M12" s="1"/>
    </row>
    <row r="17" spans="13:13">
      <c r="M17" t="s">
        <v>458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99"/>
  <sheetViews>
    <sheetView zoomScale="60" zoomScaleNormal="60" workbookViewId="0">
      <pane ySplit="1" topLeftCell="A2" activePane="bottomLeft" state="frozen"/>
      <selection pane="bottomLeft" activeCell="D91" sqref="D91"/>
    </sheetView>
  </sheetViews>
  <sheetFormatPr defaultRowHeight="15"/>
  <cols>
    <col min="1" max="1" width="20.7109375" style="160" customWidth="1"/>
    <col min="2" max="2" width="33" style="171" bestFit="1" customWidth="1"/>
    <col min="3" max="3" width="38.85546875" style="172" customWidth="1"/>
    <col min="4" max="4" width="32.140625" style="173" customWidth="1"/>
    <col min="5" max="5" width="18.28515625" style="174" customWidth="1"/>
    <col min="6" max="6" width="14.7109375" style="174" customWidth="1"/>
    <col min="7" max="7" width="138.7109375" style="171" customWidth="1"/>
    <col min="8" max="9" width="25.7109375" style="160" customWidth="1"/>
    <col min="10" max="16384" width="9.140625" style="160"/>
  </cols>
  <sheetData>
    <row r="1" spans="1:9" ht="71.25">
      <c r="A1" s="177" t="s">
        <v>203</v>
      </c>
      <c r="B1" s="137" t="s">
        <v>20</v>
      </c>
      <c r="C1" s="132" t="s">
        <v>21</v>
      </c>
      <c r="D1" s="148" t="s">
        <v>23</v>
      </c>
      <c r="E1" s="133" t="s">
        <v>200</v>
      </c>
      <c r="F1" s="133" t="s">
        <v>201</v>
      </c>
      <c r="G1" s="132" t="s">
        <v>202</v>
      </c>
      <c r="H1" s="134"/>
      <c r="I1" s="134"/>
    </row>
    <row r="2" spans="1:9" ht="59.25" customHeight="1">
      <c r="A2" s="62"/>
      <c r="B2" s="62"/>
      <c r="C2" s="131"/>
      <c r="D2" s="149"/>
      <c r="E2" s="136"/>
      <c r="F2" s="136"/>
      <c r="G2" s="62"/>
      <c r="H2" s="62"/>
      <c r="I2" s="131"/>
    </row>
    <row r="3" spans="1:9" ht="15" customHeight="1">
      <c r="A3" s="62"/>
      <c r="B3" s="62"/>
      <c r="C3" s="131"/>
      <c r="D3" s="150"/>
      <c r="E3" s="136"/>
      <c r="F3" s="136"/>
      <c r="G3" s="62"/>
      <c r="H3" s="131"/>
      <c r="I3" s="131"/>
    </row>
    <row r="4" spans="1:9" ht="15" customHeight="1">
      <c r="A4" s="62"/>
      <c r="B4" s="62"/>
      <c r="C4" s="131"/>
      <c r="D4" s="150"/>
      <c r="E4" s="136"/>
      <c r="F4" s="136"/>
      <c r="G4" s="62"/>
      <c r="H4" s="131"/>
      <c r="I4" s="131"/>
    </row>
    <row r="5" spans="1:9" ht="15" customHeight="1">
      <c r="A5" s="62"/>
      <c r="B5" s="62"/>
      <c r="C5" s="131"/>
      <c r="D5" s="150"/>
      <c r="E5" s="136"/>
      <c r="F5" s="136"/>
      <c r="G5" s="62"/>
      <c r="H5" s="131"/>
      <c r="I5" s="131"/>
    </row>
    <row r="6" spans="1:9" ht="15" customHeight="1">
      <c r="A6" s="62"/>
      <c r="B6" s="62"/>
      <c r="C6" s="131"/>
      <c r="D6" s="150"/>
      <c r="E6" s="136"/>
      <c r="F6" s="136"/>
      <c r="G6" s="62"/>
      <c r="H6" s="131"/>
      <c r="I6" s="131"/>
    </row>
    <row r="7" spans="1:9" ht="15" customHeight="1">
      <c r="A7" s="62"/>
      <c r="B7" s="62"/>
      <c r="C7" s="131"/>
      <c r="D7" s="150"/>
      <c r="E7" s="136"/>
      <c r="F7" s="136"/>
      <c r="G7" s="62"/>
      <c r="H7" s="131"/>
      <c r="I7" s="131"/>
    </row>
    <row r="8" spans="1:9">
      <c r="A8" s="62"/>
      <c r="B8" s="62"/>
      <c r="C8" s="131"/>
      <c r="D8" s="150"/>
      <c r="E8" s="136"/>
      <c r="F8" s="136"/>
      <c r="G8" s="62"/>
      <c r="H8" s="131"/>
      <c r="I8" s="131"/>
    </row>
    <row r="9" spans="1:9">
      <c r="A9" s="62"/>
      <c r="B9" s="62"/>
      <c r="C9" s="131"/>
      <c r="D9" s="150"/>
      <c r="E9" s="136"/>
      <c r="F9" s="136"/>
      <c r="G9" s="131"/>
      <c r="H9" s="131"/>
      <c r="I9" s="131"/>
    </row>
    <row r="10" spans="1:9">
      <c r="A10" s="62"/>
      <c r="B10" s="62"/>
      <c r="C10" s="131"/>
      <c r="D10" s="150"/>
      <c r="E10" s="136"/>
      <c r="F10" s="136"/>
      <c r="G10" s="162"/>
      <c r="H10" s="131"/>
      <c r="I10" s="131"/>
    </row>
    <row r="11" spans="1:9">
      <c r="A11" s="62"/>
      <c r="B11" s="62"/>
      <c r="C11" s="131"/>
      <c r="D11" s="150"/>
      <c r="E11" s="136"/>
      <c r="F11" s="136"/>
      <c r="G11" s="135"/>
      <c r="H11" s="131"/>
      <c r="I11" s="131"/>
    </row>
    <row r="12" spans="1:9">
      <c r="A12" s="62"/>
      <c r="B12" s="62"/>
      <c r="C12" s="131"/>
      <c r="D12" s="150"/>
      <c r="E12" s="136"/>
      <c r="F12" s="136"/>
      <c r="G12" s="62"/>
      <c r="H12" s="131"/>
      <c r="I12" s="131"/>
    </row>
    <row r="13" spans="1:9">
      <c r="A13" s="62"/>
      <c r="B13" s="62"/>
      <c r="C13" s="131"/>
      <c r="D13" s="150"/>
      <c r="E13" s="136"/>
      <c r="F13" s="136"/>
      <c r="G13" s="62"/>
      <c r="H13" s="131"/>
      <c r="I13" s="131"/>
    </row>
    <row r="14" spans="1:9">
      <c r="A14" s="62"/>
      <c r="B14" s="62"/>
      <c r="C14" s="131"/>
      <c r="D14" s="150"/>
      <c r="E14" s="136"/>
      <c r="F14" s="136"/>
      <c r="G14" s="62"/>
      <c r="H14" s="131"/>
      <c r="I14" s="131"/>
    </row>
    <row r="15" spans="1:9">
      <c r="A15" s="62"/>
      <c r="B15" s="62"/>
      <c r="C15" s="131"/>
      <c r="D15" s="150"/>
      <c r="E15" s="136"/>
      <c r="F15" s="136"/>
      <c r="G15" s="62"/>
      <c r="H15" s="131"/>
      <c r="I15" s="131"/>
    </row>
    <row r="16" spans="1:9">
      <c r="A16" s="62"/>
      <c r="B16" s="62"/>
      <c r="C16" s="131"/>
      <c r="D16" s="150"/>
      <c r="E16" s="136"/>
      <c r="F16" s="136"/>
      <c r="G16" s="62"/>
      <c r="H16" s="62"/>
      <c r="I16" s="62"/>
    </row>
    <row r="17" spans="1:9">
      <c r="A17" s="62"/>
      <c r="B17" s="62"/>
      <c r="C17" s="131"/>
      <c r="D17" s="150"/>
      <c r="E17" s="136"/>
      <c r="F17" s="136"/>
      <c r="G17" s="131"/>
      <c r="H17" s="131"/>
      <c r="I17" s="131"/>
    </row>
    <row r="18" spans="1:9">
      <c r="A18" s="62"/>
      <c r="B18" s="131"/>
      <c r="C18" s="131"/>
      <c r="D18" s="150"/>
      <c r="E18" s="163"/>
      <c r="F18" s="163"/>
      <c r="G18" s="131"/>
      <c r="H18" s="131"/>
      <c r="I18" s="131"/>
    </row>
    <row r="19" spans="1:9">
      <c r="A19" s="62"/>
      <c r="B19" s="131"/>
      <c r="C19" s="131"/>
      <c r="D19" s="150"/>
      <c r="E19" s="163"/>
      <c r="F19" s="163"/>
      <c r="G19" s="131"/>
      <c r="H19" s="131"/>
      <c r="I19" s="131"/>
    </row>
    <row r="20" spans="1:9">
      <c r="A20" s="62"/>
      <c r="B20" s="131"/>
      <c r="C20" s="131"/>
      <c r="D20" s="150"/>
      <c r="E20" s="163"/>
      <c r="F20" s="163"/>
      <c r="G20" s="131"/>
      <c r="H20" s="131"/>
      <c r="I20" s="131"/>
    </row>
    <row r="21" spans="1:9">
      <c r="A21" s="62"/>
      <c r="B21" s="131"/>
      <c r="C21" s="131"/>
      <c r="D21" s="150"/>
      <c r="E21" s="163"/>
      <c r="F21" s="163"/>
      <c r="G21" s="131"/>
      <c r="H21" s="131"/>
      <c r="I21" s="131"/>
    </row>
    <row r="22" spans="1:9">
      <c r="A22" s="62"/>
      <c r="B22" s="131"/>
      <c r="C22" s="131"/>
      <c r="D22" s="150"/>
      <c r="E22" s="163"/>
      <c r="F22" s="163"/>
      <c r="G22" s="131"/>
      <c r="H22" s="131"/>
      <c r="I22" s="131"/>
    </row>
    <row r="23" spans="1:9">
      <c r="A23" s="62"/>
      <c r="B23" s="131"/>
      <c r="C23" s="131"/>
      <c r="D23" s="150"/>
      <c r="E23" s="163"/>
      <c r="F23" s="163"/>
      <c r="G23" s="131"/>
      <c r="H23" s="131"/>
      <c r="I23" s="131"/>
    </row>
    <row r="24" spans="1:9">
      <c r="A24" s="62"/>
      <c r="B24" s="131"/>
      <c r="C24" s="131"/>
      <c r="D24" s="150"/>
      <c r="E24" s="163"/>
      <c r="F24" s="163"/>
      <c r="G24" s="131"/>
      <c r="H24" s="131"/>
      <c r="I24" s="131"/>
    </row>
    <row r="25" spans="1:9">
      <c r="A25" s="62"/>
      <c r="B25" s="131"/>
      <c r="C25" s="131"/>
      <c r="D25" s="150"/>
      <c r="E25" s="163"/>
      <c r="F25" s="163"/>
      <c r="G25" s="131"/>
      <c r="H25" s="131"/>
      <c r="I25" s="131"/>
    </row>
    <row r="26" spans="1:9">
      <c r="A26" s="62"/>
      <c r="B26" s="131"/>
      <c r="C26" s="131"/>
      <c r="D26" s="150"/>
      <c r="E26" s="163"/>
      <c r="F26" s="163"/>
      <c r="G26" s="131"/>
      <c r="H26" s="131"/>
      <c r="I26" s="131"/>
    </row>
    <row r="27" spans="1:9">
      <c r="A27" s="62"/>
      <c r="B27" s="131"/>
      <c r="C27" s="164"/>
      <c r="D27" s="165"/>
      <c r="E27" s="166"/>
      <c r="F27" s="166"/>
      <c r="G27" s="131"/>
      <c r="H27" s="131"/>
      <c r="I27" s="131"/>
    </row>
    <row r="28" spans="1:9">
      <c r="A28" s="62"/>
      <c r="B28" s="131"/>
      <c r="C28" s="164"/>
      <c r="D28" s="165"/>
      <c r="E28" s="166"/>
      <c r="F28" s="166"/>
      <c r="G28" s="131"/>
      <c r="H28" s="131"/>
      <c r="I28" s="131"/>
    </row>
    <row r="29" spans="1:9">
      <c r="A29" s="62"/>
      <c r="B29" s="131"/>
      <c r="C29" s="164"/>
      <c r="D29" s="165"/>
      <c r="E29" s="166"/>
      <c r="F29" s="166"/>
      <c r="G29" s="131"/>
      <c r="H29" s="131"/>
      <c r="I29" s="131"/>
    </row>
    <row r="30" spans="1:9">
      <c r="A30" s="62"/>
      <c r="B30" s="131"/>
      <c r="C30" s="164"/>
      <c r="D30" s="165"/>
      <c r="E30" s="166"/>
      <c r="F30" s="166"/>
      <c r="G30" s="131"/>
      <c r="H30" s="131"/>
      <c r="I30" s="131"/>
    </row>
    <row r="31" spans="1:9">
      <c r="A31" s="62"/>
      <c r="B31" s="131"/>
      <c r="C31" s="164"/>
      <c r="D31" s="165"/>
      <c r="E31" s="166"/>
      <c r="F31" s="166"/>
      <c r="G31" s="131"/>
      <c r="H31" s="131"/>
      <c r="I31" s="131"/>
    </row>
    <row r="32" spans="1:9">
      <c r="A32" s="62"/>
      <c r="B32" s="131"/>
      <c r="C32" s="164"/>
      <c r="D32" s="165"/>
      <c r="E32" s="166"/>
      <c r="F32" s="166"/>
      <c r="G32" s="131"/>
      <c r="H32" s="131"/>
      <c r="I32" s="131"/>
    </row>
    <row r="33" spans="1:9">
      <c r="A33" s="62"/>
      <c r="B33" s="131"/>
      <c r="C33" s="164"/>
      <c r="D33" s="165"/>
      <c r="E33" s="166"/>
      <c r="F33" s="166"/>
      <c r="G33" s="131"/>
      <c r="H33" s="131"/>
      <c r="I33" s="131"/>
    </row>
    <row r="34" spans="1:9">
      <c r="A34" s="62"/>
      <c r="B34" s="131"/>
      <c r="C34" s="164"/>
      <c r="D34" s="165"/>
      <c r="E34" s="166"/>
      <c r="F34" s="166"/>
      <c r="G34" s="131"/>
      <c r="H34" s="131"/>
      <c r="I34" s="131"/>
    </row>
    <row r="35" spans="1:9">
      <c r="A35" s="167"/>
      <c r="B35" s="131"/>
      <c r="C35" s="131"/>
      <c r="D35" s="150"/>
      <c r="E35" s="163"/>
      <c r="F35" s="163"/>
      <c r="G35" s="131"/>
      <c r="H35" s="131"/>
      <c r="I35" s="131"/>
    </row>
    <row r="36" spans="1:9">
      <c r="A36" s="131"/>
      <c r="B36" s="131"/>
      <c r="C36" s="131"/>
      <c r="D36" s="150"/>
      <c r="E36" s="163"/>
      <c r="F36" s="163"/>
      <c r="G36" s="131"/>
      <c r="H36" s="131"/>
      <c r="I36" s="131"/>
    </row>
    <row r="37" spans="1:9">
      <c r="A37" s="131"/>
      <c r="B37" s="131"/>
      <c r="C37" s="131"/>
      <c r="D37" s="150"/>
      <c r="E37" s="163"/>
      <c r="F37" s="163"/>
      <c r="G37" s="131"/>
      <c r="H37" s="131"/>
      <c r="I37" s="131"/>
    </row>
    <row r="38" spans="1:9">
      <c r="A38" s="131"/>
      <c r="B38" s="131"/>
      <c r="C38" s="131"/>
      <c r="D38" s="150"/>
      <c r="E38" s="163"/>
      <c r="F38" s="163"/>
      <c r="G38" s="131"/>
      <c r="H38" s="131"/>
      <c r="I38" s="131"/>
    </row>
    <row r="39" spans="1:9">
      <c r="A39" s="131"/>
      <c r="B39" s="131"/>
      <c r="C39" s="131"/>
      <c r="D39" s="150"/>
      <c r="E39" s="163"/>
      <c r="F39" s="163"/>
      <c r="G39" s="131"/>
      <c r="H39" s="131"/>
      <c r="I39" s="131"/>
    </row>
    <row r="40" spans="1:9">
      <c r="A40" s="131"/>
      <c r="B40" s="131"/>
      <c r="C40" s="131"/>
      <c r="D40" s="150"/>
      <c r="E40" s="163"/>
      <c r="F40" s="163"/>
      <c r="G40" s="131"/>
      <c r="H40" s="131"/>
      <c r="I40" s="131"/>
    </row>
    <row r="41" spans="1:9">
      <c r="A41" s="131"/>
      <c r="B41" s="131"/>
      <c r="C41" s="131"/>
      <c r="D41" s="150"/>
      <c r="E41" s="163"/>
      <c r="F41" s="163"/>
      <c r="G41" s="131"/>
      <c r="H41" s="131"/>
      <c r="I41" s="131"/>
    </row>
    <row r="42" spans="1:9">
      <c r="A42" s="131"/>
      <c r="B42" s="131"/>
      <c r="C42" s="131"/>
      <c r="D42" s="150"/>
      <c r="E42" s="163"/>
      <c r="F42" s="163"/>
      <c r="G42" s="131"/>
      <c r="H42" s="131"/>
      <c r="I42" s="131"/>
    </row>
    <row r="43" spans="1:9">
      <c r="A43" s="131"/>
      <c r="B43" s="131"/>
      <c r="C43" s="131"/>
      <c r="D43" s="150"/>
      <c r="E43" s="163"/>
      <c r="F43" s="163"/>
      <c r="G43" s="131"/>
      <c r="H43" s="131"/>
      <c r="I43" s="131"/>
    </row>
    <row r="44" spans="1:9">
      <c r="A44" s="131"/>
      <c r="B44" s="131"/>
      <c r="C44" s="131"/>
      <c r="D44" s="150"/>
      <c r="E44" s="163"/>
      <c r="F44" s="163"/>
      <c r="G44" s="131"/>
      <c r="H44" s="131"/>
      <c r="I44" s="131"/>
    </row>
    <row r="45" spans="1:9">
      <c r="A45" s="131"/>
      <c r="B45" s="131"/>
      <c r="C45" s="131"/>
      <c r="D45" s="150"/>
      <c r="E45" s="163"/>
      <c r="F45" s="163"/>
      <c r="G45" s="131"/>
      <c r="H45" s="131"/>
      <c r="I45" s="131"/>
    </row>
    <row r="46" spans="1:9">
      <c r="A46" s="131"/>
      <c r="B46" s="131"/>
      <c r="C46" s="131"/>
      <c r="D46" s="150"/>
      <c r="E46" s="163"/>
      <c r="F46" s="163"/>
      <c r="G46" s="131"/>
      <c r="H46" s="131"/>
      <c r="I46" s="131"/>
    </row>
    <row r="47" spans="1:9">
      <c r="A47" s="131"/>
      <c r="B47" s="131"/>
      <c r="C47" s="131"/>
      <c r="D47" s="150"/>
      <c r="E47" s="163"/>
      <c r="F47" s="163"/>
      <c r="G47" s="131"/>
      <c r="H47" s="131"/>
      <c r="I47" s="131"/>
    </row>
    <row r="48" spans="1:9">
      <c r="A48" s="131"/>
      <c r="B48" s="131"/>
      <c r="C48" s="131"/>
      <c r="D48" s="150"/>
      <c r="E48" s="163"/>
      <c r="F48" s="163"/>
      <c r="G48" s="131"/>
      <c r="H48" s="131"/>
      <c r="I48" s="131"/>
    </row>
    <row r="49" spans="1:9">
      <c r="A49" s="131"/>
      <c r="B49" s="131"/>
      <c r="C49" s="131"/>
      <c r="D49" s="150"/>
      <c r="E49" s="163"/>
      <c r="F49" s="163"/>
      <c r="G49" s="131"/>
      <c r="H49" s="131"/>
      <c r="I49" s="131"/>
    </row>
    <row r="50" spans="1:9">
      <c r="A50" s="131"/>
      <c r="B50" s="131"/>
      <c r="C50" s="131"/>
      <c r="D50" s="150"/>
      <c r="E50" s="163"/>
      <c r="F50" s="163"/>
      <c r="G50" s="131"/>
      <c r="H50" s="131"/>
      <c r="I50" s="131"/>
    </row>
    <row r="51" spans="1:9">
      <c r="A51" s="131"/>
      <c r="B51" s="131"/>
      <c r="C51" s="131"/>
      <c r="D51" s="150"/>
      <c r="E51" s="163"/>
      <c r="F51" s="163"/>
      <c r="G51" s="131"/>
      <c r="H51" s="131"/>
      <c r="I51" s="131"/>
    </row>
    <row r="52" spans="1:9">
      <c r="A52" s="131"/>
      <c r="B52" s="131"/>
      <c r="C52" s="131"/>
      <c r="D52" s="150"/>
      <c r="E52" s="163"/>
      <c r="F52" s="163"/>
      <c r="G52" s="131"/>
      <c r="H52" s="131"/>
      <c r="I52" s="131"/>
    </row>
    <row r="53" spans="1:9">
      <c r="A53" s="131"/>
      <c r="B53" s="131"/>
      <c r="C53" s="131"/>
      <c r="D53" s="150"/>
      <c r="E53" s="163"/>
      <c r="F53" s="163"/>
      <c r="G53" s="131"/>
      <c r="H53" s="131"/>
      <c r="I53" s="131"/>
    </row>
    <row r="54" spans="1:9">
      <c r="A54" s="131"/>
      <c r="B54" s="131"/>
      <c r="C54" s="131"/>
      <c r="D54" s="150"/>
      <c r="E54" s="163"/>
      <c r="F54" s="163"/>
      <c r="G54" s="131"/>
      <c r="H54" s="131"/>
      <c r="I54" s="131"/>
    </row>
    <row r="55" spans="1:9">
      <c r="A55" s="131"/>
      <c r="B55" s="131"/>
      <c r="C55" s="131"/>
      <c r="D55" s="150"/>
      <c r="E55" s="163"/>
      <c r="F55" s="163"/>
      <c r="G55" s="131"/>
      <c r="H55" s="131"/>
      <c r="I55" s="131"/>
    </row>
    <row r="56" spans="1:9">
      <c r="A56" s="131"/>
      <c r="B56" s="131"/>
      <c r="C56" s="131"/>
      <c r="D56" s="150"/>
      <c r="E56" s="163"/>
      <c r="F56" s="163"/>
      <c r="G56" s="131"/>
      <c r="H56" s="131"/>
      <c r="I56" s="131"/>
    </row>
    <row r="57" spans="1:9">
      <c r="A57" s="131"/>
      <c r="B57" s="131"/>
      <c r="C57" s="131"/>
      <c r="D57" s="150"/>
      <c r="E57" s="163"/>
      <c r="F57" s="163"/>
      <c r="G57" s="131"/>
      <c r="H57" s="131"/>
      <c r="I57" s="131"/>
    </row>
    <row r="58" spans="1:9">
      <c r="A58" s="131"/>
      <c r="B58" s="131"/>
      <c r="C58" s="131"/>
      <c r="D58" s="150"/>
      <c r="E58" s="163"/>
      <c r="F58" s="163"/>
      <c r="G58" s="131"/>
      <c r="H58" s="131"/>
      <c r="I58" s="131"/>
    </row>
    <row r="59" spans="1:9">
      <c r="A59" s="131"/>
      <c r="B59" s="131"/>
      <c r="C59" s="131"/>
      <c r="D59" s="150"/>
      <c r="E59" s="163"/>
      <c r="F59" s="163"/>
      <c r="G59" s="131"/>
      <c r="H59" s="131"/>
      <c r="I59" s="131"/>
    </row>
    <row r="60" spans="1:9">
      <c r="A60" s="131"/>
      <c r="B60" s="131"/>
      <c r="C60" s="131"/>
      <c r="D60" s="150"/>
      <c r="E60" s="163"/>
      <c r="F60" s="163"/>
      <c r="G60" s="131"/>
      <c r="H60" s="131"/>
      <c r="I60" s="131"/>
    </row>
    <row r="61" spans="1:9">
      <c r="A61" s="131"/>
      <c r="B61" s="131"/>
      <c r="C61" s="131"/>
      <c r="D61" s="150"/>
      <c r="E61" s="163"/>
      <c r="F61" s="163"/>
      <c r="G61" s="131"/>
      <c r="H61" s="131"/>
      <c r="I61" s="131"/>
    </row>
    <row r="62" spans="1:9">
      <c r="A62" s="131"/>
      <c r="B62" s="131"/>
      <c r="C62" s="131"/>
      <c r="D62" s="150"/>
      <c r="E62" s="163"/>
      <c r="F62" s="163"/>
      <c r="G62" s="131"/>
      <c r="H62" s="131"/>
      <c r="I62" s="131"/>
    </row>
    <row r="63" spans="1:9">
      <c r="A63" s="131"/>
      <c r="B63" s="131"/>
      <c r="C63" s="131"/>
      <c r="D63" s="150"/>
      <c r="E63" s="163"/>
      <c r="F63" s="163"/>
      <c r="G63" s="131"/>
      <c r="H63" s="131"/>
      <c r="I63" s="131"/>
    </row>
    <row r="64" spans="1:9">
      <c r="A64" s="131"/>
      <c r="B64" s="131"/>
      <c r="C64" s="131"/>
      <c r="D64" s="150"/>
      <c r="E64" s="163"/>
      <c r="F64" s="163"/>
      <c r="G64" s="131"/>
      <c r="H64" s="131"/>
      <c r="I64" s="131"/>
    </row>
    <row r="65" spans="1:9">
      <c r="A65" s="131"/>
      <c r="B65" s="131"/>
      <c r="C65" s="131"/>
      <c r="D65" s="150"/>
      <c r="E65" s="163"/>
      <c r="F65" s="163"/>
      <c r="G65" s="131"/>
      <c r="H65" s="131"/>
      <c r="I65" s="131"/>
    </row>
    <row r="66" spans="1:9">
      <c r="A66" s="131"/>
      <c r="B66" s="131"/>
      <c r="C66" s="131"/>
      <c r="D66" s="150"/>
      <c r="E66" s="163"/>
      <c r="F66" s="163"/>
      <c r="G66" s="131"/>
      <c r="H66" s="131"/>
      <c r="I66" s="131"/>
    </row>
    <row r="67" spans="1:9">
      <c r="A67" s="131"/>
      <c r="B67" s="131"/>
      <c r="C67" s="131"/>
      <c r="D67" s="150"/>
      <c r="E67" s="163"/>
      <c r="F67" s="163"/>
      <c r="G67" s="131"/>
      <c r="H67" s="131"/>
      <c r="I67" s="131"/>
    </row>
    <row r="68" spans="1:9">
      <c r="A68" s="131"/>
      <c r="B68" s="131"/>
      <c r="C68" s="131"/>
      <c r="D68" s="150"/>
      <c r="E68" s="163"/>
      <c r="F68" s="163"/>
      <c r="G68" s="131"/>
      <c r="H68" s="131"/>
      <c r="I68" s="131"/>
    </row>
    <row r="69" spans="1:9">
      <c r="A69" s="131"/>
      <c r="B69" s="131"/>
      <c r="C69" s="131"/>
      <c r="D69" s="150"/>
      <c r="E69" s="163"/>
      <c r="F69" s="163"/>
      <c r="G69" s="131"/>
      <c r="H69" s="131"/>
      <c r="I69" s="131"/>
    </row>
    <row r="70" spans="1:9">
      <c r="A70" s="131"/>
      <c r="B70" s="131"/>
      <c r="C70" s="131"/>
      <c r="D70" s="150"/>
      <c r="E70" s="163"/>
      <c r="F70" s="163"/>
      <c r="G70" s="131"/>
      <c r="H70" s="131"/>
      <c r="I70" s="131"/>
    </row>
    <row r="71" spans="1:9">
      <c r="A71" s="131"/>
      <c r="B71" s="131"/>
      <c r="C71" s="131"/>
      <c r="D71" s="150"/>
      <c r="E71" s="163"/>
      <c r="F71" s="163"/>
      <c r="G71" s="131"/>
      <c r="H71" s="131"/>
      <c r="I71" s="131"/>
    </row>
    <row r="72" spans="1:9">
      <c r="A72" s="131"/>
      <c r="B72" s="131"/>
      <c r="C72" s="131"/>
      <c r="D72" s="150"/>
      <c r="E72" s="163"/>
      <c r="F72" s="163"/>
      <c r="G72" s="131"/>
      <c r="H72" s="131"/>
      <c r="I72" s="131"/>
    </row>
    <row r="73" spans="1:9">
      <c r="A73" s="131"/>
      <c r="B73" s="131"/>
      <c r="C73" s="131"/>
      <c r="D73" s="150"/>
      <c r="E73" s="163"/>
      <c r="F73" s="163"/>
      <c r="G73" s="131"/>
      <c r="H73" s="131"/>
      <c r="I73" s="131"/>
    </row>
    <row r="74" spans="1:9">
      <c r="A74" s="131"/>
      <c r="B74" s="131"/>
      <c r="C74" s="131"/>
      <c r="D74" s="150"/>
      <c r="E74" s="163"/>
      <c r="F74" s="163"/>
      <c r="G74" s="131"/>
      <c r="H74" s="131"/>
      <c r="I74" s="131"/>
    </row>
    <row r="75" spans="1:9">
      <c r="A75" s="131"/>
      <c r="B75" s="131"/>
      <c r="C75" s="131"/>
      <c r="D75" s="150"/>
      <c r="E75" s="163"/>
      <c r="F75" s="163"/>
      <c r="G75" s="131"/>
      <c r="H75" s="131"/>
      <c r="I75" s="131"/>
    </row>
    <row r="76" spans="1:9">
      <c r="A76" s="131"/>
      <c r="B76" s="131"/>
      <c r="C76" s="131"/>
      <c r="D76" s="150"/>
      <c r="E76" s="163"/>
      <c r="F76" s="163"/>
      <c r="G76" s="131"/>
      <c r="H76" s="131"/>
      <c r="I76" s="131"/>
    </row>
    <row r="77" spans="1:9">
      <c r="A77" s="131"/>
      <c r="B77" s="168"/>
      <c r="C77" s="131"/>
      <c r="D77" s="184"/>
      <c r="E77" s="163"/>
      <c r="F77" s="163"/>
      <c r="G77" s="131"/>
      <c r="H77" s="131"/>
      <c r="I77" s="131"/>
    </row>
    <row r="78" spans="1:9">
      <c r="A78" s="131"/>
      <c r="B78" s="168"/>
      <c r="C78" s="131"/>
      <c r="D78" s="184"/>
      <c r="E78" s="163"/>
      <c r="F78" s="163"/>
      <c r="G78" s="131"/>
      <c r="H78" s="131"/>
      <c r="I78" s="131"/>
    </row>
    <row r="79" spans="1:9">
      <c r="A79" s="131"/>
      <c r="B79" s="168"/>
      <c r="C79" s="131"/>
      <c r="D79" s="184"/>
      <c r="E79" s="163"/>
      <c r="F79" s="163"/>
      <c r="G79" s="131"/>
      <c r="H79" s="131"/>
      <c r="I79" s="131"/>
    </row>
    <row r="80" spans="1:9">
      <c r="A80" s="131"/>
      <c r="B80" s="168"/>
      <c r="C80" s="131"/>
      <c r="D80" s="184"/>
      <c r="E80" s="163"/>
      <c r="F80" s="163"/>
      <c r="G80" s="131"/>
      <c r="H80" s="131"/>
      <c r="I80" s="131"/>
    </row>
    <row r="81" spans="1:11">
      <c r="A81" s="131"/>
      <c r="B81" s="168"/>
      <c r="C81" s="131"/>
      <c r="D81" s="184"/>
      <c r="E81" s="163"/>
      <c r="F81" s="163"/>
      <c r="G81" s="131"/>
      <c r="H81" s="131"/>
      <c r="I81" s="131"/>
    </row>
    <row r="82" spans="1:11">
      <c r="A82" s="131"/>
      <c r="B82" s="168"/>
      <c r="C82" s="131"/>
      <c r="D82" s="184"/>
      <c r="E82" s="163"/>
      <c r="F82" s="163"/>
      <c r="G82" s="131"/>
      <c r="H82" s="131"/>
      <c r="I82" s="131"/>
    </row>
    <row r="83" spans="1:11">
      <c r="A83" s="131"/>
      <c r="B83" s="168"/>
      <c r="C83" s="131"/>
      <c r="D83" s="184"/>
      <c r="E83" s="163"/>
      <c r="F83" s="163"/>
      <c r="G83" s="131"/>
      <c r="H83" s="131"/>
      <c r="I83" s="131"/>
    </row>
    <row r="84" spans="1:11">
      <c r="A84" s="131"/>
      <c r="B84" s="168"/>
      <c r="C84" s="131"/>
      <c r="D84" s="184"/>
      <c r="E84" s="163"/>
      <c r="F84" s="163"/>
      <c r="G84" s="131"/>
      <c r="H84" s="131"/>
      <c r="I84" s="131"/>
    </row>
    <row r="85" spans="1:11">
      <c r="A85" s="131"/>
      <c r="B85" s="168"/>
      <c r="C85" s="169"/>
      <c r="D85" s="184"/>
      <c r="E85" s="163"/>
      <c r="F85" s="163"/>
      <c r="G85" s="131"/>
      <c r="H85" s="131"/>
      <c r="I85" s="131"/>
    </row>
    <row r="86" spans="1:11">
      <c r="A86" s="131"/>
      <c r="B86" s="168"/>
      <c r="C86" s="169"/>
      <c r="D86" s="184"/>
      <c r="E86" s="163"/>
      <c r="F86" s="163"/>
      <c r="G86" s="131"/>
      <c r="H86" s="131"/>
      <c r="I86" s="131"/>
    </row>
    <row r="87" spans="1:11">
      <c r="A87" s="131"/>
      <c r="B87" s="131"/>
      <c r="C87" s="169"/>
      <c r="D87" s="184"/>
      <c r="E87" s="163"/>
      <c r="F87" s="163"/>
      <c r="G87" s="131"/>
      <c r="H87" s="131"/>
      <c r="I87" s="131"/>
    </row>
    <row r="88" spans="1:11" ht="15" customHeight="1">
      <c r="A88" s="131"/>
      <c r="B88" s="62"/>
      <c r="C88" s="170"/>
      <c r="D88" s="150"/>
      <c r="E88" s="163"/>
      <c r="F88" s="163"/>
      <c r="G88" s="400"/>
      <c r="H88" s="161"/>
      <c r="I88" s="161"/>
    </row>
    <row r="89" spans="1:11">
      <c r="A89" s="131"/>
      <c r="B89" s="62"/>
      <c r="C89" s="170"/>
      <c r="D89" s="150"/>
      <c r="E89" s="163"/>
      <c r="F89" s="163"/>
      <c r="G89" s="401"/>
      <c r="H89" s="161"/>
      <c r="I89" s="161"/>
    </row>
    <row r="90" spans="1:11">
      <c r="A90" s="131"/>
      <c r="B90" s="62"/>
      <c r="C90" s="170"/>
      <c r="D90" s="150"/>
      <c r="E90" s="163"/>
      <c r="F90" s="163"/>
      <c r="G90" s="402"/>
      <c r="H90" s="161"/>
      <c r="I90" s="161"/>
    </row>
    <row r="91" spans="1:11" ht="45.75" customHeight="1">
      <c r="A91" s="164"/>
      <c r="B91" s="179"/>
      <c r="C91" s="178"/>
      <c r="D91" s="165"/>
      <c r="E91" s="166"/>
      <c r="F91" s="166"/>
      <c r="G91" s="164"/>
      <c r="H91" s="164"/>
      <c r="I91" s="131"/>
      <c r="J91" s="180"/>
      <c r="K91" s="180"/>
    </row>
    <row r="92" spans="1:11">
      <c r="A92" s="131"/>
      <c r="B92" s="62"/>
      <c r="C92" s="131"/>
      <c r="D92" s="150"/>
      <c r="E92" s="163"/>
      <c r="F92" s="163"/>
      <c r="G92" s="131"/>
      <c r="H92" s="131"/>
      <c r="I92" s="131"/>
      <c r="J92" s="180"/>
      <c r="K92" s="180"/>
    </row>
    <row r="93" spans="1:11">
      <c r="A93" s="131"/>
      <c r="B93" s="62"/>
      <c r="C93" s="131"/>
      <c r="D93" s="150"/>
      <c r="E93" s="163"/>
      <c r="F93" s="163"/>
      <c r="G93" s="131"/>
      <c r="H93" s="131"/>
      <c r="I93" s="131"/>
      <c r="J93" s="180"/>
      <c r="K93" s="180"/>
    </row>
    <row r="94" spans="1:11">
      <c r="A94" s="131"/>
      <c r="B94" s="62"/>
      <c r="C94" s="131"/>
      <c r="D94" s="150"/>
      <c r="E94" s="163"/>
      <c r="F94" s="163"/>
      <c r="G94" s="131"/>
      <c r="H94" s="131"/>
      <c r="I94" s="131"/>
      <c r="J94" s="180"/>
      <c r="K94" s="180"/>
    </row>
    <row r="95" spans="1:11">
      <c r="A95" s="131"/>
      <c r="B95" s="62"/>
      <c r="C95" s="131"/>
      <c r="D95" s="150"/>
      <c r="E95" s="163"/>
      <c r="F95" s="163"/>
      <c r="G95" s="131"/>
      <c r="H95" s="131"/>
      <c r="I95" s="131"/>
      <c r="J95" s="180"/>
      <c r="K95" s="180"/>
    </row>
    <row r="96" spans="1:11">
      <c r="A96" s="131"/>
      <c r="B96" s="183"/>
      <c r="C96" s="131"/>
      <c r="D96" s="150"/>
      <c r="E96" s="163"/>
      <c r="F96" s="163"/>
      <c r="G96" s="131"/>
      <c r="H96" s="131"/>
      <c r="I96" s="131"/>
      <c r="J96" s="180"/>
      <c r="K96" s="180"/>
    </row>
    <row r="97" spans="1:11">
      <c r="A97" s="131"/>
      <c r="B97" s="181"/>
      <c r="C97" s="131"/>
      <c r="D97" s="150"/>
      <c r="E97" s="163"/>
      <c r="F97" s="163"/>
      <c r="G97" s="131"/>
      <c r="H97" s="131"/>
      <c r="I97" s="131"/>
      <c r="J97" s="180"/>
      <c r="K97" s="180"/>
    </row>
    <row r="98" spans="1:11">
      <c r="A98" s="131"/>
      <c r="B98" s="62"/>
      <c r="C98" s="131"/>
      <c r="D98" s="150"/>
      <c r="E98" s="163"/>
      <c r="F98" s="163"/>
      <c r="G98" s="131"/>
      <c r="H98" s="131"/>
      <c r="I98" s="131"/>
      <c r="J98" s="180"/>
      <c r="K98" s="180"/>
    </row>
    <row r="99" spans="1:11">
      <c r="J99" s="180"/>
      <c r="K99" s="180"/>
    </row>
  </sheetData>
  <autoFilter ref="A1:G16"/>
  <mergeCells count="1">
    <mergeCell ref="G88:G9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9"/>
  <sheetViews>
    <sheetView workbookViewId="0">
      <selection activeCell="K22" sqref="K22"/>
    </sheetView>
  </sheetViews>
  <sheetFormatPr defaultRowHeight="15"/>
  <sheetData>
    <row r="1" spans="1:10">
      <c r="A1" s="409"/>
      <c r="B1" s="410"/>
      <c r="C1" s="410"/>
      <c r="D1" s="410"/>
      <c r="E1" s="410"/>
      <c r="F1" s="410"/>
      <c r="G1" s="410"/>
      <c r="H1" s="410"/>
      <c r="I1" s="410"/>
      <c r="J1" s="411"/>
    </row>
    <row r="2" spans="1:10">
      <c r="A2" s="403"/>
      <c r="B2" s="404"/>
      <c r="C2" s="404"/>
      <c r="D2" s="404"/>
      <c r="E2" s="404"/>
      <c r="F2" s="404"/>
      <c r="G2" s="404"/>
      <c r="H2" s="404"/>
      <c r="I2" s="404"/>
      <c r="J2" s="405"/>
    </row>
    <row r="3" spans="1:10">
      <c r="A3" s="403"/>
      <c r="B3" s="404"/>
      <c r="C3" s="404"/>
      <c r="D3" s="404"/>
      <c r="E3" s="404"/>
      <c r="F3" s="404"/>
      <c r="G3" s="404"/>
      <c r="H3" s="404"/>
      <c r="I3" s="404"/>
      <c r="J3" s="405"/>
    </row>
    <row r="4" spans="1:10">
      <c r="A4" s="403"/>
      <c r="B4" s="404"/>
      <c r="C4" s="404"/>
      <c r="D4" s="404"/>
      <c r="E4" s="404"/>
      <c r="F4" s="404"/>
      <c r="G4" s="404"/>
      <c r="H4" s="404"/>
      <c r="I4" s="404"/>
      <c r="J4" s="405"/>
    </row>
    <row r="5" spans="1:10">
      <c r="A5" s="403"/>
      <c r="B5" s="404"/>
      <c r="C5" s="404"/>
      <c r="D5" s="404"/>
      <c r="E5" s="404"/>
      <c r="F5" s="404"/>
      <c r="G5" s="404"/>
      <c r="H5" s="404"/>
      <c r="I5" s="404"/>
      <c r="J5" s="405"/>
    </row>
    <row r="6" spans="1:10">
      <c r="A6" s="403"/>
      <c r="B6" s="404"/>
      <c r="C6" s="404"/>
      <c r="D6" s="404"/>
      <c r="E6" s="404"/>
      <c r="F6" s="404"/>
      <c r="G6" s="404"/>
      <c r="H6" s="404"/>
      <c r="I6" s="404"/>
      <c r="J6" s="405"/>
    </row>
    <row r="7" spans="1:10">
      <c r="A7" s="403"/>
      <c r="B7" s="404"/>
      <c r="C7" s="404"/>
      <c r="D7" s="404"/>
      <c r="E7" s="404"/>
      <c r="F7" s="404"/>
      <c r="G7" s="404"/>
      <c r="H7" s="404"/>
      <c r="I7" s="404"/>
      <c r="J7" s="405"/>
    </row>
    <row r="8" spans="1:10">
      <c r="A8" s="403"/>
      <c r="B8" s="404"/>
      <c r="C8" s="404"/>
      <c r="D8" s="404"/>
      <c r="E8" s="404"/>
      <c r="F8" s="404"/>
      <c r="G8" s="404"/>
      <c r="H8" s="404"/>
      <c r="I8" s="404"/>
      <c r="J8" s="405"/>
    </row>
    <row r="9" spans="1:10" ht="15.75" thickBot="1">
      <c r="A9" s="406"/>
      <c r="B9" s="407"/>
      <c r="C9" s="407"/>
      <c r="D9" s="407"/>
      <c r="E9" s="407"/>
      <c r="F9" s="407"/>
      <c r="G9" s="407"/>
      <c r="H9" s="407"/>
      <c r="I9" s="407"/>
      <c r="J9" s="408"/>
    </row>
  </sheetData>
  <mergeCells count="9">
    <mergeCell ref="A7:J7"/>
    <mergeCell ref="A8:J8"/>
    <mergeCell ref="A9:J9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A66DD6983ACE4386609F4CF85D5986" ma:contentTypeVersion="26" ma:contentTypeDescription="Create a new document." ma:contentTypeScope="" ma:versionID="3c6311df3cb9dd3400d27f11f1b91fff">
  <xsd:schema xmlns:xsd="http://www.w3.org/2001/XMLSchema" xmlns:xs="http://www.w3.org/2001/XMLSchema" xmlns:p="http://schemas.microsoft.com/office/2006/metadata/properties" xmlns:ns1="http://schemas.microsoft.com/sharepoint/v3" xmlns:ns2="f563998e-cd5c-41f0-8d3e-3c417bfa951f" xmlns:ns3="ff26112d-ff7c-47c6-87fa-8eaf7569ba81" targetNamespace="http://schemas.microsoft.com/office/2006/metadata/properties" ma:root="true" ma:fieldsID="76307ec01179dbcff84d86a8c665ee74" ns1:_="" ns2:_="" ns3:_="">
    <xsd:import namespace="http://schemas.microsoft.com/sharepoint/v3"/>
    <xsd:import namespace="f563998e-cd5c-41f0-8d3e-3c417bfa951f"/>
    <xsd:import namespace="ff26112d-ff7c-47c6-87fa-8eaf7569ba81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Attachment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63998e-cd5c-41f0-8d3e-3c417bfa951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6112d-ff7c-47c6-87fa-8eaf7569ba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Attachment_x0020_Number" ma:index="17" nillable="true" ma:displayName="Attachment Number" ma:internalName="Attachment_x0020_Numb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563998e-cd5c-41f0-8d3e-3c417bfa951f">AGS1-1590384747-347</_dlc_DocId>
    <_dlc_DocIdUrl xmlns="f563998e-cd5c-41f0-8d3e-3c417bfa951f">
      <Url>https://nysemail.sharepoint.com/sites/AGS/PMOX/OGS_SDVOB%20Project/_layouts/15/DocIdRedir.aspx?ID=AGS1-1590384747-347</Url>
      <Description>AGS1-1590384747-347</Description>
    </_dlc_DocIdUrl>
    <_ip_UnifiedCompliancePolicyUIAction xmlns="http://schemas.microsoft.com/sharepoint/v3" xsi:nil="true"/>
    <_ip_UnifiedCompliancePolicyProperties xmlns="http://schemas.microsoft.com/sharepoint/v3" xsi:nil="true"/>
    <Attachment_x0020_Number xmlns="ff26112d-ff7c-47c6-87fa-8eaf7569ba81">28</Attachment_x0020_Number>
  </documentManagement>
</p:properties>
</file>

<file path=customXml/itemProps1.xml><?xml version="1.0" encoding="utf-8"?>
<ds:datastoreItem xmlns:ds="http://schemas.openxmlformats.org/officeDocument/2006/customXml" ds:itemID="{F0C3F71B-2625-45D2-B128-E13F0B56F48D}"/>
</file>

<file path=customXml/itemProps2.xml><?xml version="1.0" encoding="utf-8"?>
<ds:datastoreItem xmlns:ds="http://schemas.openxmlformats.org/officeDocument/2006/customXml" ds:itemID="{B3F085DB-AA6F-44B9-80BD-0B19274E60F6}"/>
</file>

<file path=customXml/itemProps3.xml><?xml version="1.0" encoding="utf-8"?>
<ds:datastoreItem xmlns:ds="http://schemas.openxmlformats.org/officeDocument/2006/customXml" ds:itemID="{BB404B02-1481-4EBB-BAD6-C6FEDADFC3E7}"/>
</file>

<file path=customXml/itemProps4.xml><?xml version="1.0" encoding="utf-8"?>
<ds:datastoreItem xmlns:ds="http://schemas.openxmlformats.org/officeDocument/2006/customXml" ds:itemID="{05A58781-32A3-4839-9084-C7C7FDA8DF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Agency Summary</vt:lpstr>
      <vt:lpstr>Vendor Summary</vt:lpstr>
      <vt:lpstr>Awards Summary</vt:lpstr>
      <vt:lpstr>Disbursements Summary</vt:lpstr>
      <vt:lpstr>Type of Contract and Industry S</vt:lpstr>
      <vt:lpstr>Waivers</vt:lpstr>
      <vt:lpstr>Other Reported Info</vt:lpstr>
      <vt:lpstr>'Vendor Summary'!_GoBack</vt:lpstr>
    </vt:vector>
  </TitlesOfParts>
  <Company>New York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Tomaselli, Anthony</dc:creator>
  <cp:lastModifiedBy>McKeage, Patrick</cp:lastModifiedBy>
  <cp:lastPrinted>2016-12-07T16:30:51Z</cp:lastPrinted>
  <dcterms:created xsi:type="dcterms:W3CDTF">2015-11-16T16:28:52Z</dcterms:created>
  <dcterms:modified xsi:type="dcterms:W3CDTF">2018-04-20T20:20:36Z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4236981d-45ee-4b62-9996-c03528ba89de</vt:lpwstr>
  </property>
  <property fmtid="{D5CDD505-2E9C-101B-9397-08002B2CF9AE}" pid="3" name="ContentTypeId">
    <vt:lpwstr>0x01010013A66DD6983ACE4386609F4CF85D5986</vt:lpwstr>
  </property>
</Properties>
</file>